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6A2D0FD-61E3-47F4-A334-B63A992E9CA8}"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C34" i="173"/>
  <c r="C33" i="173"/>
  <c r="I24" i="185"/>
  <c r="G24" i="185"/>
  <c r="D35" i="171"/>
  <c r="F24" i="185"/>
  <c r="E24" i="185"/>
  <c r="I22" i="185"/>
  <c r="G22" i="185"/>
  <c r="F22" i="185"/>
  <c r="E22" i="185"/>
  <c r="M16" i="185"/>
  <c r="I16" i="185"/>
  <c r="G16" i="185"/>
  <c r="F16" i="185"/>
  <c r="E16" i="185"/>
  <c r="E14" i="185"/>
  <c r="E26" i="179"/>
  <c r="G23" i="179"/>
  <c r="E23" i="179"/>
  <c r="I20" i="179"/>
  <c r="I23" i="179" s="1"/>
  <c r="G20" i="179"/>
  <c r="F20" i="179"/>
  <c r="F23" i="179" s="1"/>
  <c r="E20" i="179"/>
  <c r="L27" i="185" l="1"/>
  <c r="L26" i="185"/>
  <c r="L25" i="185"/>
  <c r="L23" i="185"/>
  <c r="L22" i="185"/>
  <c r="L21" i="185"/>
  <c r="L20" i="185"/>
  <c r="L19" i="185"/>
  <c r="L18" i="185"/>
  <c r="L17" i="185"/>
  <c r="L16" i="185"/>
  <c r="L15" i="185"/>
  <c r="L14" i="185"/>
  <c r="L13" i="185"/>
  <c r="L12" i="185"/>
  <c r="L11" i="185"/>
  <c r="I9" i="185"/>
  <c r="G9" i="185"/>
  <c r="F9" i="185"/>
  <c r="E9" i="185"/>
  <c r="J8" i="185"/>
  <c r="H8" i="185"/>
  <c r="B4" i="185"/>
  <c r="L24" i="185" l="1"/>
  <c r="N59" i="184" l="1"/>
  <c r="N58" i="184"/>
  <c r="N57" i="184"/>
  <c r="N67" i="184"/>
  <c r="N66" i="184"/>
  <c r="N65" i="184"/>
  <c r="N64" i="184"/>
  <c r="N63" i="184"/>
  <c r="N62" i="184"/>
  <c r="N61" i="184"/>
  <c r="N60" i="184"/>
  <c r="E67" i="184" l="1"/>
  <c r="E66" i="184"/>
  <c r="E65" i="184"/>
  <c r="E64" i="184"/>
  <c r="E63" i="184"/>
  <c r="E62" i="184"/>
  <c r="E61" i="184"/>
  <c r="E60" i="184"/>
  <c r="E59" i="184"/>
  <c r="E58" i="184"/>
  <c r="E57" i="184"/>
  <c r="F15" i="184" l="1"/>
  <c r="F19" i="184" s="1"/>
  <c r="E17" i="184"/>
  <c r="E16" i="184"/>
  <c r="E14" i="184"/>
  <c r="E13" i="184"/>
  <c r="J7" i="184"/>
  <c r="L53" i="184" s="1"/>
  <c r="J6" i="184"/>
  <c r="L52" i="184" s="1"/>
  <c r="M68" i="184"/>
  <c r="L68" i="184"/>
  <c r="K68" i="184"/>
  <c r="G16" i="184" s="1"/>
  <c r="J68" i="184"/>
  <c r="G15" i="184" s="1"/>
  <c r="I68" i="184"/>
  <c r="G14" i="184" s="1"/>
  <c r="H68" i="184"/>
  <c r="G13" i="184" s="1"/>
  <c r="G68" i="184"/>
  <c r="G12" i="184" s="1"/>
  <c r="E68" i="184"/>
  <c r="K19" i="184"/>
  <c r="J19" i="184"/>
  <c r="I19" i="184"/>
  <c r="L18" i="184"/>
  <c r="H18" i="184"/>
  <c r="L17" i="184"/>
  <c r="G17" i="184"/>
  <c r="L16" i="184"/>
  <c r="L15" i="184"/>
  <c r="L14" i="184"/>
  <c r="L13" i="184"/>
  <c r="L12" i="184"/>
  <c r="L19" i="184" l="1"/>
  <c r="D84" i="36" s="1"/>
  <c r="N68" i="184"/>
  <c r="H17" i="184"/>
  <c r="H16" i="184"/>
  <c r="H14" i="184"/>
  <c r="H13"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E19" i="183"/>
  <c r="F19" i="183" s="1"/>
  <c r="E18" i="183"/>
  <c r="F18" i="183" s="1"/>
  <c r="F17" i="183"/>
  <c r="E17" i="183"/>
  <c r="D7887" i="106" l="1"/>
  <c r="D7886" i="106"/>
  <c r="B7887" i="106"/>
  <c r="B7886" i="106"/>
  <c r="F80" i="34"/>
  <c r="F76" i="34"/>
  <c r="F75" i="34"/>
  <c r="B3674" i="106" l="1"/>
  <c r="B3635" i="106"/>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E15" i="184" s="1"/>
  <c r="H15" i="184" s="1"/>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H12" i="184" l="1"/>
  <c r="H19" i="184" s="1"/>
  <c r="L20" i="184" s="1"/>
  <c r="E19" i="184"/>
  <c r="F34" i="34"/>
  <c r="B7826" i="106" s="1"/>
  <c r="D78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B2031" i="106"/>
  <c r="D2031" i="106" s="1"/>
  <c r="N23" i="3"/>
  <c r="B284" i="106" s="1"/>
  <c r="D284" i="106" s="1"/>
  <c r="B5527" i="106"/>
  <c r="D5527" i="106" s="1"/>
  <c r="F41" i="108"/>
  <c r="G43" i="108" s="1"/>
  <c r="L114" i="29"/>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<sst xmlns="http://schemas.openxmlformats.org/spreadsheetml/2006/main" count="5324" uniqueCount="2154">
  <si>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</si>
  <si>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</si>
  <si>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</si>
  <si>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</si>
  <si>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</si>
  <si>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</si>
  <si>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</si>
  <si>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</si>
  <si>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</si>
  <si>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</si>
  <si>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</si>
  <si>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</si>
  <si>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</si>
  <si>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</si>
  <si>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</si>
  <si>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</si>
  <si>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</si>
  <si>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</si>
  <si>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</si>
  <si>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</si>
  <si>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</si>
  <si>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</si>
  <si>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</si>
  <si>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</si>
  <si>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</si>
  <si>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</si>
  <si>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</si>
  <si>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</si>
  <si>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</si>
  <si>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</si>
  <si>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</si>
  <si>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</si>
  <si>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</si>
  <si>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</si>
  <si>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</si>
  <si>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</si>
  <si>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</si>
  <si>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</si>
  <si>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</si>
  <si>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</si>
  <si>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</si>
  <si>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</si>
  <si>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</si>
  <si>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</si>
  <si>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</si>
  <si>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</si>
  <si>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</si>
  <si>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</si>
  <si>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</si>
  <si>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</si>
  <si>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</si>
  <si>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</si>
  <si>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</si>
  <si>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</si>
  <si>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</si>
  <si>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</si>
  <si>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</si>
  <si>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</si>
  <si>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</si>
  <si>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</si>
  <si>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</si>
  <si>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</si>
  <si>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</si>
  <si>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</si>
  <si>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</si>
  <si>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</si>
  <si>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</si>
  <si>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</si>
  <si>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</si>
  <si>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</si>
  <si>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</si>
  <si>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</si>
  <si>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</si>
  <si>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</si>
  <si>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</si>
  <si>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</si>
  <si>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</si>
  <si>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</si>
  <si>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</si>
  <si>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</si>
  <si>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</si>
  <si>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</si>
  <si>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</si>
  <si>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</si>
  <si>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</si>
  <si>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</si>
  <si>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</si>
  <si>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</si>
  <si>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</si>
  <si>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</si>
  <si>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</si>
  <si>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</si>
  <si>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</si>
  <si>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</si>
  <si>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</si>
  <si>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</si>
  <si>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</si>
  <si>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</si>
  <si>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</si>
  <si>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</si>
  <si>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</si>
  <si>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</si>
  <si>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</si>
  <si>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</si>
  <si>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</si>
  <si>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</si>
  <si>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</si>
  <si>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</si>
  <si>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</si>
  <si>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</si>
  <si>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</si>
  <si>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</si>
  <si>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</si>
  <si>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</si>
  <si>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</si>
  <si>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</si>
  <si>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</si>
  <si>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</si>
  <si>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</si>
  <si>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</si>
  <si>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</si>
  <si>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</si>
  <si>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</si>
  <si>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</si>
  <si>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</si>
  <si>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</si>
  <si>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</si>
  <si>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</si>
  <si>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</si>
  <si>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</si>
  <si>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</si>
  <si>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</si>
  <si>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</si>
  <si>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</si>
  <si>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</si>
  <si>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</si>
  <si>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</si>
  <si>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</si>
  <si>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</si>
  <si>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</si>
  <si>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</si>
  <si>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</si>
  <si>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</si>
  <si>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</si>
  <si>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</si>
  <si>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</si>
  <si>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</si>
  <si>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</si>
  <si>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</si>
  <si>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</si>
  <si>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</si>
  <si>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</si>
  <si>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</si>
  <si>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</si>
  <si>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</si>
  <si>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</si>
  <si>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</si>
  <si>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</si>
  <si>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</si>
  <si>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</si>
  <si>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</si>
  <si>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</si>
  <si>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</si>
  <si>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</si>
  <si>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</si>
  <si>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</si>
  <si>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</si>
  <si>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</si>
  <si>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</si>
  <si>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</si>
  <si>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</si>
  <si>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</si>
  <si>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</si>
  <si>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</si>
  <si>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</si>
  <si>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</si>
  <si>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</si>
  <si>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</si>
  <si>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</si>
  <si>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</si>
  <si>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</si>
  <si>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</si>
  <si>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</si>
  <si>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</si>
  <si>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</si>
  <si>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</si>
  <si>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</si>
  <si>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</si>
  <si>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</si>
  <si>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</si>
  <si>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</si>
  <si>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</si>
  <si>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</si>
  <si>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</si>
  <si>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</si>
  <si>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</si>
  <si>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</si>
  <si>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</si>
  <si>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</si>
  <si>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</si>
  <si>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</si>
  <si>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</si>
  <si>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</si>
  <si>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</si>
  <si>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</si>
  <si>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</si>
  <si>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</si>
  <si>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</si>
  <si>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</si>
  <si>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</si>
  <si>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</si>
  <si>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</si>
  <si>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</si>
  <si>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</si>
  <si>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</si>
  <si>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</si>
  <si>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</si>
  <si>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</si>
  <si>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</si>
  <si>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</si>
  <si>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</si>
  <si>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</si>
  <si>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</si>
  <si>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</si>
  <si>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</si>
  <si>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</si>
  <si>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</si>
  <si>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</si>
  <si>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</si>
  <si>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</si>
  <si>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</si>
  <si>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</si>
  <si>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</si>
  <si>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</si>
  <si>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</si>
  <si>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</si>
  <si>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</si>
  <si>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</si>
  <si>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</si>
  <si>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</si>
  <si>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</si>
  <si>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</si>
  <si>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</si>
  <si>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</si>
  <si>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</si>
  <si>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</si>
  <si>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</si>
  <si>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</si>
  <si>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</si>
  <si>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</si>
  <si>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</si>
  <si>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</si>
  <si>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</si>
  <si>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</si>
  <si>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</si>
  <si>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</si>
  <si>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</si>
  <si>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</si>
  <si>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</si>
  <si>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</si>
  <si>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</si>
  <si>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</si>
  <si>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</si>
  <si>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</si>
  <si>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</si>
  <si>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</si>
  <si>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</si>
  <si>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</si>
  <si>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</si>
  <si>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</si>
  <si>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</si>
  <si>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</si>
  <si>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</si>
  <si>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</si>
  <si>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</si>
  <si>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</si>
  <si>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</si>
  <si>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</si>
  <si>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</si>
  <si>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</si>
  <si>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</si>
  <si>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</si>
  <si>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</si>
  <si>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</si>
  <si>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</si>
  <si>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</si>
  <si>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</si>
  <si>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</si>
  <si>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</si>
  <si>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</si>
  <si>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</si>
  <si>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</si>
  <si>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</si>
  <si>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</si>
  <si>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</si>
  <si>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</si>
  <si>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</si>
  <si>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</si>
  <si>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</si>
  <si>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</si>
  <si>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</si>
  <si>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</si>
  <si>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</si>
  <si>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</si>
  <si>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</si>
  <si>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</si>
  <si>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</si>
  <si>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</si>
  <si>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</si>
  <si>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</si>
  <si>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</si>
  <si>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</si>
  <si>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</si>
  <si>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</si>
  <si>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</si>
  <si>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</si>
  <si>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</si>
  <si>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</si>
  <si>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</si>
  <si>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</si>
  <si>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</si>
  <si>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</si>
  <si>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</si>
  <si>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</si>
  <si>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</si>
  <si>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</si>
  <si>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</si>
  <si>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</si>
  <si>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</si>
  <si>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</si>
  <si>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</si>
  <si>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</si>
  <si>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</si>
  <si>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</si>
  <si>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</si>
  <si>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</si>
  <si>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</si>
  <si>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</si>
  <si>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</si>
  <si>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</si>
  <si>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</si>
  <si>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</si>
  <si>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</si>
  <si>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</si>
  <si>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</si>
  <si>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</si>
  <si>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</si>
  <si>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</si>
  <si>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</si>
  <si>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</si>
  <si>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</si>
  <si>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</si>
  <si>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</si>
  <si>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</si>
  <si>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</si>
  <si>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</si>
  <si>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</si>
  <si>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</si>
  <si>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</si>
  <si>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</si>
  <si>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</si>
  <si>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</si>
  <si>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</si>
  <si>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</si>
  <si>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</si>
  <si>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</si>
  <si>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</si>
  <si>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</si>
  <si>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</si>
  <si>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</si>
  <si>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</si>
  <si>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</si>
  <si>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</si>
  <si>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</si>
  <si>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</si>
  <si>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</si>
  <si>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</si>
  <si>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</si>
  <si>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</si>
  <si>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</si>
  <si>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</si>
  <si>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</si>
  <si>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</si>
  <si>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</si>
  <si>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</si>
  <si>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</si>
  <si>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</si>
  <si>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</si>
  <si>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</si>
  <si>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</si>
  <si>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</si>
  <si>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</si>
  <si>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</si>
  <si>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</si>
  <si>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</si>
  <si>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</si>
  <si>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</si>
  <si>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</si>
  <si>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</si>
  <si>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</si>
  <si>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</si>
  <si>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</si>
  <si>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</si>
  <si>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</si>
  <si>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</si>
  <si>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</si>
  <si>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</si>
  <si>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</si>
  <si>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</si>
  <si>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</si>
  <si>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</si>
  <si>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</si>
  <si>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</si>
  <si>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</si>
  <si>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</si>
  <si>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</si>
  <si>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</si>
  <si>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</si>
  <si>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</si>
  <si>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</si>
  <si>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</si>
  <si>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</si>
  <si>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</si>
  <si>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</si>
  <si>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</si>
  <si>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</si>
  <si>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</si>
  <si>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</si>
  <si>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</si>
  <si>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</si>
  <si>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</si>
  <si>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</si>
  <si>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</si>
  <si>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</si>
  <si>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</si>
  <si>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</si>
  <si>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</si>
  <si>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</si>
  <si>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</si>
  <si>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</si>
  <si>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</si>
  <si>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</si>
  <si>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</si>
  <si>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</si>
  <si>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</si>
  <si>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</si>
  <si>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</si>
  <si>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</si>
  <si>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</si>
  <si>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</si>
  <si>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</si>
  <si>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</si>
  <si>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</si>
  <si>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</si>
  <si>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</si>
  <si>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</si>
  <si>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</si>
  <si>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</si>
  <si>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</si>
  <si>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</si>
  <si>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</si>
  <si>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</si>
  <si>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</si>
  <si>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</si>
  <si>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</si>
  <si>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</si>
  <si>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</si>
  <si>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</si>
  <si>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</si>
  <si>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</si>
  <si>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</si>
  <si>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</si>
  <si>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</si>
  <si>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</si>
  <si>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</si>
  <si>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</si>
  <si>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</si>
  <si>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</si>
  <si>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</si>
  <si>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</si>
  <si>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</si>
  <si>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</si>
  <si>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</si>
  <si>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</si>
  <si>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</si>
  <si>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</si>
  <si>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</si>
  <si>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</si>
  <si>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</si>
  <si>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</si>
  <si>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</si>
  <si>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</si>
  <si>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</si>
  <si>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</si>
  <si>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</si>
  <si>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</si>
  <si>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</si>
  <si>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</si>
  <si>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</si>
  <si>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</si>
  <si>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</si>
  <si>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</si>
  <si>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</si>
  <si>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</si>
  <si>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</si>
  <si>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</si>
  <si>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</si>
  <si>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</si>
  <si>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</si>
  <si>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</si>
  <si>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</si>
  <si>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</si>
  <si>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</si>
  <si>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</si>
  <si>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</si>
  <si>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</si>
  <si>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</si>
  <si>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</si>
  <si>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</si>
  <si>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</si>
  <si>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</si>
  <si>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</si>
  <si>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</si>
  <si>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</si>
  <si>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</si>
  <si>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</si>
  <si>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</si>
  <si>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</si>
  <si>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</si>
  <si>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</si>
  <si>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</si>
  <si>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</si>
  <si>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</si>
  <si>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</si>
  <si>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</si>
  <si>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</si>
  <si>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</si>
  <si>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</si>
  <si>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</si>
  <si>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</si>
  <si>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</si>
  <si>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</si>
  <si>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</si>
  <si>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</si>
  <si>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</si>
  <si>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</si>
  <si>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</si>
  <si>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</si>
  <si>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</si>
  <si>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</si>
  <si>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</si>
  <si>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</si>
  <si>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</si>
  <si>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</si>
  <si>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</si>
  <si>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</si>
  <si>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</si>
  <si>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</si>
  <si>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</si>
  <si>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</si>
  <si>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</si>
  <si>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</si>
  <si>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</si>
  <si>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</si>
  <si>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</si>
  <si>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</si>
  <si>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</si>
  <si>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</si>
  <si>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</si>
  <si>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</si>
  <si>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</si>
  <si>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</si>
  <si>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</si>
  <si>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</si>
  <si>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</si>
  <si>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</si>
  <si>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</si>
  <si>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</si>
  <si>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</si>
  <si>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</si>
  <si>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</si>
  <si>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</si>
  <si>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</si>
  <si>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</si>
  <si>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</si>
  <si>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</si>
  <si>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</si>
  <si>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</si>
  <si>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</si>
  <si>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</si>
  <si>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</si>
  <si>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</si>
  <si>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</si>
  <si>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</si>
  <si>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</si>
  <si>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</si>
  <si>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</si>
  <si>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</si>
  <si>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</si>
  <si>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</si>
  <si>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</si>
  <si>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</si>
  <si>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</si>
  <si>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</si>
  <si>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</si>
  <si>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</si>
  <si>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</si>
  <si>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</si>
  <si>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</si>
  <si>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</si>
  <si>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</si>
  <si>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</si>
  <si>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</si>
  <si>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</si>
  <si>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</si>
  <si>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</si>
  <si>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</si>
  <si>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</si>
  <si>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</si>
  <si>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</si>
  <si>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</si>
  <si>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</si>
  <si>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</si>
  <si>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</si>
  <si>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</si>
  <si>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</si>
  <si>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</si>
  <si>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</si>
  <si>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</si>
  <si>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</si>
  <si>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</si>
  <si>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</si>
  <si>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</si>
  <si>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</si>
  <si>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</si>
  <si>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</si>
  <si>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</si>
  <si>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</si>
  <si>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</si>
  <si>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</si>
  <si>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</si>
  <si>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</si>
  <si>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</si>
  <si>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</si>
  <si>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</si>
  <si>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</si>
  <si>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</si>
  <si>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</si>
  <si>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</si>
  <si>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</si>
  <si>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</si>
  <si>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</si>
  <si>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</si>
  <si>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</si>
  <si>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</si>
  <si>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</si>
  <si>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</si>
  <si>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</si>
  <si>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</si>
  <si>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</si>
  <si>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</si>
  <si>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</si>
  <si>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</si>
  <si>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</si>
  <si>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</si>
  <si>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</si>
  <si>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</si>
  <si>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</si>
  <si>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</si>
  <si>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</si>
  <si>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</si>
  <si>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</si>
  <si>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</si>
  <si>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</si>
  <si>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</si>
  <si>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</si>
  <si>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</si>
  <si>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</si>
  <si>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</si>
  <si>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</si>
  <si>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</si>
  <si>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</si>
  <si>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</si>
  <si>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</si>
  <si>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</si>
  <si>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</si>
  <si>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</si>
  <si>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</si>
  <si>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</si>
  <si>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</si>
  <si>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</si>
  <si>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</si>
  <si>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</si>
  <si>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</si>
  <si>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</si>
  <si>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</si>
  <si>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</si>
  <si>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</si>
  <si>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</si>
  <si>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</si>
  <si>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</si>
  <si>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</si>
  <si>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</si>
  <si>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</si>
  <si>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</si>
  <si>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</si>
  <si>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</si>
  <si>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</si>
  <si>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</si>
  <si>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</si>
  <si>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</si>
  <si>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</si>
  <si>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</si>
  <si>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</si>
  <si>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</si>
  <si>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</si>
  <si>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</si>
  <si>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</si>
  <si>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</si>
  <si>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</si>
  <si>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</si>
  <si>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</si>
  <si>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</si>
  <si>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</si>
  <si>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</si>
  <si>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</si>
  <si>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</si>
  <si>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</si>
  <si>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</si>
  <si>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</si>
  <si>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</si>
  <si>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</si>
  <si>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</si>
  <si>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</si>
  <si>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</si>
  <si>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</si>
  <si>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</si>
  <si>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</si>
  <si>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</si>
  <si>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</si>
  <si>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</si>
  <si>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</si>
  <si>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</si>
  <si>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</si>
  <si>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</si>
  <si>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</si>
  <si>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</si>
  <si>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</si>
  <si>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</si>
  <si>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</si>
  <si>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</si>
  <si>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</si>
  <si>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</si>
  <si>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</si>
  <si>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</si>
  <si>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</si>
  <si>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</si>
  <si>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</si>
  <si>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</si>
  <si>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</si>
  <si>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</si>
  <si>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</si>
  <si>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</si>
  <si>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</si>
  <si>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</si>
  <si>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</si>
  <si>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</si>
  <si>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</si>
  <si>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</si>
  <si>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</si>
  <si>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</si>
  <si>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</si>
  <si>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</si>
  <si>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</si>
  <si>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</si>
  <si>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</si>
  <si>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</si>
  <si>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</si>
  <si>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</si>
  <si>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</si>
  <si>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</si>
  <si>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</si>
  <si>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</si>
  <si>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</si>
  <si>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</si>
  <si>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</si>
  <si>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</si>
  <si>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</si>
  <si>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</si>
  <si>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</si>
  <si>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</si>
  <si>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</si>
  <si>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</si>
  <si>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</si>
  <si>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</si>
  <si>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</si>
  <si>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</si>
  <si>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</si>
  <si>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</si>
  <si>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</si>
  <si>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</si>
  <si>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</si>
  <si>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</si>
  <si>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</si>
  <si>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</si>
  <si>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</si>
  <si>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</si>
  <si>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</si>
  <si>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</si>
  <si>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</si>
  <si>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</si>
  <si>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</si>
  <si>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</si>
  <si>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</si>
  <si>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</si>
  <si>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</si>
  <si>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</si>
  <si>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</si>
  <si>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</si>
  <si>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</si>
  <si>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</si>
  <si>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</si>
  <si>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</si>
  <si>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</si>
  <si>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</si>
  <si>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</si>
  <si>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</si>
  <si>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</si>
  <si>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</si>
  <si>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</si>
  <si>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</si>
  <si>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</si>
  <si>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</si>
  <si>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</si>
  <si>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</si>
  <si>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</si>
  <si>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</si>
  <si>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</si>
  <si>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</si>
  <si>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</si>
  <si>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</si>
  <si>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</si>
  <si>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</si>
  <si>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</si>
  <si>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</si>
  <si>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</si>
  <si>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</si>
  <si>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</si>
  <si>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</si>
  <si>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</si>
  <si>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</si>
  <si>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</si>
  <si>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</si>
  <si>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</si>
  <si>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</si>
  <si>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</si>
  <si>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</si>
  <si>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</si>
  <si>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</si>
  <si>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</si>
  <si>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</si>
  <si>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</si>
  <si>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</si>
  <si>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</si>
  <si>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</si>
  <si>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</si>
  <si>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</si>
  <si>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</si>
  <si>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</si>
  <si>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</si>
  <si>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</si>
  <si>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</si>
  <si>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</si>
  <si>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</si>
  <si>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</si>
  <si>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</si>
  <si>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</si>
  <si>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</si>
  <si>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</si>
  <si>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</si>
  <si>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</si>
  <si>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</si>
  <si>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</si>
  <si>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</si>
  <si>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</si>
  <si>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</si>
  <si>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</si>
  <si>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</si>
  <si>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</si>
  <si>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</si>
  <si>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</si>
  <si>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</si>
  <si>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</si>
  <si>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</si>
  <si>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</si>
  <si>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</si>
  <si>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</si>
  <si>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</si>
  <si>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</si>
  <si>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</si>
  <si>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</si>
  <si>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</si>
  <si>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</si>
  <si>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</si>
  <si>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</si>
  <si>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</si>
  <si>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</si>
  <si>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</si>
  <si>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</si>
  <si>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</si>
  <si>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</si>
  <si>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</si>
  <si>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</si>
  <si>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</si>
  <si>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</si>
  <si>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</si>
  <si>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</si>
  <si>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</si>
  <si>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</si>
  <si>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</si>
  <si>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</si>
  <si>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</si>
  <si>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</si>
  <si>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</si>
  <si>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</si>
  <si>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</si>
  <si>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</si>
  <si>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</si>
  <si>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</si>
  <si>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</si>
  <si>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</si>
  <si>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</si>
  <si>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</si>
  <si>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</si>
  <si>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</si>
  <si>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</si>
  <si>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</si>
  <si>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</si>
  <si>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</si>
  <si>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</si>
  <si>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</si>
  <si>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</si>
  <si>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</si>
  <si>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</si>
  <si>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</si>
  <si>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</si>
  <si>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</si>
  <si>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</si>
  <si>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</si>
  <si>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</si>
  <si>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</si>
  <si>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</si>
  <si>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</si>
  <si>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</si>
  <si>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</si>
  <si>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</si>
  <si>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</si>
  <si>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</si>
  <si>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</si>
  <si>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</si>
  <si>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</si>
  <si>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</si>
  <si>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</si>
  <si>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</si>
  <si>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</si>
  <si>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</si>
  <si>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</si>
  <si>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</si>
  <si>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</si>
  <si>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</si>
  <si>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</si>
  <si>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</si>
  <si>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</si>
  <si>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</si>
  <si>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</si>
  <si>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</si>
  <si>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</si>
  <si>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</si>
  <si>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</si>
  <si>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</si>
  <si>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</si>
  <si>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</si>
  <si>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</si>
  <si>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</si>
  <si>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</si>
  <si>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</si>
  <si>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</si>
  <si>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</si>
  <si>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</si>
  <si>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</si>
  <si>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</si>
  <si>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</si>
  <si>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</si>
  <si>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</si>
  <si>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</si>
  <si>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</si>
  <si>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</si>
  <si>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</si>
  <si>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</si>
  <si>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</si>
  <si>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</si>
  <si>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</si>
  <si>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</si>
  <si>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</si>
  <si>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</si>
  <si>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</si>
  <si>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</si>
  <si>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</si>
  <si>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</si>
  <si>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</si>
  <si>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</si>
  <si>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</si>
  <si>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</si>
  <si>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</si>
  <si>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</si>
  <si>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</si>
  <si>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</si>
  <si>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</si>
  <si>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</si>
  <si>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</si>
  <si>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</si>
  <si>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</si>
  <si>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</si>
  <si>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</si>
  <si>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</si>
  <si>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</si>
  <si>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</si>
  <si>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</si>
  <si>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</si>
  <si>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</si>
  <si>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</si>
  <si>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</si>
  <si>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</si>
  <si>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</si>
  <si>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</si>
  <si>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</si>
  <si>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</si>
  <si>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</si>
  <si>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</si>
  <si>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</si>
  <si>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</si>
  <si>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</si>
  <si>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</si>
  <si>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</si>
  <si>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</si>
  <si>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</si>
  <si>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</si>
  <si>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</si>
  <si>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</si>
  <si>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</si>
  <si>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</si>
  <si>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</si>
  <si>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</si>
  <si>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</si>
  <si>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</si>
  <si>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</si>
  <si>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</si>
  <si>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</si>
  <si>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</si>
  <si>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</si>
  <si>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</si>
  <si>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</si>
  <si>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</si>
  <si>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</si>
  <si>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</si>
  <si>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</si>
  <si>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</si>
  <si>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</si>
  <si>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</si>
  <si>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</si>
  <si>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</si>
  <si>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</si>
  <si>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</si>
  <si>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</si>
  <si>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</si>
  <si>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</si>
  <si>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</si>
  <si>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</si>
  <si>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</si>
  <si>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</si>
  <si>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</si>
  <si>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</si>
  <si>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</si>
  <si>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</si>
  <si>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</si>
  <si>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</si>
  <si>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</si>
  <si>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</si>
  <si>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</si>
  <si>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</si>
  <si>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</si>
  <si>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</si>
  <si>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</si>
  <si>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</si>
  <si>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</si>
  <si>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</si>
  <si>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</si>
  <si>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</si>
  <si>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</si>
  <si>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</si>
  <si>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</si>
  <si>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</si>
  <si>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</si>
  <si>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</si>
  <si>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</si>
  <si>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</si>
  <si>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</si>
  <si>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</si>
  <si>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</si>
  <si>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</si>
  <si>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</si>
  <si>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</si>
  <si>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</si>
  <si>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</si>
  <si>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</si>
  <si>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</si>
  <si>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</si>
  <si>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</si>
  <si>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</si>
  <si>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</si>
  <si>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</si>
  <si>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</si>
  <si>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</si>
  <si>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</si>
  <si>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</si>
  <si>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</si>
  <si>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</si>
  <si>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</si>
  <si>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</si>
  <si>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</si>
  <si>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</si>
  <si>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</si>
  <si>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</si>
  <si>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</si>
  <si>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</si>
  <si>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</si>
  <si>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</si>
  <si>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</si>
  <si>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</si>
  <si>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</si>
  <si>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</si>
  <si>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</si>
  <si>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</si>
  <si>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</si>
  <si>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</si>
  <si>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</si>
  <si>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</si>
  <si>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</si>
  <si>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</si>
  <si>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</si>
  <si>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</si>
  <si>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</si>
  <si>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</si>
  <si>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</si>
  <si>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</si>
  <si>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</si>
  <si>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</si>
  <si>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</si>
  <si>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</si>
  <si>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</si>
  <si>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</si>
  <si>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</si>
  <si>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</si>
  <si>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</si>
  <si>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</si>
  <si>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</si>
  <si>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</si>
  <si>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</si>
  <si>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</si>
  <si>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</si>
  <si>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</si>
  <si>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</si>
  <si>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</si>
  <si>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</si>
  <si>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</si>
  <si>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</si>
  <si>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</si>
  <si>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</si>
  <si>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</si>
  <si>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</si>
  <si>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</si>
  <si>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</si>
  <si>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</si>
  <si>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</si>
  <si>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</si>
  <si>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</si>
  <si>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</si>
  <si>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</si>
  <si>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</si>
  <si>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</si>
  <si>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</si>
  <si>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</si>
  <si>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</si>
  <si>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</si>
  <si>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</si>
  <si>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</si>
  <si>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</si>
  <si>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</si>
  <si>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</si>
  <si>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</si>
  <si>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</si>
  <si>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</si>
  <si>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</si>
  <si>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</si>
  <si>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</si>
  <si>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</si>
  <si>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</si>
  <si>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</si>
  <si>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</si>
  <si>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</si>
  <si>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</si>
  <si>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</si>
  <si>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</si>
  <si>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</si>
  <si>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</si>
  <si>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</si>
  <si>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</si>
  <si>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</si>
  <si>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</si>
  <si>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</si>
  <si>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</si>
  <si>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</si>
  <si>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</si>
  <si>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</si>
  <si>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</si>
  <si>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</si>
  <si>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</si>
  <si>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</si>
  <si>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</si>
  <si>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</si>
  <si>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</si>
  <si>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</si>
  <si>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</si>
  <si>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</si>
  <si>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</si>
  <si>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</si>
  <si>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</si>
  <si>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</si>
  <si>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</si>
  <si>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</si>
  <si>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</si>
  <si>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</si>
  <si>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</si>
  <si>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</si>
  <si>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</si>
  <si>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</si>
  <si>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</si>
  <si>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</si>
  <si>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</si>
  <si>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</si>
  <si>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</si>
  <si>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</si>
  <si>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</si>
  <si>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</si>
  <si>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</si>
  <si>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</si>
  <si>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</si>
  <si>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</si>
  <si>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</si>
  <si>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</si>
  <si>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</si>
  <si>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</si>
  <si>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</si>
  <si>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</si>
  <si>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</si>
  <si>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</si>
  <si>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</si>
  <si>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</si>
  <si>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</si>
  <si>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</si>
  <si>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</si>
  <si>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</si>
  <si>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</si>
  <si>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</si>
  <si>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</si>
  <si>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</si>
  <si>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</si>
  <si>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</si>
  <si>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</si>
  <si>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</si>
  <si>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</si>
  <si>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</si>
  <si>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</si>
  <si>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</si>
  <si>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</si>
  <si>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</si>
  <si>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</si>
  <si>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</si>
  <si>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</si>
  <si>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</si>
  <si>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</si>
  <si>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</si>
  <si>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</si>
  <si>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</si>
  <si>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</si>
  <si>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</si>
  <si>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</si>
  <si>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</si>
  <si>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</si>
  <si>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</si>
  <si>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</si>
  <si>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</si>
  <si>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</si>
  <si>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</si>
  <si>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</si>
  <si>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</si>
  <si>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</si>
  <si>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</si>
  <si>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</si>
  <si>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</si>
  <si>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</si>
  <si>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</si>
  <si>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</si>
  <si>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</si>
  <si>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</si>
  <si>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</si>
  <si>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</si>
  <si>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</si>
  <si>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</si>
  <si>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</si>
  <si>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</si>
  <si>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</si>
  <si>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</si>
  <si>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</si>
  <si>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</si>
  <si>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</si>
  <si>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</si>
  <si>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</si>
  <si>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</si>
  <si>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</si>
  <si>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</si>
  <si>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</si>
  <si>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</si>
  <si>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</si>
  <si>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</si>
  <si>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</si>
  <si>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</si>
  <si>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</si>
  <si>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</si>
  <si>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</si>
  <si>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</si>
  <si>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</si>
  <si>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</si>
  <si>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</si>
  <si>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</si>
  <si>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</si>
  <si>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</si>
  <si>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</si>
  <si>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</si>
  <si>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</si>
  <si>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</si>
  <si>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</si>
  <si>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</si>
  <si>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</si>
  <si>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</si>
  <si>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</si>
  <si>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</si>
  <si>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</si>
  <si>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</si>
  <si>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</si>
  <si>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</si>
  <si>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</si>
  <si>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</si>
  <si>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</si>
  <si>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</si>
  <si>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</si>
  <si>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</si>
  <si>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</si>
  <si>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</si>
  <si>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</si>
  <si>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</si>
  <si>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</si>
  <si>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</si>
  <si>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</si>
  <si>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</si>
  <si>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</si>
  <si>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</si>
  <si>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</si>
  <si>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</si>
  <si>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</si>
  <si>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</si>
  <si>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</si>
  <si>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</si>
  <si>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</si>
  <si>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</si>
  <si>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</si>
  <si>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</si>
  <si>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</si>
  <si>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</si>
  <si>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</si>
  <si>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</si>
  <si>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</si>
  <si>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</si>
  <si>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</si>
  <si>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</si>
  <si>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</si>
  <si>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</si>
  <si>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</si>
  <si>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</si>
  <si>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</si>
  <si>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</si>
  <si>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</si>
  <si>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</si>
  <si>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</si>
  <si>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</si>
  <si>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</si>
  <si>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</si>
  <si>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</si>
  <si>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</si>
  <si>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</si>
  <si>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</si>
  <si>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</si>
  <si>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</si>
  <si>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</si>
  <si>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</si>
  <si>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</si>
  <si>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</si>
  <si>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</si>
  <si>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</si>
  <si>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</si>
  <si>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</si>
  <si>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</si>
  <si>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</si>
  <si>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</si>
  <si>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</si>
  <si>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</si>
  <si>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</si>
  <si>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</si>
  <si>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</si>
  <si>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</si>
  <si>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</si>
  <si>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</si>
  <si>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</si>
  <si>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</si>
  <si>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</si>
  <si>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</si>
  <si>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</si>
  <si>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</si>
  <si>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</si>
  <si>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</si>
  <si>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</si>
  <si>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</si>
  <si>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</si>
  <si>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</si>
  <si>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</si>
  <si>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</si>
  <si>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</si>
  <si>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</si>
  <si>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</si>
  <si>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</si>
  <si>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</si>
  <si>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</si>
  <si>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</si>
  <si>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</si>
  <si>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</si>
  <si>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</si>
  <si>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</si>
  <si>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</si>
  <si>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</si>
  <si>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</si>
  <si>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</si>
  <si>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</si>
  <si>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</si>
  <si>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</si>
  <si>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</si>
  <si>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</si>
  <si>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</si>
  <si>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</si>
  <si>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</si>
  <si>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</si>
  <si>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</si>
  <si>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</si>
  <si>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</si>
  <si>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</si>
  <si>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</si>
  <si>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</si>
  <si>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</si>
  <si>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</si>
  <si>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</si>
  <si>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</si>
  <si>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</si>
  <si>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</si>
  <si>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</si>
  <si>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</si>
  <si>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</si>
  <si>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</si>
  <si>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</si>
  <si>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</si>
  <si>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</si>
  <si>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</si>
  <si>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</si>
  <si>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</si>
  <si>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</si>
  <si>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</si>
  <si>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</si>
  <si>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</si>
  <si>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</si>
  <si>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</si>
  <si>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</si>
  <si>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</si>
  <si>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</si>
  <si>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</si>
  <si>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</si>
  <si>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</si>
  <si>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</si>
  <si>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</si>
  <si>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</si>
  <si>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</si>
  <si>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</si>
  <si>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</si>
  <si>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</si>
  <si>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</si>
  <si>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</si>
  <si>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</si>
  <si>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</si>
  <si>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</si>
  <si>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</si>
  <si>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</si>
  <si>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</si>
  <si>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</si>
  <si>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</si>
  <si>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</si>
  <si>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</si>
  <si>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</si>
  <si>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</si>
  <si>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</si>
  <si>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</si>
  <si>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</si>
  <si>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</si>
  <si>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</si>
  <si>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</si>
  <si>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</si>
  <si>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</si>
  <si>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</si>
  <si>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</si>
  <si>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</si>
  <si>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</si>
  <si>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</si>
  <si>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</si>
  <si>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</si>
  <si>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</si>
  <si>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</si>
  <si>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</si>
  <si>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</si>
  <si>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</si>
  <si>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</si>
  <si>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</si>
  <si>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</si>
  <si>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</si>
  <si>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</si>
  <si>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</si>
  <si>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</si>
  <si>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</si>
  <si>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</si>
  <si>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</si>
  <si>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</si>
  <si>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</si>
  <si>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</si>
  <si>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</si>
  <si>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</si>
  <si>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</si>
  <si>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</si>
  <si>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</si>
  <si>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</si>
  <si>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</si>
  <si>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</si>
  <si>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</si>
  <si>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</si>
  <si>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</si>
  <si>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</si>
  <si>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</si>
  <si>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</si>
  <si>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</si>
  <si>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</si>
  <si>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</si>
  <si>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</si>
  <si>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</si>
  <si>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</si>
  <si>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</si>
  <si>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</si>
  <si>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</si>
  <si>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</si>
  <si>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</si>
  <si>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</si>
  <si>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</si>
  <si>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</si>
  <si>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</si>
  <si>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</si>
  <si>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</si>
  <si>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</si>
  <si>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</si>
  <si>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</si>
  <si>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</si>
  <si>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</si>
  <si>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</si>
  <si>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</si>
  <si>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</si>
  <si>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</si>
  <si>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</si>
  <si>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</si>
  <si>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</si>
  <si>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</si>
  <si>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</si>
  <si>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</si>
  <si>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</si>
  <si>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</si>
  <si>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</si>
  <si>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</si>
  <si>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</si>
  <si>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</si>
  <si>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</si>
  <si>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</si>
  <si>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</si>
  <si>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</si>
  <si>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</si>
  <si>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</si>
  <si>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</si>
  <si>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</si>
  <si>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</si>
  <si>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</si>
  <si>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</si>
  <si>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</si>
  <si>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</si>
  <si>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</si>
  <si>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</si>
  <si>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</si>
  <si>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</si>
  <si>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</si>
  <si>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</si>
  <si>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</si>
  <si>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</si>
  <si>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</si>
  <si>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</si>
  <si>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</si>
  <si>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</si>
  <si>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</si>
  <si>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</si>
  <si>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</si>
  <si>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</si>
  <si>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</si>
  <si>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</si>
  <si>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</si>
  <si>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</si>
  <si>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</si>
  <si>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</si>
  <si>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</si>
  <si>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</si>
  <si>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</si>
  <si>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</si>
  <si>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</si>
  <si>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</si>
  <si>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</si>
  <si>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</si>
  <si>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</si>
  <si>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</si>
  <si>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</si>
  <si>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</si>
  <si>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</si>
  <si>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</si>
  <si>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</si>
  <si>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</si>
  <si>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</si>
  <si>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</si>
  <si>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</si>
  <si>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</si>
  <si>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</si>
  <si>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</si>
  <si>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</si>
  <si>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</si>
  <si>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</si>
  <si>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</si>
  <si>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</si>
  <si>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</si>
  <si>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</si>
  <si>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</si>
  <si>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</si>
  <si>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</si>
  <si>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</si>
  <si>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</si>
  <si>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</si>
  <si>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</si>
  <si>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</si>
  <si>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</si>
  <si>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</si>
  <si>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</si>
  <si>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</si>
  <si>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</si>
  <si>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</si>
  <si>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</si>
  <si>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</si>
  <si>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</si>
  <si>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</si>
  <si>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</si>
  <si>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</si>
  <si>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</si>
  <si>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</si>
  <si>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</si>
  <si>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</si>
  <si>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</si>
  <si>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</si>
  <si>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</si>
  <si>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</si>
  <si>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</si>
  <si>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</si>
  <si>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</si>
  <si>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</si>
  <si>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</si>
  <si>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</si>
  <si>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</si>
  <si>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</si>
  <si>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</si>
  <si>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</si>
  <si>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</si>
  <si>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</si>
  <si>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</si>
  <si>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</si>
  <si>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</si>
  <si>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</si>
  <si>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</si>
  <si>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</si>
  <si>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</si>
  <si>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</si>
  <si>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</si>
  <si>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</si>
  <si>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</si>
  <si>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</si>
  <si>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</si>
  <si>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</si>
  <si>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</si>
  <si>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</si>
  <si>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</si>
  <si>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</si>
  <si>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</si>
  <si>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</si>
  <si>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</si>
  <si>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</si>
  <si>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</si>
  <si>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</si>
  <si>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</si>
  <si>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</si>
  <si>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</si>
  <si>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</si>
  <si>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</si>
  <si>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</si>
  <si>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</si>
  <si>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</si>
  <si>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</si>
  <si>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</si>
  <si>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</si>
  <si>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</si>
  <si>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</si>
  <si>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</si>
  <si>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</si>
  <si>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</si>
  <si>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</si>
  <si>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</si>
  <si>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</si>
  <si>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</si>
  <si>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</si>
  <si>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</si>
  <si>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</si>
  <si>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</si>
  <si>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</si>
  <si>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</si>
  <si>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</si>
  <si>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</si>
  <si>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</si>
  <si>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</si>
  <si>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</si>
  <si>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</si>
  <si>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</si>
  <si>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</si>
  <si>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</si>
  <si>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</si>
  <si>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</si>
  <si>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</si>
  <si>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</si>
  <si>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</si>
  <si>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</si>
  <si>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</si>
  <si>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</si>
  <si>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</si>
  <si>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</si>
  <si>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</si>
  <si>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</si>
  <si>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</si>
  <si>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</si>
  <si>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</si>
  <si>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</si>
  <si>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</si>
  <si>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</si>
  <si>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</si>
  <si>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</si>
  <si>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</si>
  <si>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</si>
  <si>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</si>
  <si>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</si>
  <si>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</si>
  <si>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</si>
  <si>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</si>
  <si>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</si>
  <si>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</si>
  <si>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</si>
  <si>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</si>
  <si>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</si>
  <si>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</si>
  <si>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</si>
  <si>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</si>
  <si>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</si>
  <si>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</si>
  <si>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</si>
  <si>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</si>
  <si>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</si>
  <si>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</si>
  <si>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</si>
  <si>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</si>
  <si>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</si>
  <si>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</si>
  <si>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</si>
  <si>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</si>
  <si>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</si>
  <si>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</si>
  <si>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</si>
  <si>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</si>
  <si>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</si>
  <si>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</si>
  <si>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</si>
  <si>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</si>
  <si>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</si>
  <si>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</si>
  <si>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</si>
  <si>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</si>
  <si>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</si>
  <si>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</si>
  <si>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</si>
  <si>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</si>
  <si>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</si>
  <si>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</si>
  <si>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</si>
  <si>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</si>
  <si>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</si>
  <si>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</si>
  <si>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</si>
  <si>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</si>
  <si>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</si>
  <si>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</si>
  <si>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</si>
  <si>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</si>
  <si>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</si>
  <si>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</si>
  <si>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</si>
  <si>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</si>
  <si>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</si>
  <si>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</si>
  <si>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</si>
  <si>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</si>
  <si>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</si>
  <si>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</si>
  <si>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</si>
  <si>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</si>
  <si>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</si>
  <si>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</si>
  <si>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</si>
  <si>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</si>
  <si>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</si>
  <si>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</si>
  <si>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</si>
  <si>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</si>
  <si>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</si>
  <si>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</si>
  <si>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</si>
  <si>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</si>
  <si>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</si>
  <si>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</si>
  <si>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</si>
  <si>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</si>
  <si>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</si>
  <si>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</si>
  <si>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</si>
  <si>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</si>
  <si>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</si>
  <si>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</si>
  <si>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</si>
  <si>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</si>
  <si>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</si>
  <si>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</si>
  <si>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</si>
  <si>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</si>
  <si>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</si>
  <si>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</si>
  <si>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</si>
  <si>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</si>
  <si>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</si>
  <si>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</si>
  <si>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</si>
  <si>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</si>
  <si>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</si>
  <si>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</si>
  <si>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</si>
  <si>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</si>
  <si>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</si>
  <si>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</si>
  <si>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</si>
  <si>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</si>
  <si>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</si>
  <si>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</si>
  <si>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</si>
  <si>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</si>
  <si>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</si>
  <si>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</si>
  <si>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</si>
  <si>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</si>
  <si>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</si>
  <si>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</si>
  <si>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</si>
  <si>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</si>
  <si>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</si>
  <si>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</si>
  <si>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</si>
  <si>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</si>
  <si>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</si>
  <si>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</si>
  <si>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</si>
  <si>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</si>
  <si>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</si>
  <si>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</si>
  <si>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</si>
  <si>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</si>
  <si>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</si>
  <si>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</si>
  <si>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</si>
  <si>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</si>
  <si>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</si>
  <si>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</si>
  <si>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</si>
  <si>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</si>
  <si>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</si>
  <si>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</si>
  <si>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</si>
  <si>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</si>
  <si>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</si>
  <si>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</si>
  <si>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</si>
  <si>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</si>
  <si>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</si>
  <si>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</si>
  <si>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</si>
  <si>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</si>
  <si>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</si>
  <si>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</si>
  <si>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</si>
  <si>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</si>
  <si>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</si>
  <si>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</si>
  <si>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</si>
  <si>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</si>
  <si>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</si>
  <si>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</si>
  <si>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</si>
  <si>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</si>
  <si>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</si>
  <si>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</si>
  <si>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</si>
  <si>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</si>
  <si>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</si>
  <si>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</si>
  <si>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</si>
  <si>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</si>
  <si>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</si>
  <si>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</si>
  <si>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</si>
  <si>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</si>
  <si>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</si>
  <si>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</si>
  <si>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</si>
  <si>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</si>
  <si>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</si>
  <si>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</si>
  <si>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</si>
  <si>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</si>
  <si>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</si>
  <si>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</si>
  <si>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</si>
  <si>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</si>
  <si>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</si>
  <si>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</si>
  <si>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</si>
  <si>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</si>
  <si>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</si>
  <si>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</si>
  <si>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</si>
  <si>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</si>
  <si>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</si>
  <si>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</si>
  <si>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</si>
  <si>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</si>
  <si>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</si>
  <si>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</si>
  <si>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</si>
  <si>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</si>
  <si>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</si>
  <si>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</si>
  <si>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</si>
  <si>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</si>
  <si>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</si>
  <si>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</si>
  <si>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</si>
  <si>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</si>
  <si>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</si>
  <si>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</si>
  <si>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</si>
  <si>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</si>
  <si>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</si>
  <si>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</si>
  <si>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</si>
  <si>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</si>
  <si>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</si>
  <si>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</si>
  <si>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</si>
  <si>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</si>
  <si>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</si>
  <si>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</si>
  <si>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</si>
  <si>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</si>
  <si>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</si>
  <si>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</si>
  <si>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</si>
  <si>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</si>
  <si>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</si>
  <si>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</si>
  <si>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</si>
  <si>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</si>
  <si>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</si>
  <si>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</si>
  <si>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</si>
  <si>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</si>
  <si>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</si>
  <si>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</si>
  <si>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</si>
  <si>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</si>
  <si>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</si>
  <si>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</si>
  <si>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</si>
  <si>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</si>
  <si>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</si>
  <si>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</si>
  <si>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</si>
  <si>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</si>
  <si>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</si>
  <si>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Will</t>
  </si>
  <si>
    <t>209 Wildcat Court</t>
  </si>
  <si>
    <t>Wilmington</t>
  </si>
  <si>
    <t>Dr. Matt Swick</t>
  </si>
  <si>
    <t>mswick@wilmington.will.k12.il.us</t>
  </si>
  <si>
    <t>815-926-1751</t>
  </si>
  <si>
    <t>815-914-1694</t>
  </si>
  <si>
    <t>Mack &amp; Associates, P.C.</t>
  </si>
  <si>
    <t>Tawnya Mack, CPA</t>
  </si>
  <si>
    <t>116 E. Washington St., Suite One</t>
  </si>
  <si>
    <t xml:space="preserve">Morris </t>
  </si>
  <si>
    <t>IL</t>
  </si>
  <si>
    <t>815-942-3306</t>
  </si>
  <si>
    <t>815-942-9430</t>
  </si>
  <si>
    <t>066-005100</t>
  </si>
  <si>
    <t>tmack@mackcpas.com</t>
  </si>
  <si>
    <t>See PDF in Opinion Page with signature</t>
  </si>
  <si>
    <t>2003 Working Cash Bond</t>
  </si>
  <si>
    <t>2010A General Obligation Bond</t>
  </si>
  <si>
    <t>2011 General Obligation Bond</t>
  </si>
  <si>
    <t>2012A General Obligation Bond</t>
  </si>
  <si>
    <t>2015 Refunding Bond</t>
  </si>
  <si>
    <t>2017 Refunding Bond</t>
  </si>
  <si>
    <t>2019 Refunding Bond</t>
  </si>
  <si>
    <t>Coal City Unit 1; Reed Custer Unit 225</t>
  </si>
  <si>
    <t>Professional Benefit Administration</t>
  </si>
  <si>
    <t>Educational School Insurance Co-op; SELF</t>
  </si>
  <si>
    <t>PMA Financial Network</t>
  </si>
  <si>
    <t>Klein, Thorpe &amp; Jenkins, LLP</t>
  </si>
  <si>
    <t>Coal City Unit 1; Reed Custer Unit 225; PDA</t>
  </si>
  <si>
    <t>Southern Will County Special Education Co-op</t>
  </si>
  <si>
    <t>State of Illinois Joint Purchasing</t>
  </si>
  <si>
    <t>Illinois Central School Bus Co.</t>
  </si>
  <si>
    <t>Will County Area Career Center; Grundy Area Vocational Center</t>
  </si>
  <si>
    <t>Wilmington Island Park District</t>
  </si>
  <si>
    <t>COMMERCIAL ELECTRONIC SYSTEMS</t>
  </si>
  <si>
    <t>CROSS POINT SALES, INC.</t>
  </si>
  <si>
    <t>THE DECISION SYSTEMS CO.</t>
  </si>
  <si>
    <t>IDEAL ENVIRONMENT ENGINEERING</t>
  </si>
  <si>
    <t>ILLINOIS CENTRAL BUS</t>
  </si>
  <si>
    <t>O&amp;M - O&amp;M PLANT - PURCHASED SERVICES</t>
  </si>
  <si>
    <t>ED - FISCAL SERVICES - PURCHASED SERVICES</t>
  </si>
  <si>
    <t>TRANS - PUPIL TRANS REGULAR - PURCHASED SERVICES</t>
  </si>
  <si>
    <t>TRANS - PUPIL TRANS COVID - PURCHASED SERVICES</t>
  </si>
  <si>
    <t>TRANS - PUPIL TRANS WILCO - PURCHASED SERVICES</t>
  </si>
  <si>
    <t>Page 10, Line 74: Educational - Rebates and miscellaneous food sales</t>
  </si>
  <si>
    <t>Page 15, Line 41: Educational - Playground &amp; lunchroom supervisors</t>
  </si>
  <si>
    <t>Page 16, Line 73: Educational - Board paid member contributions to TRS and termination benefits</t>
  </si>
  <si>
    <t>Page 11, Line 107: Educational - Miscellaneous receipts</t>
  </si>
  <si>
    <t>Page 19, Line 237: SS &amp; IMRF - Playground and lunchroom supervisors</t>
  </si>
  <si>
    <t>Page 20, Line 278: SS &amp; IMRF - FICA/Medicare related to termination benefits paid</t>
  </si>
  <si>
    <t>Page 12, Line 168: O&amp;M - State Library Grant</t>
  </si>
  <si>
    <t>CHILD NUTRITION CLUSTER:</t>
  </si>
  <si>
    <t>TOTAL CHILD NUTRITION CLUSTER</t>
  </si>
  <si>
    <t>4210-2019</t>
  </si>
  <si>
    <t>4210-2020</t>
  </si>
  <si>
    <t>4220-2019</t>
  </si>
  <si>
    <t>4220-2020</t>
  </si>
  <si>
    <t>TOTAL FEDERAL AWARDS</t>
  </si>
  <si>
    <t>4300-2019</t>
  </si>
  <si>
    <t>4300-2020</t>
  </si>
  <si>
    <t>4991-2019</t>
  </si>
  <si>
    <t>4991-2020</t>
  </si>
  <si>
    <t>Flow Through not subject to Single Audit</t>
  </si>
  <si>
    <r>
      <t xml:space="preserve">The following amounts were expended in the form of non-cash assistance by </t>
    </r>
    <r>
      <rPr>
        <b/>
        <sz val="9"/>
        <rFont val="Calibri"/>
        <family val="2"/>
        <scheme val="minor"/>
      </rPr>
      <t>Wilmington Community Unit School District 209U</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</si>
  <si>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</si>
  <si>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Impact Aid Program</t>
  </si>
  <si>
    <t>N/A</t>
  </si>
  <si>
    <t>None</t>
  </si>
  <si>
    <t>lhipes@209u.net</t>
  </si>
  <si>
    <t>4001-2019</t>
  </si>
  <si>
    <t>4001-2020</t>
  </si>
  <si>
    <t xml:space="preserve">  US DEPARTMENT OF AGRICULTURE:</t>
  </si>
  <si>
    <t xml:space="preserve">    PASSED THROUGH ISBE:</t>
  </si>
  <si>
    <t xml:space="preserve">      NATIONAL SCHOOL LUNCH PROGRAM - 2019</t>
  </si>
  <si>
    <t xml:space="preserve">      NATIONAL SCHOOL LUNCH PROGRAM - 2020</t>
  </si>
  <si>
    <t xml:space="preserve">      LANTER COMMODITIES</t>
  </si>
  <si>
    <t xml:space="preserve">      SCHOOL BREAKFAST PROGRAM - 2019</t>
  </si>
  <si>
    <t xml:space="preserve">      SCHOOL BREAKFAST PROGRAM - 2020</t>
  </si>
  <si>
    <t xml:space="preserve">      SUMMER FOOD SERVICE PROGRAM</t>
  </si>
  <si>
    <t>4225-2020</t>
  </si>
  <si>
    <t xml:space="preserve">    TOTAL PASSED THROUGH ISBE</t>
  </si>
  <si>
    <t xml:space="preserve">  US DEPARTMENT OF DEFENSE:</t>
  </si>
  <si>
    <t xml:space="preserve">    FRESH FRUITS &amp; VEGETABLES</t>
  </si>
  <si>
    <t>IMPACT AID (M):</t>
  </si>
  <si>
    <t xml:space="preserve">  US DEPARTMENT OF EDUCATION</t>
  </si>
  <si>
    <t xml:space="preserve">    IMPACT AID - 2019</t>
  </si>
  <si>
    <t xml:space="preserve">    IMPACT AID - 2020</t>
  </si>
  <si>
    <t>TITLE I - PART A:</t>
  </si>
  <si>
    <t xml:space="preserve">  US DEPARTMENT OF EDUCATION:</t>
  </si>
  <si>
    <t xml:space="preserve">    TITLE I - 2019</t>
  </si>
  <si>
    <t xml:space="preserve">    TITLE I - 2020</t>
  </si>
  <si>
    <t>TOTAL TITLE I - PART A</t>
  </si>
  <si>
    <t>MEDICAID CLUSTER:</t>
  </si>
  <si>
    <t xml:space="preserve">  US DEPARTMENT OF HEALTH &amp; HUMAN SVCS:</t>
  </si>
  <si>
    <t xml:space="preserve">    PASSED THROUGH IL DEPT OF HCFS:</t>
  </si>
  <si>
    <t xml:space="preserve">      MEDICAL ASSISTANCE PROGRAM - 2019</t>
  </si>
  <si>
    <t xml:space="preserve">      MEDICAL ASSISTANCE PROGRAM - 2020</t>
  </si>
  <si>
    <t>TOTAL MEDICAID CLUSTER</t>
  </si>
  <si>
    <t>Rounding adjustment</t>
  </si>
  <si>
    <r>
      <t xml:space="preserve">The accompanying Schedule of Expenditures of Federal Awards includes the federal grant activity of Wilmington Community Unit School District 209U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</si>
  <si>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 xml:space="preserve">Wilmington Community Unit School District 209U </t>
    </r>
    <r>
      <rPr>
        <sz val="9"/>
        <rFont val="Calibri"/>
        <family val="2"/>
        <scheme val="minor"/>
      </rPr>
      <t>provided federal awards to subrecipients as follows:</t>
    </r>
  </si>
  <si>
    <t>NONE</t>
  </si>
  <si>
    <t xml:space="preserve">  Wilmington CUSD 209U</t>
  </si>
  <si>
    <t xml:space="preserve">56099209U26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</si>
</sst>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0">
        <f>+'AFR20'!E4</f>
        <v>44119</v>
      </c>
      <c r="C1" s="2120"/>
      <c r="D1" s="2121"/>
      <c r="I1" s="2079" t="s">
        <v>402</v>
      </c>
      <c r="J1" s="2080"/>
      <c r="K1" s="2080"/>
      <c r="L1" s="2080"/>
      <c r="M1" s="2080"/>
      <c r="N1" s="2080"/>
      <c r="O1" s="2080"/>
      <c r="P1" s="2080"/>
      <c r="Q1" s="2080"/>
      <c r="R1" s="2080"/>
      <c r="S1" s="2080"/>
    </row>
    <row r="2" spans="1:32" ht="12" customHeight="1" x14ac:dyDescent="0.2">
      <c r="A2" s="1831" t="str">
        <f>"Due to ISBE on "</f>
        <v xml:space="preserve">Due to ISBE on </v>
      </c>
      <c r="B2" s="2122">
        <f>+'AFR20'!F4</f>
        <v>44151</v>
      </c>
      <c r="C2" s="2122"/>
      <c r="D2" s="2123"/>
      <c r="I2" s="2081" t="s">
        <v>2000</v>
      </c>
      <c r="J2" s="2080"/>
      <c r="K2" s="2080"/>
      <c r="L2" s="2080"/>
      <c r="M2" s="2080"/>
      <c r="N2" s="2080"/>
      <c r="O2" s="2080"/>
      <c r="P2" s="2080"/>
      <c r="Q2" s="2080"/>
      <c r="R2" s="2080"/>
      <c r="S2" s="2080"/>
    </row>
    <row r="3" spans="1:32" ht="12" customHeight="1" x14ac:dyDescent="0.2">
      <c r="A3" s="1834" t="str">
        <f>"SD/JA"&amp;MID('AFR20'!E2,3,2)</f>
        <v>SD/JA20</v>
      </c>
      <c r="B3" s="151"/>
      <c r="C3" s="151"/>
      <c r="D3" s="152"/>
      <c r="I3" s="2081" t="s">
        <v>52</v>
      </c>
      <c r="J3" s="2080"/>
      <c r="K3" s="2080"/>
      <c r="L3" s="2080"/>
      <c r="M3" s="2080"/>
      <c r="N3" s="2080"/>
      <c r="O3" s="2080"/>
      <c r="P3" s="2080"/>
      <c r="Q3" s="2080"/>
      <c r="R3" s="2080"/>
      <c r="S3" s="2080"/>
    </row>
    <row r="4" spans="1:32" ht="12" customHeight="1" x14ac:dyDescent="0.2">
      <c r="A4" s="37"/>
      <c r="I4" s="2081" t="s">
        <v>521</v>
      </c>
      <c r="J4" s="2080"/>
      <c r="K4" s="2080"/>
      <c r="L4" s="2080"/>
      <c r="M4" s="2080"/>
      <c r="N4" s="2080"/>
      <c r="O4" s="2080"/>
      <c r="P4" s="2080"/>
      <c r="Q4" s="2080"/>
      <c r="R4" s="2080"/>
      <c r="S4" s="2080"/>
    </row>
    <row r="5" spans="1:32" ht="14.1" customHeight="1" x14ac:dyDescent="0.2">
      <c r="B5" s="101" t="s">
        <v>2048</v>
      </c>
      <c r="C5" s="26" t="s">
        <v>904</v>
      </c>
      <c r="D5" s="81"/>
      <c r="E5" s="81"/>
      <c r="H5" s="38"/>
      <c r="I5" s="2089" t="s">
        <v>675</v>
      </c>
      <c r="J5" s="2088"/>
      <c r="K5" s="2088"/>
      <c r="L5" s="2088"/>
      <c r="M5" s="2088"/>
      <c r="N5" s="2088"/>
      <c r="O5" s="2088"/>
      <c r="P5" s="2088"/>
      <c r="Q5" s="2088"/>
      <c r="R5" s="2088"/>
      <c r="S5" s="2088"/>
      <c r="AF5" s="1827"/>
    </row>
    <row r="6" spans="1:32" ht="14.1" customHeight="1" x14ac:dyDescent="0.2">
      <c r="B6" s="101"/>
      <c r="C6" s="26" t="s">
        <v>905</v>
      </c>
      <c r="D6" s="81"/>
      <c r="E6" s="81"/>
      <c r="I6" s="2087" t="s">
        <v>877</v>
      </c>
      <c r="J6" s="2088"/>
      <c r="K6" s="2088"/>
      <c r="L6" s="2088"/>
      <c r="M6" s="2088"/>
      <c r="N6" s="2088"/>
      <c r="O6" s="2088"/>
      <c r="P6" s="2088"/>
      <c r="Q6" s="2088"/>
      <c r="R6" s="2088"/>
      <c r="S6" s="2088"/>
    </row>
    <row r="7" spans="1:32" ht="12.2" customHeight="1" x14ac:dyDescent="0.2">
      <c r="I7" s="2082" t="str">
        <f>"June 30, "&amp;'AFR20'!E2</f>
        <v>June 30, 2020</v>
      </c>
      <c r="J7" s="2083"/>
      <c r="K7" s="2083"/>
      <c r="L7" s="2083"/>
      <c r="M7" s="2083"/>
      <c r="N7" s="2083"/>
      <c r="O7" s="2083"/>
      <c r="P7" s="2083"/>
      <c r="Q7" s="2083"/>
      <c r="R7" s="2083"/>
      <c r="S7" s="208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4" t="s">
        <v>669</v>
      </c>
      <c r="J9" s="2085"/>
      <c r="K9" s="2085"/>
      <c r="L9" s="2085"/>
      <c r="M9" s="2085"/>
      <c r="N9" s="2085"/>
      <c r="O9" s="2085"/>
      <c r="P9" s="2085"/>
      <c r="Q9" s="2085"/>
      <c r="R9" s="2085"/>
      <c r="S9" s="2086"/>
      <c r="T9" s="2137" t="s">
        <v>530</v>
      </c>
      <c r="U9" s="2138"/>
      <c r="V9" s="2138"/>
      <c r="W9" s="2138"/>
      <c r="X9" s="2138"/>
      <c r="Y9" s="2138"/>
      <c r="Z9" s="2138"/>
      <c r="AA9" s="2139"/>
    </row>
    <row r="10" spans="1:32" ht="13.5" customHeight="1" x14ac:dyDescent="0.2">
      <c r="A10" s="2144" t="s">
        <v>670</v>
      </c>
      <c r="B10" s="2145"/>
      <c r="C10" s="2145"/>
      <c r="D10" s="2145"/>
      <c r="E10" s="2145"/>
      <c r="F10" s="2145"/>
      <c r="G10" s="2145"/>
      <c r="H10" s="2146"/>
      <c r="I10" s="29"/>
      <c r="J10" s="30"/>
      <c r="K10" s="28"/>
      <c r="R10" s="30"/>
      <c r="S10" s="30"/>
      <c r="T10" s="2140"/>
      <c r="U10" s="2088"/>
      <c r="V10" s="2088"/>
      <c r="W10" s="2088"/>
      <c r="X10" s="2088"/>
      <c r="Y10" s="2088"/>
      <c r="Z10" s="2088"/>
      <c r="AA10" s="2094"/>
    </row>
    <row r="11" spans="1:32" ht="14.25" customHeight="1" x14ac:dyDescent="0.2">
      <c r="A11" s="2147" t="s">
        <v>949</v>
      </c>
      <c r="B11" s="2148"/>
      <c r="C11" s="2148"/>
      <c r="D11" s="2148"/>
      <c r="E11" s="2148"/>
      <c r="F11" s="2148"/>
      <c r="G11" s="2148"/>
      <c r="H11" s="2149"/>
      <c r="I11" s="27"/>
      <c r="J11" s="71"/>
      <c r="K11" s="27"/>
      <c r="O11" s="144" t="s">
        <v>2048</v>
      </c>
      <c r="P11" s="97" t="s">
        <v>199</v>
      </c>
      <c r="Q11" s="30"/>
      <c r="R11" s="28"/>
      <c r="S11" s="27"/>
      <c r="T11" s="2141"/>
      <c r="U11" s="2142"/>
      <c r="V11" s="2142"/>
      <c r="W11" s="2142"/>
      <c r="X11" s="2142"/>
      <c r="Y11" s="2142"/>
      <c r="Z11" s="2142"/>
      <c r="AA11" s="214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0" t="s">
        <v>2153</v>
      </c>
      <c r="B13" s="2101"/>
      <c r="C13" s="2101"/>
      <c r="D13" s="2101"/>
      <c r="E13" s="2101"/>
      <c r="F13" s="2101"/>
      <c r="G13" s="2101"/>
      <c r="H13" s="2102"/>
      <c r="I13" s="31"/>
      <c r="J13" s="30"/>
      <c r="K13" s="28"/>
      <c r="L13" s="30"/>
      <c r="M13" s="30"/>
      <c r="N13" s="30"/>
      <c r="O13" s="30"/>
      <c r="P13" s="30"/>
      <c r="Q13" s="30"/>
      <c r="R13" s="30"/>
      <c r="S13" s="30"/>
      <c r="T13" s="2106" t="s">
        <v>2056</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3" t="s">
        <v>2049</v>
      </c>
      <c r="B15" s="2104"/>
      <c r="C15" s="2104"/>
      <c r="D15" s="2104"/>
      <c r="E15" s="2104"/>
      <c r="F15" s="2104"/>
      <c r="G15" s="2104"/>
      <c r="H15" s="2105"/>
      <c r="T15" s="2110" t="s">
        <v>2057</v>
      </c>
      <c r="U15" s="2067"/>
      <c r="V15" s="2067"/>
      <c r="W15" s="2067"/>
      <c r="X15" s="2067"/>
      <c r="Y15" s="2111"/>
      <c r="Z15" s="2111"/>
      <c r="AA15" s="211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3" t="s">
        <v>2152</v>
      </c>
      <c r="B17" s="2074"/>
      <c r="C17" s="2074"/>
      <c r="D17" s="2074"/>
      <c r="E17" s="2074"/>
      <c r="F17" s="2074"/>
      <c r="G17" s="2074"/>
      <c r="H17" s="2099"/>
      <c r="T17" s="2117" t="s">
        <v>2058</v>
      </c>
      <c r="U17" s="2118"/>
      <c r="V17" s="2118"/>
      <c r="W17" s="2118"/>
      <c r="X17" s="2118"/>
      <c r="Y17" s="2118"/>
      <c r="Z17" s="2118"/>
      <c r="AA17" s="2119"/>
    </row>
    <row r="18" spans="1:27" ht="13.5" customHeight="1" x14ac:dyDescent="0.2">
      <c r="A18" s="82" t="s">
        <v>527</v>
      </c>
      <c r="B18" s="73"/>
      <c r="C18" s="69"/>
      <c r="D18" s="73"/>
      <c r="E18" s="73"/>
      <c r="F18" s="73"/>
      <c r="G18" s="73"/>
      <c r="H18" s="53"/>
      <c r="I18" s="2098" t="s">
        <v>671</v>
      </c>
      <c r="J18" s="2049"/>
      <c r="K18" s="2049"/>
      <c r="L18" s="2049"/>
      <c r="M18" s="2049"/>
      <c r="N18" s="2049"/>
      <c r="O18" s="2049"/>
      <c r="P18" s="2049"/>
      <c r="Q18" s="2049"/>
      <c r="R18" s="2049"/>
      <c r="S18" s="2050"/>
      <c r="T18" s="82" t="s">
        <v>706</v>
      </c>
      <c r="U18" s="48"/>
      <c r="V18" s="69"/>
      <c r="W18" s="47"/>
      <c r="X18" s="82" t="s">
        <v>264</v>
      </c>
      <c r="Y18" s="78"/>
      <c r="Z18" s="154" t="s">
        <v>672</v>
      </c>
      <c r="AA18" s="44"/>
    </row>
    <row r="19" spans="1:27" ht="13.5" customHeight="1" x14ac:dyDescent="0.2">
      <c r="A19" s="2103" t="s">
        <v>2050</v>
      </c>
      <c r="B19" s="2059"/>
      <c r="C19" s="2059"/>
      <c r="D19" s="2059"/>
      <c r="E19" s="2059"/>
      <c r="F19" s="2059"/>
      <c r="G19" s="2059"/>
      <c r="H19" s="2039"/>
      <c r="I19" s="30"/>
      <c r="J19" s="96"/>
      <c r="K19" s="40"/>
      <c r="L19" s="38"/>
      <c r="M19" s="109" t="s">
        <v>312</v>
      </c>
      <c r="P19" s="27"/>
      <c r="Q19" s="27"/>
      <c r="R19" s="27"/>
      <c r="S19" s="31"/>
      <c r="T19" s="2103" t="s">
        <v>2059</v>
      </c>
      <c r="U19" s="2038"/>
      <c r="V19" s="2038"/>
      <c r="W19" s="2039"/>
      <c r="X19" s="2115" t="s">
        <v>2060</v>
      </c>
      <c r="Y19" s="2116"/>
      <c r="Z19" s="2113">
        <v>60450</v>
      </c>
      <c r="AA19" s="211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7" t="s">
        <v>2051</v>
      </c>
      <c r="B21" s="2038"/>
      <c r="C21" s="2038"/>
      <c r="D21" s="2038"/>
      <c r="E21" s="2038"/>
      <c r="F21" s="2038"/>
      <c r="G21" s="2038"/>
      <c r="H21" s="2039"/>
      <c r="I21" s="2093" t="s">
        <v>673</v>
      </c>
      <c r="J21" s="2088"/>
      <c r="K21" s="2088"/>
      <c r="L21" s="2088"/>
      <c r="M21" s="2088"/>
      <c r="N21" s="2088"/>
      <c r="O21" s="2088"/>
      <c r="P21" s="2088"/>
      <c r="Q21" s="2088"/>
      <c r="R21" s="2088"/>
      <c r="S21" s="2094"/>
      <c r="T21" s="2128" t="s">
        <v>2061</v>
      </c>
      <c r="U21" s="2129"/>
      <c r="V21" s="2129"/>
      <c r="W21" s="2129"/>
      <c r="X21" s="2134" t="s">
        <v>2062</v>
      </c>
      <c r="Y21" s="2135"/>
      <c r="Z21" s="2135"/>
      <c r="AA21" s="2136"/>
    </row>
    <row r="22" spans="1:27" ht="13.5" customHeight="1" x14ac:dyDescent="0.2">
      <c r="A22" s="84" t="s">
        <v>528</v>
      </c>
      <c r="B22" s="56"/>
      <c r="C22" s="56"/>
      <c r="D22" s="56"/>
      <c r="E22" s="56"/>
      <c r="F22" s="56"/>
      <c r="G22" s="56"/>
      <c r="H22" s="57"/>
      <c r="I22" s="2095" t="s">
        <v>1412</v>
      </c>
      <c r="J22" s="2096"/>
      <c r="K22" s="2096"/>
      <c r="L22" s="2096"/>
      <c r="M22" s="2096"/>
      <c r="N22" s="2096"/>
      <c r="O22" s="2096"/>
      <c r="P22" s="2096"/>
      <c r="Q22" s="2096"/>
      <c r="R22" s="2096"/>
      <c r="S22" s="2097"/>
      <c r="T22" s="82" t="s">
        <v>1499</v>
      </c>
      <c r="U22" s="48"/>
      <c r="V22" s="69"/>
      <c r="W22" s="48"/>
      <c r="X22" s="155" t="s">
        <v>1307</v>
      </c>
      <c r="Z22" s="43"/>
      <c r="AA22" s="44"/>
    </row>
    <row r="23" spans="1:27" ht="13.5" customHeight="1" x14ac:dyDescent="0.2">
      <c r="A23" s="2090" t="s">
        <v>2118</v>
      </c>
      <c r="B23" s="2091"/>
      <c r="C23" s="2091"/>
      <c r="D23" s="2091"/>
      <c r="E23" s="2091"/>
      <c r="F23" s="2091"/>
      <c r="G23" s="2091"/>
      <c r="H23" s="2092"/>
      <c r="T23" s="2073" t="s">
        <v>2063</v>
      </c>
      <c r="U23" s="2127"/>
      <c r="V23" s="2127"/>
      <c r="W23" s="2127"/>
      <c r="X23" s="2131">
        <v>44530</v>
      </c>
      <c r="Y23" s="2132"/>
      <c r="Z23" s="2132"/>
      <c r="AA23" s="2133"/>
    </row>
    <row r="24" spans="1:27" ht="14.1" customHeight="1" x14ac:dyDescent="0.2">
      <c r="A24" s="85" t="s">
        <v>672</v>
      </c>
      <c r="B24" s="46"/>
      <c r="C24" s="46"/>
      <c r="D24" s="46"/>
      <c r="E24" s="46"/>
      <c r="F24" s="46"/>
      <c r="G24" s="46"/>
      <c r="H24" s="58"/>
      <c r="J24" s="2060">
        <f>IF(B5="x",IF(AUDITCHECK!D29="AFR form Incomplete.","",IF(AUDITCHECK!D29="Deficit reduction plan is required.","School District must complete a deficit reduction plan in the 2020-2021 Budget",)),"")</f>
        <v>0</v>
      </c>
      <c r="K24" s="2060"/>
      <c r="L24" s="2060"/>
      <c r="M24" s="2060"/>
      <c r="N24" s="2060"/>
      <c r="O24" s="2060"/>
      <c r="P24" s="2060"/>
      <c r="Q24" s="2060"/>
      <c r="R24" s="2060"/>
      <c r="S24" s="2061"/>
      <c r="T24" s="102" t="s">
        <v>528</v>
      </c>
      <c r="U24" s="103"/>
      <c r="V24" s="103"/>
      <c r="W24" s="103"/>
      <c r="X24" s="104"/>
      <c r="Y24" s="104"/>
      <c r="Z24" s="104"/>
      <c r="AA24" s="105"/>
    </row>
    <row r="25" spans="1:27" ht="14.1" customHeight="1" x14ac:dyDescent="0.2">
      <c r="A25" s="2037">
        <v>60481</v>
      </c>
      <c r="B25" s="2038"/>
      <c r="C25" s="2038"/>
      <c r="D25" s="2038"/>
      <c r="E25" s="2038"/>
      <c r="F25" s="2038"/>
      <c r="G25" s="2038"/>
      <c r="H25" s="2039"/>
      <c r="I25" s="110"/>
      <c r="J25" s="2062"/>
      <c r="K25" s="2062"/>
      <c r="L25" s="2062"/>
      <c r="M25" s="2062"/>
      <c r="N25" s="2062"/>
      <c r="O25" s="2062"/>
      <c r="P25" s="2062"/>
      <c r="Q25" s="2062"/>
      <c r="R25" s="2062"/>
      <c r="S25" s="2063"/>
      <c r="T25" s="2124" t="s">
        <v>2064</v>
      </c>
      <c r="U25" s="2125"/>
      <c r="V25" s="2125"/>
      <c r="W25" s="2125"/>
      <c r="X25" s="2125"/>
      <c r="Y25" s="2125"/>
      <c r="Z25" s="2125"/>
      <c r="AA25" s="21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8" t="s">
        <v>1494</v>
      </c>
      <c r="J27" s="2049"/>
      <c r="K27" s="2049"/>
      <c r="L27" s="2049"/>
      <c r="M27" s="2049"/>
      <c r="N27" s="2049"/>
      <c r="O27" s="2049"/>
      <c r="P27" s="2049"/>
      <c r="Q27" s="2049"/>
      <c r="R27" s="2049"/>
      <c r="S27" s="205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2048</v>
      </c>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9"/>
      <c r="Q35" s="2038"/>
      <c r="R35" s="203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3" t="s">
        <v>2052</v>
      </c>
      <c r="B38" s="2074"/>
      <c r="C38" s="2074"/>
      <c r="D38" s="2074"/>
      <c r="E38" s="2074"/>
      <c r="F38" s="2038"/>
      <c r="G38" s="2038"/>
      <c r="H38" s="2039"/>
      <c r="I38" s="2066"/>
      <c r="J38" s="2067"/>
      <c r="K38" s="2067"/>
      <c r="L38" s="2067"/>
      <c r="M38" s="2067"/>
      <c r="N38" s="2067"/>
      <c r="O38" s="2067"/>
      <c r="P38" s="2068"/>
      <c r="Q38" s="2068"/>
      <c r="R38" s="2068"/>
      <c r="S38" s="2069"/>
      <c r="T38" s="2110"/>
      <c r="U38" s="2067"/>
      <c r="V38" s="2067"/>
      <c r="W38" s="2067"/>
      <c r="X38" s="2068"/>
      <c r="Y38" s="2068"/>
      <c r="Z38" s="2068"/>
      <c r="AA38" s="2069"/>
    </row>
    <row r="39" spans="1:27" ht="12" customHeight="1" x14ac:dyDescent="0.2">
      <c r="A39" s="2043" t="s">
        <v>528</v>
      </c>
      <c r="B39" s="2044"/>
      <c r="C39" s="69"/>
      <c r="D39" s="66"/>
      <c r="E39" s="66"/>
      <c r="F39" s="76"/>
      <c r="G39" s="66"/>
      <c r="H39" s="53"/>
      <c r="I39" s="2043" t="s">
        <v>528</v>
      </c>
      <c r="J39" s="2044"/>
      <c r="K39" s="2044"/>
      <c r="L39" s="2044"/>
      <c r="M39" s="2044"/>
      <c r="N39" s="64"/>
      <c r="O39" s="69"/>
      <c r="P39" s="69"/>
      <c r="Q39" s="75"/>
      <c r="R39" s="69"/>
      <c r="S39" s="53"/>
      <c r="T39" s="69" t="s">
        <v>528</v>
      </c>
      <c r="U39" s="48"/>
      <c r="V39" s="69"/>
      <c r="W39" s="47"/>
      <c r="X39" s="75"/>
      <c r="Y39" s="43"/>
      <c r="Z39" s="43"/>
      <c r="AA39" s="44"/>
    </row>
    <row r="40" spans="1:27" ht="13.5" customHeight="1" x14ac:dyDescent="0.2">
      <c r="A40" s="2051" t="s">
        <v>2053</v>
      </c>
      <c r="B40" s="2052"/>
      <c r="C40" s="2053"/>
      <c r="D40" s="2053"/>
      <c r="E40" s="2053"/>
      <c r="F40" s="2054"/>
      <c r="G40" s="2054"/>
      <c r="H40" s="2055"/>
      <c r="I40" s="2076"/>
      <c r="J40" s="2077"/>
      <c r="K40" s="2077"/>
      <c r="L40" s="2077"/>
      <c r="M40" s="2077"/>
      <c r="N40" s="2077"/>
      <c r="O40" s="2077"/>
      <c r="P40" s="2077"/>
      <c r="Q40" s="2077"/>
      <c r="R40" s="2077"/>
      <c r="S40" s="2078"/>
      <c r="T40" s="2076"/>
      <c r="U40" s="2130"/>
      <c r="V40" s="2077"/>
      <c r="W40" s="2077"/>
      <c r="X40" s="2077"/>
      <c r="Y40" s="2077"/>
      <c r="Z40" s="2077"/>
      <c r="AA40" s="207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5" t="s">
        <v>2054</v>
      </c>
      <c r="B42" s="2057"/>
      <c r="C42" s="2058"/>
      <c r="D42" s="2056" t="s">
        <v>2055</v>
      </c>
      <c r="E42" s="2057"/>
      <c r="F42" s="2057"/>
      <c r="G42" s="2057"/>
      <c r="H42" s="2058"/>
      <c r="I42" s="2040"/>
      <c r="J42" s="2041"/>
      <c r="K42" s="2041"/>
      <c r="L42" s="2041"/>
      <c r="M42" s="2041"/>
      <c r="N42" s="2041"/>
      <c r="O42" s="2042"/>
      <c r="P42" s="2075"/>
      <c r="Q42" s="2041"/>
      <c r="R42" s="2041"/>
      <c r="S42" s="2042"/>
      <c r="T42" s="2040"/>
      <c r="U42" s="2041"/>
      <c r="V42" s="2041"/>
      <c r="W42" s="2042"/>
      <c r="X42" s="2075"/>
      <c r="Y42" s="2041"/>
      <c r="Z42" s="2041"/>
      <c r="AA42" s="204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0"/>
      <c r="B44" s="2071"/>
      <c r="C44" s="2071"/>
      <c r="D44" s="2071"/>
      <c r="E44" s="2071"/>
      <c r="F44" s="2071"/>
      <c r="G44" s="2071"/>
      <c r="H44" s="2072"/>
      <c r="I44" s="2045"/>
      <c r="J44" s="2046"/>
      <c r="K44" s="2046"/>
      <c r="L44" s="2046"/>
      <c r="M44" s="2046"/>
      <c r="N44" s="2046"/>
      <c r="O44" s="2046"/>
      <c r="P44" s="2046"/>
      <c r="Q44" s="2046"/>
      <c r="R44" s="2046"/>
      <c r="S44" s="2047"/>
      <c r="T44" s="2045"/>
      <c r="U44" s="2064"/>
      <c r="V44" s="2064"/>
      <c r="W44" s="2064"/>
      <c r="X44" s="2064"/>
      <c r="Y44" s="2064"/>
      <c r="Z44" s="2046"/>
      <c r="AA44" s="204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L281" sqref="L28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3" t="s">
        <v>1056</v>
      </c>
      <c r="B35" s="2153"/>
      <c r="C35" s="2153"/>
      <c r="D35" s="2153"/>
      <c r="E35" s="215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0" t="s">
        <v>686</v>
      </c>
      <c r="B40" s="2150"/>
      <c r="C40" s="2150"/>
      <c r="D40" s="2150"/>
      <c r="E40" s="2150"/>
    </row>
    <row r="41" spans="1:5" x14ac:dyDescent="0.2">
      <c r="A41" s="2151" t="s">
        <v>1591</v>
      </c>
      <c r="B41" s="2151"/>
      <c r="C41" s="2151"/>
      <c r="D41" s="2151"/>
      <c r="E41" s="2151"/>
    </row>
    <row r="42" spans="1:5" ht="12.75" customHeight="1" x14ac:dyDescent="0.2">
      <c r="A42" s="2152" t="s">
        <v>1015</v>
      </c>
      <c r="B42" s="2152"/>
      <c r="C42" s="2152"/>
      <c r="D42" s="2152"/>
      <c r="E42" s="2152"/>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11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4" t="s">
        <v>1158</v>
      </c>
      <c r="B2" s="2154"/>
      <c r="C2" s="2154"/>
      <c r="D2" s="2154"/>
      <c r="E2" s="2154"/>
      <c r="F2" s="2154"/>
      <c r="G2" s="2154"/>
      <c r="H2" s="2154"/>
      <c r="I2" s="2154"/>
      <c r="J2" s="215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8" t="s">
        <v>1616</v>
      </c>
      <c r="B35" s="2169"/>
      <c r="C35" s="2169"/>
      <c r="D35" s="2169"/>
      <c r="E35" s="2170"/>
      <c r="F35" s="2170"/>
      <c r="G35" s="2170"/>
      <c r="H35" s="2170"/>
      <c r="I35" s="217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8" t="s">
        <v>310</v>
      </c>
      <c r="B47" s="2171"/>
      <c r="C47" s="2171"/>
      <c r="D47" s="2171"/>
      <c r="E47" s="2172"/>
      <c r="F47" s="2172"/>
      <c r="G47" s="2172"/>
      <c r="H47" s="2172"/>
      <c r="I47" s="217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5"/>
      <c r="C57" s="2176"/>
      <c r="D57" s="2176"/>
      <c r="E57" s="2176"/>
      <c r="F57" s="2176"/>
      <c r="G57" s="2176"/>
      <c r="H57" s="2176"/>
      <c r="I57" s="2176"/>
      <c r="J57" s="2177"/>
    </row>
    <row r="58" spans="1:10" s="176" customFormat="1" x14ac:dyDescent="0.2">
      <c r="A58" s="248"/>
      <c r="B58" s="2178"/>
      <c r="C58" s="2179"/>
      <c r="D58" s="2179"/>
      <c r="E58" s="2179"/>
      <c r="F58" s="2179"/>
      <c r="G58" s="2179"/>
      <c r="H58" s="2179"/>
      <c r="I58" s="2179"/>
      <c r="J58" s="2180"/>
    </row>
    <row r="59" spans="1:10" s="176" customFormat="1" x14ac:dyDescent="0.2">
      <c r="A59" s="248"/>
      <c r="B59" s="2178"/>
      <c r="C59" s="2179"/>
      <c r="D59" s="2179"/>
      <c r="E59" s="2179"/>
      <c r="F59" s="2179"/>
      <c r="G59" s="2179"/>
      <c r="H59" s="2179"/>
      <c r="I59" s="2179"/>
      <c r="J59" s="2180"/>
    </row>
    <row r="60" spans="1:10" s="176" customFormat="1" x14ac:dyDescent="0.2">
      <c r="A60" s="248"/>
      <c r="B60" s="2178"/>
      <c r="C60" s="2179"/>
      <c r="D60" s="2179"/>
      <c r="E60" s="2179"/>
      <c r="F60" s="2179"/>
      <c r="G60" s="2179"/>
      <c r="H60" s="2179"/>
      <c r="I60" s="2179"/>
      <c r="J60" s="2180"/>
    </row>
    <row r="61" spans="1:10" s="176" customFormat="1" x14ac:dyDescent="0.2">
      <c r="A61" s="248"/>
      <c r="B61" s="2178"/>
      <c r="C61" s="2179"/>
      <c r="D61" s="2179"/>
      <c r="E61" s="2179"/>
      <c r="F61" s="2179"/>
      <c r="G61" s="2179"/>
      <c r="H61" s="2179"/>
      <c r="I61" s="2179"/>
      <c r="J61" s="2180"/>
    </row>
    <row r="62" spans="1:10" s="176" customFormat="1" x14ac:dyDescent="0.2">
      <c r="A62" s="248"/>
      <c r="B62" s="2178"/>
      <c r="C62" s="2179"/>
      <c r="D62" s="2179"/>
      <c r="E62" s="2179"/>
      <c r="F62" s="2179"/>
      <c r="G62" s="2179"/>
      <c r="H62" s="2179"/>
      <c r="I62" s="2179"/>
      <c r="J62" s="2180"/>
    </row>
    <row r="63" spans="1:10" s="176" customFormat="1" x14ac:dyDescent="0.2">
      <c r="A63" s="248"/>
      <c r="B63" s="2178"/>
      <c r="C63" s="2179"/>
      <c r="D63" s="2179"/>
      <c r="E63" s="2179"/>
      <c r="F63" s="2179"/>
      <c r="G63" s="2179"/>
      <c r="H63" s="2179"/>
      <c r="I63" s="2179"/>
      <c r="J63" s="2180"/>
    </row>
    <row r="64" spans="1:10" s="176" customFormat="1" x14ac:dyDescent="0.2">
      <c r="A64" s="248"/>
      <c r="B64" s="2178"/>
      <c r="C64" s="2179"/>
      <c r="D64" s="2179"/>
      <c r="E64" s="2179"/>
      <c r="F64" s="2179"/>
      <c r="G64" s="2179"/>
      <c r="H64" s="2179"/>
      <c r="I64" s="2179"/>
      <c r="J64" s="2180"/>
    </row>
    <row r="65" spans="1:11" s="176" customFormat="1" x14ac:dyDescent="0.2">
      <c r="A65" s="248"/>
      <c r="B65" s="2178"/>
      <c r="C65" s="2179"/>
      <c r="D65" s="2179"/>
      <c r="E65" s="2179"/>
      <c r="F65" s="2179"/>
      <c r="G65" s="2179"/>
      <c r="H65" s="2179"/>
      <c r="I65" s="2179"/>
      <c r="J65" s="2180"/>
    </row>
    <row r="66" spans="1:11" s="176" customFormat="1" x14ac:dyDescent="0.2">
      <c r="A66" s="248"/>
      <c r="B66" s="2178"/>
      <c r="C66" s="2179"/>
      <c r="D66" s="2179"/>
      <c r="E66" s="2179"/>
      <c r="F66" s="2179"/>
      <c r="G66" s="2179"/>
      <c r="H66" s="2179"/>
      <c r="I66" s="2179"/>
      <c r="J66" s="2180"/>
    </row>
    <row r="67" spans="1:11" s="176" customFormat="1" ht="9" customHeight="1" x14ac:dyDescent="0.2">
      <c r="A67" s="249"/>
      <c r="B67" s="2181"/>
      <c r="C67" s="2182"/>
      <c r="D67" s="2182"/>
      <c r="E67" s="2182"/>
      <c r="F67" s="2182"/>
      <c r="G67" s="2182"/>
      <c r="H67" s="2182"/>
      <c r="I67" s="2182"/>
      <c r="J67" s="218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8" t="s">
        <v>1312</v>
      </c>
      <c r="B70" s="2171"/>
      <c r="C70" s="2171"/>
      <c r="D70" s="2171"/>
      <c r="E70" s="2172"/>
      <c r="F70" s="2172"/>
      <c r="G70" s="2172"/>
      <c r="H70" s="2172"/>
      <c r="I70" s="217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3" t="s">
        <v>1309</v>
      </c>
      <c r="B83" s="2173"/>
      <c r="C83" s="2173"/>
      <c r="D83" s="217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4" t="s">
        <v>1986</v>
      </c>
      <c r="B85" s="2184"/>
      <c r="C85" s="2184"/>
      <c r="D85" s="2185"/>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6" t="s">
        <v>1986</v>
      </c>
      <c r="B88" s="2187"/>
      <c r="C88" s="2187"/>
      <c r="D88" s="2188"/>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5"/>
      <c r="C102" s="2156"/>
      <c r="D102" s="2156"/>
      <c r="E102" s="2156"/>
      <c r="F102" s="2156"/>
      <c r="G102" s="2156"/>
      <c r="H102" s="2156"/>
      <c r="I102" s="2157"/>
    </row>
    <row r="103" spans="1:9" s="176" customFormat="1" ht="11.25" customHeight="1" x14ac:dyDescent="0.2">
      <c r="A103" s="294"/>
      <c r="B103" s="2158"/>
      <c r="C103" s="2159"/>
      <c r="D103" s="2159"/>
      <c r="E103" s="2159"/>
      <c r="F103" s="2159"/>
      <c r="G103" s="2159"/>
      <c r="H103" s="2159"/>
      <c r="I103" s="2160"/>
    </row>
    <row r="104" spans="1:9" s="176" customFormat="1" ht="11.25" customHeight="1" x14ac:dyDescent="0.2">
      <c r="A104" s="294"/>
      <c r="B104" s="2158"/>
      <c r="C104" s="2159"/>
      <c r="D104" s="2159"/>
      <c r="E104" s="2159"/>
      <c r="F104" s="2159"/>
      <c r="G104" s="2159"/>
      <c r="H104" s="2159"/>
      <c r="I104" s="2160"/>
    </row>
    <row r="105" spans="1:9" s="176" customFormat="1" x14ac:dyDescent="0.2">
      <c r="A105" s="294"/>
      <c r="B105" s="2158"/>
      <c r="C105" s="2159"/>
      <c r="D105" s="2159"/>
      <c r="E105" s="2159"/>
      <c r="F105" s="2159"/>
      <c r="G105" s="2159"/>
      <c r="H105" s="2159"/>
      <c r="I105" s="2160"/>
    </row>
    <row r="106" spans="1:9" s="176" customFormat="1" ht="11.25" customHeight="1" x14ac:dyDescent="0.2">
      <c r="A106" s="294"/>
      <c r="B106" s="2158"/>
      <c r="C106" s="2159"/>
      <c r="D106" s="2159"/>
      <c r="E106" s="2159"/>
      <c r="F106" s="2159"/>
      <c r="G106" s="2159"/>
      <c r="H106" s="2159"/>
      <c r="I106" s="2160"/>
    </row>
    <row r="107" spans="1:9" s="176" customFormat="1" ht="11.25" customHeight="1" x14ac:dyDescent="0.2">
      <c r="A107" s="294"/>
      <c r="B107" s="2158"/>
      <c r="C107" s="2159"/>
      <c r="D107" s="2159"/>
      <c r="E107" s="2159"/>
      <c r="F107" s="2159"/>
      <c r="G107" s="2159"/>
      <c r="H107" s="2159"/>
      <c r="I107" s="2160"/>
    </row>
    <row r="108" spans="1:9" s="176" customFormat="1" ht="11.25" customHeight="1" x14ac:dyDescent="0.2">
      <c r="A108" s="294"/>
      <c r="B108" s="2158"/>
      <c r="C108" s="2159"/>
      <c r="D108" s="2159"/>
      <c r="E108" s="2159"/>
      <c r="F108" s="2159"/>
      <c r="G108" s="2159"/>
      <c r="H108" s="2159"/>
      <c r="I108" s="2160"/>
    </row>
    <row r="109" spans="1:9" s="176" customFormat="1" ht="11.25" customHeight="1" x14ac:dyDescent="0.2">
      <c r="A109" s="294"/>
      <c r="B109" s="2158"/>
      <c r="C109" s="2159"/>
      <c r="D109" s="2159"/>
      <c r="E109" s="2159"/>
      <c r="F109" s="2159"/>
      <c r="G109" s="2159"/>
      <c r="H109" s="2159"/>
      <c r="I109" s="2160"/>
    </row>
    <row r="110" spans="1:9" s="176" customFormat="1" ht="11.25" customHeight="1" x14ac:dyDescent="0.2">
      <c r="A110" s="294"/>
      <c r="B110" s="2158"/>
      <c r="C110" s="2159"/>
      <c r="D110" s="2159"/>
      <c r="E110" s="2159"/>
      <c r="F110" s="2159"/>
      <c r="G110" s="2159"/>
      <c r="H110" s="2159"/>
      <c r="I110" s="2160"/>
    </row>
    <row r="111" spans="1:9" s="176" customFormat="1" ht="11.25" customHeight="1" x14ac:dyDescent="0.2">
      <c r="A111" s="294"/>
      <c r="B111" s="2158"/>
      <c r="C111" s="2159"/>
      <c r="D111" s="2159"/>
      <c r="E111" s="2159"/>
      <c r="F111" s="2159"/>
      <c r="G111" s="2159"/>
      <c r="H111" s="2159"/>
      <c r="I111" s="2160"/>
    </row>
    <row r="112" spans="1:9" s="176" customFormat="1" ht="11.25" customHeight="1" x14ac:dyDescent="0.2">
      <c r="A112" s="294"/>
      <c r="B112" s="2161"/>
      <c r="C112" s="2162"/>
      <c r="D112" s="2162"/>
      <c r="E112" s="2162"/>
      <c r="F112" s="2162"/>
      <c r="G112" s="2162"/>
      <c r="H112" s="2162"/>
      <c r="I112" s="216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4" t="s">
        <v>2056</v>
      </c>
      <c r="D114" s="216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5" t="s">
        <v>1319</v>
      </c>
      <c r="D117" s="2166"/>
      <c r="E117" s="2167"/>
      <c r="F117" s="2167"/>
      <c r="G117" s="2167"/>
      <c r="H117" s="2167"/>
      <c r="I117" s="282"/>
    </row>
    <row r="118" spans="1:9" s="176" customFormat="1" ht="24" customHeight="1" x14ac:dyDescent="0.2">
      <c r="A118" s="294"/>
      <c r="B118" s="294"/>
      <c r="C118" s="294"/>
      <c r="D118" s="301" t="s">
        <v>2065</v>
      </c>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L281" sqref="L28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9" t="s">
        <v>383</v>
      </c>
      <c r="B1" s="2189"/>
      <c r="C1" s="2189"/>
      <c r="D1" s="2189"/>
      <c r="E1" s="2189"/>
      <c r="F1" s="2189"/>
      <c r="G1" s="2189"/>
      <c r="H1" s="2189"/>
      <c r="I1" s="2189"/>
      <c r="J1" s="2189"/>
      <c r="K1" s="2189"/>
      <c r="L1" s="2189"/>
      <c r="M1" s="218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249946709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2.7002999999999999E-2</v>
      </c>
      <c r="E10" s="333" t="s">
        <v>998</v>
      </c>
      <c r="F10" s="332">
        <v>3.8170000000000001E-3</v>
      </c>
      <c r="G10" s="333" t="s">
        <v>998</v>
      </c>
      <c r="H10" s="332">
        <v>1.506E-3</v>
      </c>
      <c r="I10" s="333" t="s">
        <v>999</v>
      </c>
      <c r="J10" s="1424">
        <f>ROUND(D10+F10+H10,5)</f>
        <v>3.2329999999999998E-2</v>
      </c>
      <c r="K10" s="217"/>
      <c r="L10" s="332">
        <v>1.5799999999999999E-4</v>
      </c>
      <c r="M10" s="217"/>
    </row>
    <row r="11" spans="1:14" ht="7.5" customHeight="1" x14ac:dyDescent="0.2">
      <c r="B11" s="217"/>
      <c r="C11" s="217"/>
      <c r="D11" s="2199" t="str">
        <f>IF(SUM(J10)&lt;=0.0999999,"","Enter the Tax Rates by moving the decimal two places to the left.")</f>
        <v/>
      </c>
      <c r="E11" s="2200"/>
      <c r="F11" s="2200"/>
      <c r="G11" s="2200"/>
      <c r="H11" s="2200"/>
      <c r="I11" s="2200"/>
      <c r="J11" s="220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15838172</v>
      </c>
      <c r="E16" s="1547"/>
      <c r="F16" s="1546">
        <f>SUM('Acct Summary 7-8'!C17,'Acct Summary 7-8'!D17,'Acct Summary 7-8'!F17)</f>
        <v>16323359</v>
      </c>
      <c r="G16" s="1547"/>
      <c r="H16" s="1546">
        <f>SUM(D16-F16)</f>
        <v>-485187</v>
      </c>
      <c r="I16" s="1548"/>
      <c r="J16" s="1546">
        <f>SUM('Acct Summary 7-8'!C81,'Acct Summary 7-8'!D81,'Acct Summary 7-8'!F81,'Acct Summary 7-8'!I81)</f>
        <v>15605054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34492645.842</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27105998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0"/>
      <c r="C54" s="2191"/>
      <c r="D54" s="2191"/>
      <c r="E54" s="2191"/>
      <c r="F54" s="2191"/>
      <c r="G54" s="2191"/>
      <c r="H54" s="2191"/>
      <c r="I54" s="2191"/>
      <c r="J54" s="2191"/>
      <c r="K54" s="2191"/>
      <c r="L54" s="2192"/>
      <c r="M54" s="357"/>
    </row>
    <row r="55" spans="1:13" ht="12.75" customHeight="1" x14ac:dyDescent="0.2">
      <c r="B55" s="2193"/>
      <c r="C55" s="2194"/>
      <c r="D55" s="2194"/>
      <c r="E55" s="2194"/>
      <c r="F55" s="2194"/>
      <c r="G55" s="2194"/>
      <c r="H55" s="2194"/>
      <c r="I55" s="2194"/>
      <c r="J55" s="2194"/>
      <c r="K55" s="2194"/>
      <c r="L55" s="2195"/>
      <c r="M55" s="357"/>
    </row>
    <row r="56" spans="1:13" ht="12.75" customHeight="1" x14ac:dyDescent="0.2">
      <c r="B56" s="2193"/>
      <c r="C56" s="2194"/>
      <c r="D56" s="2194"/>
      <c r="E56" s="2194"/>
      <c r="F56" s="2194"/>
      <c r="G56" s="2194"/>
      <c r="H56" s="2194"/>
      <c r="I56" s="2194"/>
      <c r="J56" s="2194"/>
      <c r="K56" s="2194"/>
      <c r="L56" s="2195"/>
      <c r="M56" s="217"/>
    </row>
    <row r="57" spans="1:13" ht="12.75" customHeight="1" x14ac:dyDescent="0.2">
      <c r="B57" s="2193"/>
      <c r="C57" s="2194"/>
      <c r="D57" s="2194"/>
      <c r="E57" s="2194"/>
      <c r="F57" s="2194"/>
      <c r="G57" s="2194"/>
      <c r="H57" s="2194"/>
      <c r="I57" s="2194"/>
      <c r="J57" s="2194"/>
      <c r="K57" s="2194"/>
      <c r="L57" s="2195"/>
      <c r="M57" s="217"/>
    </row>
    <row r="58" spans="1:13" x14ac:dyDescent="0.2">
      <c r="B58" s="2196"/>
      <c r="C58" s="2197"/>
      <c r="D58" s="2197"/>
      <c r="E58" s="2197"/>
      <c r="F58" s="2197"/>
      <c r="G58" s="2197"/>
      <c r="H58" s="2197"/>
      <c r="I58" s="2197"/>
      <c r="J58" s="2197"/>
      <c r="K58" s="2197"/>
      <c r="L58" s="219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1"/>
      <c r="D61" s="220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52" zoomScale="110" zoomScaleNormal="110" workbookViewId="0">
      <selection activeCell="L281" sqref="L28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4"/>
      <c r="B1" s="2205"/>
      <c r="C1" s="2205"/>
      <c r="D1" s="361"/>
      <c r="E1" s="361"/>
      <c r="F1" s="361"/>
      <c r="G1" s="361"/>
      <c r="H1" s="361"/>
      <c r="I1" s="361"/>
      <c r="J1" s="361"/>
      <c r="K1" s="361"/>
      <c r="L1" s="361"/>
      <c r="M1" s="361"/>
      <c r="N1" s="361"/>
      <c r="O1" s="2204"/>
      <c r="P1" s="2205"/>
      <c r="Q1" s="2205"/>
    </row>
    <row r="2" spans="1:18" ht="15" x14ac:dyDescent="0.2">
      <c r="A2" s="2208" t="s">
        <v>552</v>
      </c>
      <c r="B2" s="2208"/>
      <c r="C2" s="2208"/>
      <c r="D2" s="2208"/>
      <c r="E2" s="2208"/>
      <c r="F2" s="2208"/>
      <c r="G2" s="2208"/>
      <c r="H2" s="2208"/>
      <c r="I2" s="2208"/>
      <c r="J2" s="2208"/>
      <c r="K2" s="2208"/>
      <c r="L2" s="2208"/>
      <c r="M2" s="2208"/>
      <c r="N2" s="2208"/>
      <c r="O2" s="2208"/>
      <c r="P2" s="2208"/>
      <c r="Q2" s="2208"/>
      <c r="R2" s="2208"/>
    </row>
    <row r="3" spans="1:18" ht="12.75" x14ac:dyDescent="0.2">
      <c r="A3" s="2209" t="s">
        <v>1396</v>
      </c>
      <c r="B3" s="2209"/>
      <c r="C3" s="2209"/>
      <c r="D3" s="2209"/>
      <c r="E3" s="2209"/>
      <c r="F3" s="2209"/>
      <c r="G3" s="2209"/>
      <c r="H3" s="2209"/>
      <c r="I3" s="2209"/>
      <c r="J3" s="2209"/>
      <c r="K3" s="2209"/>
      <c r="L3" s="2209"/>
      <c r="M3" s="2209"/>
      <c r="N3" s="2209"/>
      <c r="O3" s="2209"/>
      <c r="P3" s="2209"/>
      <c r="Q3" s="2209"/>
      <c r="R3" s="2209"/>
    </row>
    <row r="4" spans="1:18" x14ac:dyDescent="0.2">
      <c r="A4" s="2210" t="s">
        <v>1537</v>
      </c>
      <c r="B4" s="2210"/>
      <c r="C4" s="2210"/>
      <c r="D4" s="2210"/>
      <c r="E4" s="2210"/>
      <c r="F4" s="2210"/>
      <c r="G4" s="2210"/>
      <c r="H4" s="2210"/>
      <c r="I4" s="2210"/>
      <c r="J4" s="2210"/>
      <c r="K4" s="2210"/>
      <c r="L4" s="2210"/>
      <c r="M4" s="2210"/>
      <c r="N4" s="2210"/>
      <c r="O4" s="2210"/>
      <c r="P4" s="2210"/>
      <c r="Q4" s="2210"/>
      <c r="R4" s="221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Wilmington CUSD 209U</v>
      </c>
      <c r="E7" s="368"/>
      <c r="G7" s="247"/>
      <c r="H7" s="364"/>
      <c r="I7" s="364"/>
      <c r="J7" s="364"/>
      <c r="K7" s="364"/>
      <c r="L7" s="307"/>
      <c r="M7" s="307"/>
      <c r="N7" s="307"/>
      <c r="O7" s="307"/>
      <c r="P7" s="307"/>
    </row>
    <row r="8" spans="1:18" ht="12.75" x14ac:dyDescent="0.2">
      <c r="A8" s="307"/>
      <c r="B8" s="307"/>
      <c r="C8" s="366" t="s">
        <v>1115</v>
      </c>
      <c r="D8" s="369" t="str">
        <f>COVER!A13</f>
        <v xml:space="preserve">56099209U26  </v>
      </c>
      <c r="E8" s="370"/>
      <c r="G8" s="307"/>
      <c r="H8" s="307"/>
      <c r="I8" s="307"/>
      <c r="J8" s="307"/>
      <c r="K8" s="307"/>
      <c r="L8" s="307"/>
      <c r="M8" s="307"/>
      <c r="N8" s="307"/>
      <c r="O8" s="307"/>
      <c r="P8" s="307"/>
    </row>
    <row r="9" spans="1:18" ht="12.75" x14ac:dyDescent="0.2">
      <c r="A9" s="307"/>
      <c r="B9" s="307"/>
      <c r="C9" s="366" t="s">
        <v>708</v>
      </c>
      <c r="D9" s="371" t="str">
        <f>COVER!A15</f>
        <v>Will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15605054</v>
      </c>
      <c r="I12" s="380"/>
      <c r="J12" s="380"/>
      <c r="K12" s="1559">
        <f>TRUNC((H12/H13*100000),5)/100000</f>
        <v>0.98528125589999993</v>
      </c>
      <c r="L12" s="381"/>
      <c r="M12" s="337" t="s">
        <v>1134</v>
      </c>
      <c r="N12" s="337"/>
      <c r="O12" s="1562">
        <v>0.35</v>
      </c>
      <c r="P12" s="213"/>
      <c r="Q12" s="213"/>
    </row>
    <row r="13" spans="1:18" s="382" customFormat="1" ht="12.75" x14ac:dyDescent="0.2">
      <c r="A13" s="213"/>
      <c r="B13" s="377"/>
      <c r="C13" s="2206" t="s">
        <v>1313</v>
      </c>
      <c r="D13" s="2207"/>
      <c r="E13" s="213"/>
      <c r="F13" s="383" t="s">
        <v>788</v>
      </c>
      <c r="G13" s="378"/>
      <c r="H13" s="1551">
        <f>SUM('Acct Summary 7-8'!C8+'Acct Summary 7-8'!D8+'Acct Summary 7-8'!F8+'Acct Summary 7-8'!I8)+H14</f>
        <v>15838172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16323359</v>
      </c>
      <c r="I17" s="380"/>
      <c r="J17" s="389"/>
      <c r="K17" s="1559">
        <f>TRUNC((H17/H18*100000),5)/100000</f>
        <v>1.0306340276999999</v>
      </c>
      <c r="L17" s="381"/>
      <c r="M17" s="390" t="s">
        <v>1161</v>
      </c>
      <c r="O17" s="1565" t="str">
        <f>IF(AND(O16="2", J20 &gt; 2),"1",IF(AND(O16 = "1", J20 &gt; 2),"2",IF(AND(O16="1", J20 &gt;1),"1","0")))</f>
        <v>0</v>
      </c>
      <c r="P17" s="213"/>
    </row>
    <row r="18" spans="1:18" s="382" customFormat="1" ht="11.25" x14ac:dyDescent="0.2">
      <c r="A18" s="213"/>
      <c r="B18" s="377"/>
      <c r="C18" s="2206" t="s">
        <v>1306</v>
      </c>
      <c r="D18" s="2207"/>
      <c r="E18" s="213"/>
      <c r="F18" s="391" t="s">
        <v>789</v>
      </c>
      <c r="G18" s="378"/>
      <c r="H18" s="1551">
        <f>SUM('Acct Summary 7-8'!C8+'Acct Summary 7-8'!D8+'Acct Summary 7-8'!F8+'Acct Summary 7-8'!I8)+H19</f>
        <v>15838172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28.8986242</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3" t="s">
        <v>1395</v>
      </c>
      <c r="D24" s="2203"/>
      <c r="E24" s="213"/>
      <c r="F24" s="213" t="s">
        <v>442</v>
      </c>
      <c r="G24" s="378"/>
      <c r="H24" s="1551">
        <f>SUM('Assets-Liab 5-6'!C4+'Assets-Liab 5-6'!D4+'Assets-Liab 5-6'!F4+'Assets-Liab 5-6'!I4+'Assets-Liab 5-6'!C5+'Assets-Liab 5-6'!D5+'Assets-Liab 5-6'!F5+'Assets-Liab 5-6'!I5)</f>
        <v>15605054</v>
      </c>
      <c r="I24" s="394"/>
      <c r="J24" s="394"/>
      <c r="K24" s="1555">
        <f>TRUNC(((H24/H25*100000)/100000),2)</f>
        <v>344.15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45342.663890000003</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6868660.5366700003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f>IF(K32&gt;=75,"4",IF(K32&gt;=50,"3",IF(K32&gt;=25,"2",1)))</f>
        <v>1</v>
      </c>
      <c r="P31" s="211"/>
    </row>
    <row r="32" spans="1:18" s="382" customFormat="1" ht="11.25" x14ac:dyDescent="0.2">
      <c r="A32" s="213"/>
      <c r="B32" s="377"/>
      <c r="C32" s="213" t="s">
        <v>842</v>
      </c>
      <c r="D32" s="213"/>
      <c r="E32" s="213"/>
      <c r="F32" s="213"/>
      <c r="G32" s="378"/>
      <c r="H32" s="1551">
        <f>'FP Info 3'!H37</f>
        <v>27105998</v>
      </c>
      <c r="I32" s="392"/>
      <c r="J32" s="392"/>
      <c r="K32" s="1555">
        <f>TRUNC(100-((((H32/H33*100))*100)/100),2)</f>
        <v>21.41</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34492645.842</v>
      </c>
      <c r="I33" s="392"/>
      <c r="J33" s="392"/>
      <c r="K33" s="379"/>
      <c r="L33" s="213"/>
      <c r="M33" s="401" t="s">
        <v>1135</v>
      </c>
      <c r="N33" s="401"/>
      <c r="O33" s="1568">
        <f>(O31*O32)</f>
        <v>0.1</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6" activePane="bottomLeft" state="frozen"/>
      <selection activeCell="L281" sqref="L281"/>
      <selection pane="bottomLeft" activeCell="L39" sqref="L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3" t="s">
        <v>967</v>
      </c>
      <c r="B3" s="2214"/>
      <c r="C3" s="1306"/>
      <c r="D3" s="1307"/>
      <c r="E3" s="1307"/>
      <c r="F3" s="1307"/>
      <c r="G3" s="1307"/>
      <c r="H3" s="1307"/>
      <c r="I3" s="1307"/>
      <c r="J3" s="1307"/>
      <c r="K3" s="1307"/>
      <c r="L3" s="1307"/>
      <c r="M3" s="1308"/>
      <c r="N3" s="1309"/>
    </row>
    <row r="4" spans="1:14" ht="13.5" customHeight="1" x14ac:dyDescent="0.2">
      <c r="A4" s="427" t="s">
        <v>1632</v>
      </c>
      <c r="B4" s="428"/>
      <c r="C4" s="1572">
        <v>11518891</v>
      </c>
      <c r="D4" s="1573">
        <v>1163016</v>
      </c>
      <c r="E4" s="1573">
        <v>1535533</v>
      </c>
      <c r="F4" s="1573">
        <v>1110419</v>
      </c>
      <c r="G4" s="1573">
        <v>586802</v>
      </c>
      <c r="H4" s="1573"/>
      <c r="I4" s="1573">
        <v>1812728</v>
      </c>
      <c r="J4" s="1574"/>
      <c r="K4" s="1573"/>
      <c r="L4" s="1573">
        <v>517410</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11518891</v>
      </c>
      <c r="D13" s="1587">
        <f t="shared" ref="D13:L13" si="0">SUM(D4:D12)</f>
        <v>1163016</v>
      </c>
      <c r="E13" s="1587">
        <f t="shared" si="0"/>
        <v>1535533</v>
      </c>
      <c r="F13" s="1587">
        <f t="shared" si="0"/>
        <v>1110419</v>
      </c>
      <c r="G13" s="1587">
        <f t="shared" si="0"/>
        <v>586802</v>
      </c>
      <c r="H13" s="1587">
        <f t="shared" si="0"/>
        <v>0</v>
      </c>
      <c r="I13" s="1587">
        <f t="shared" si="0"/>
        <v>1812728</v>
      </c>
      <c r="J13" s="1587">
        <f t="shared" si="0"/>
        <v>0</v>
      </c>
      <c r="K13" s="1587">
        <f t="shared" si="0"/>
        <v>0</v>
      </c>
      <c r="L13" s="1587">
        <f t="shared" si="0"/>
        <v>517410</v>
      </c>
      <c r="M13" s="1575"/>
      <c r="N13" s="1576"/>
    </row>
    <row r="14" spans="1:14" ht="18" customHeight="1" thickTop="1" x14ac:dyDescent="0.2">
      <c r="A14" s="2215" t="s">
        <v>146</v>
      </c>
      <c r="B14" s="2216"/>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1594964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30352170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173874</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1535533</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25570465</v>
      </c>
    </row>
    <row r="23" spans="1:14" ht="13.5" customHeight="1" thickBot="1" x14ac:dyDescent="0.25">
      <c r="A23" s="1426" t="s">
        <v>638</v>
      </c>
      <c r="B23" s="1429"/>
      <c r="C23" s="1575"/>
      <c r="D23" s="1575"/>
      <c r="E23" s="1575"/>
      <c r="F23" s="1575"/>
      <c r="G23" s="1575"/>
      <c r="H23" s="1575"/>
      <c r="I23" s="1575"/>
      <c r="J23" s="1575"/>
      <c r="K23" s="1575"/>
      <c r="L23" s="1575"/>
      <c r="M23" s="1594">
        <f>SUM(M15:M22)</f>
        <v>32121008</v>
      </c>
      <c r="N23" s="1594">
        <f>SUM(N21:N22)</f>
        <v>27105998</v>
      </c>
    </row>
    <row r="24" spans="1:14" ht="18" customHeight="1" thickTop="1" x14ac:dyDescent="0.2">
      <c r="A24" s="2217" t="s">
        <v>594</v>
      </c>
      <c r="B24" s="2218"/>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367242</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367242</v>
      </c>
      <c r="M34" s="1575"/>
      <c r="N34" s="1585"/>
    </row>
    <row r="35" spans="1:14" ht="18" customHeight="1" thickTop="1" x14ac:dyDescent="0.2">
      <c r="A35" s="2219" t="s">
        <v>526</v>
      </c>
      <c r="B35" s="2220"/>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27105998</v>
      </c>
    </row>
    <row r="37" spans="1:14" ht="13.5" thickBot="1" x14ac:dyDescent="0.25">
      <c r="A37" s="1426" t="s">
        <v>648</v>
      </c>
      <c r="B37" s="1429"/>
      <c r="C37" s="1582"/>
      <c r="D37" s="1582"/>
      <c r="E37" s="1582"/>
      <c r="F37" s="1582"/>
      <c r="G37" s="1582"/>
      <c r="H37" s="1582"/>
      <c r="I37" s="1582"/>
      <c r="J37" s="1582"/>
      <c r="K37" s="1582"/>
      <c r="L37" s="1585"/>
      <c r="M37" s="1575"/>
      <c r="N37" s="1594">
        <f>SUM(N36:N36)</f>
        <v>27105998</v>
      </c>
    </row>
    <row r="38" spans="1:14" s="307" customFormat="1" ht="13.5" customHeight="1" thickTop="1" x14ac:dyDescent="0.2">
      <c r="A38" s="438" t="s">
        <v>417</v>
      </c>
      <c r="B38" s="432">
        <v>714</v>
      </c>
      <c r="C38" s="1573">
        <v>826283</v>
      </c>
      <c r="D38" s="1573">
        <v>216759</v>
      </c>
      <c r="E38" s="1573">
        <v>1535533</v>
      </c>
      <c r="F38" s="1573">
        <v>1110419</v>
      </c>
      <c r="G38" s="1573">
        <v>586802</v>
      </c>
      <c r="H38" s="1573"/>
      <c r="I38" s="1573"/>
      <c r="J38" s="1574"/>
      <c r="K38" s="1573"/>
      <c r="L38" s="1586">
        <v>150168</v>
      </c>
      <c r="M38" s="1604"/>
      <c r="N38" s="1604"/>
    </row>
    <row r="39" spans="1:14" s="307" customFormat="1" ht="13.5" customHeight="1" x14ac:dyDescent="0.2">
      <c r="A39" s="438" t="s">
        <v>339</v>
      </c>
      <c r="B39" s="432">
        <v>730</v>
      </c>
      <c r="C39" s="1573">
        <v>10692608</v>
      </c>
      <c r="D39" s="1573">
        <v>946257</v>
      </c>
      <c r="E39" s="1573"/>
      <c r="F39" s="1573"/>
      <c r="G39" s="1573"/>
      <c r="H39" s="1573"/>
      <c r="I39" s="1573">
        <v>1812728</v>
      </c>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32121008</v>
      </c>
      <c r="N40" s="1604"/>
    </row>
    <row r="41" spans="1:14" ht="13.5" customHeight="1" thickBot="1" x14ac:dyDescent="0.25">
      <c r="A41" s="1426" t="s">
        <v>650</v>
      </c>
      <c r="B41" s="1405"/>
      <c r="C41" s="1594">
        <f>(SUM(C34,C37,C38,C39))</f>
        <v>11518891</v>
      </c>
      <c r="D41" s="1594">
        <f t="shared" ref="D41:L41" si="2">SUM(D34,D37,D38:D39)</f>
        <v>1163016</v>
      </c>
      <c r="E41" s="1594">
        <f t="shared" si="2"/>
        <v>1535533</v>
      </c>
      <c r="F41" s="1594">
        <f t="shared" si="2"/>
        <v>1110419</v>
      </c>
      <c r="G41" s="1594">
        <f t="shared" si="2"/>
        <v>586802</v>
      </c>
      <c r="H41" s="1594">
        <f t="shared" si="2"/>
        <v>0</v>
      </c>
      <c r="I41" s="1594">
        <f t="shared" si="2"/>
        <v>1812728</v>
      </c>
      <c r="J41" s="1594">
        <f t="shared" si="2"/>
        <v>0</v>
      </c>
      <c r="K41" s="1594">
        <f t="shared" si="2"/>
        <v>0</v>
      </c>
      <c r="L41" s="1594">
        <f t="shared" si="2"/>
        <v>517410</v>
      </c>
      <c r="M41" s="1594">
        <f>SUM(M40)</f>
        <v>32121008</v>
      </c>
      <c r="N41" s="1594">
        <f>SUM(N37)</f>
        <v>27105998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activeCell="L281" sqref="L281"/>
      <selection pane="bottomLeft" activeCell="L281" sqref="L2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1" t="s">
        <v>1165</v>
      </c>
      <c r="B3" s="2242"/>
      <c r="C3" s="1311"/>
      <c r="D3" s="1312"/>
      <c r="E3" s="1312"/>
      <c r="F3" s="1312"/>
      <c r="G3" s="1312"/>
      <c r="H3" s="1312"/>
      <c r="I3" s="1312"/>
      <c r="J3" s="1312"/>
      <c r="K3" s="1313"/>
      <c r="L3" s="446"/>
    </row>
    <row r="4" spans="1:13" ht="15.75" customHeight="1" x14ac:dyDescent="0.2">
      <c r="A4" s="1537" t="s">
        <v>1482</v>
      </c>
      <c r="B4" s="1538">
        <v>1000</v>
      </c>
      <c r="C4" s="1606">
        <f>'Revenues 9-14'!C109</f>
        <v>7761587</v>
      </c>
      <c r="D4" s="1606">
        <f>'Revenues 9-14'!D109</f>
        <v>1116947</v>
      </c>
      <c r="E4" s="1606">
        <f>'Revenues 9-14'!E109</f>
        <v>2397816</v>
      </c>
      <c r="F4" s="1606">
        <f>'Revenues 9-14'!F109</f>
        <v>375091</v>
      </c>
      <c r="G4" s="1606">
        <f>'Revenues 9-14'!G109</f>
        <v>353096</v>
      </c>
      <c r="H4" s="1606">
        <f>'Revenues 9-14'!H109</f>
        <v>0</v>
      </c>
      <c r="I4" s="1606">
        <f>'Revenues 9-14'!I109</f>
        <v>53020</v>
      </c>
      <c r="J4" s="1606">
        <f>'Revenues 9-14'!J109</f>
        <v>0</v>
      </c>
      <c r="K4" s="1606">
        <f>'Revenues 9-14'!K109</f>
        <v>0</v>
      </c>
      <c r="L4" s="325"/>
    </row>
    <row r="5" spans="1:13" ht="15.75" customHeight="1" x14ac:dyDescent="0.2">
      <c r="A5" s="1314" t="s">
        <v>1483</v>
      </c>
      <c r="B5" s="1315">
        <v>2000</v>
      </c>
      <c r="C5" s="1607">
        <f>'Revenues 9-14'!C114</f>
        <v>73821</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2817694</v>
      </c>
      <c r="D6" s="1607">
        <f>'Revenues 9-14'!D170</f>
        <v>50000</v>
      </c>
      <c r="E6" s="1607">
        <f>'Revenues 9-14'!E170</f>
        <v>0</v>
      </c>
      <c r="F6" s="1607">
        <f>'Revenues 9-14'!F170</f>
        <v>841753</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1998259</v>
      </c>
      <c r="D7" s="1607">
        <f>'Revenues 9-14'!D267</f>
        <v>750000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12651361</v>
      </c>
      <c r="D8" s="1594">
        <f t="shared" ref="D8:K8" si="0">SUM(D4:D7)</f>
        <v>1916947</v>
      </c>
      <c r="E8" s="1594">
        <f t="shared" si="0"/>
        <v>2397816</v>
      </c>
      <c r="F8" s="1594">
        <f t="shared" si="0"/>
        <v>1216844</v>
      </c>
      <c r="G8" s="1594">
        <f t="shared" si="0"/>
        <v>353096</v>
      </c>
      <c r="H8" s="1594">
        <f t="shared" si="0"/>
        <v>0</v>
      </c>
      <c r="I8" s="1594">
        <f t="shared" si="0"/>
        <v>53020</v>
      </c>
      <c r="J8" s="1594">
        <f t="shared" si="0"/>
        <v>0</v>
      </c>
      <c r="K8" s="1594">
        <f t="shared" si="0"/>
        <v>0</v>
      </c>
      <c r="L8" s="325"/>
    </row>
    <row r="9" spans="1:13" ht="15.75" thickTop="1" x14ac:dyDescent="0.2">
      <c r="A9" s="449" t="s">
        <v>1634</v>
      </c>
      <c r="B9" s="450">
        <v>3998</v>
      </c>
      <c r="C9" s="1586">
        <v>645533</v>
      </c>
      <c r="D9" s="1613"/>
      <c r="E9" s="1586"/>
      <c r="F9" s="1586"/>
      <c r="G9" s="1614"/>
      <c r="H9" s="1586"/>
      <c r="I9" s="1609" t="s">
        <v>1159</v>
      </c>
      <c r="J9" s="1583"/>
      <c r="K9" s="1586"/>
      <c r="L9" s="325"/>
    </row>
    <row r="10" spans="1:13" s="452" customFormat="1" ht="13.5" thickBot="1" x14ac:dyDescent="0.25">
      <c r="A10" s="1426" t="s">
        <v>1163</v>
      </c>
      <c r="B10" s="1407"/>
      <c r="C10" s="1594">
        <f>SUM(C8:C9)</f>
        <v>13296894</v>
      </c>
      <c r="D10" s="1594">
        <f t="shared" ref="D10:K10" si="1">SUM(D8:D9)</f>
        <v>1916947</v>
      </c>
      <c r="E10" s="1594">
        <f t="shared" si="1"/>
        <v>2397816</v>
      </c>
      <c r="F10" s="1594">
        <f t="shared" si="1"/>
        <v>1216844</v>
      </c>
      <c r="G10" s="1594">
        <f t="shared" si="1"/>
        <v>353096</v>
      </c>
      <c r="H10" s="1594">
        <f t="shared" si="1"/>
        <v>0</v>
      </c>
      <c r="I10" s="1594">
        <f t="shared" si="1"/>
        <v>53020</v>
      </c>
      <c r="J10" s="1594">
        <f t="shared" si="1"/>
        <v>0</v>
      </c>
      <c r="K10" s="1594">
        <f t="shared" si="1"/>
        <v>0</v>
      </c>
      <c r="L10" s="451"/>
    </row>
    <row r="11" spans="1:13" s="452" customFormat="1" ht="16.7" customHeight="1" thickTop="1" x14ac:dyDescent="0.2">
      <c r="A11" s="2215" t="s">
        <v>1166</v>
      </c>
      <c r="B11" s="2216"/>
      <c r="C11" s="1602"/>
      <c r="D11" s="1603"/>
      <c r="E11" s="1603"/>
      <c r="F11" s="1603"/>
      <c r="G11" s="1603"/>
      <c r="H11" s="1603"/>
      <c r="I11" s="1603"/>
      <c r="J11" s="1603"/>
      <c r="K11" s="1615"/>
      <c r="L11" s="451"/>
    </row>
    <row r="12" spans="1:13" ht="15.75" customHeight="1" x14ac:dyDescent="0.2">
      <c r="A12" s="1314" t="s">
        <v>453</v>
      </c>
      <c r="B12" s="1316">
        <v>1000</v>
      </c>
      <c r="C12" s="1606">
        <f>'Expenditures 15-22'!K33</f>
        <v>5954656</v>
      </c>
      <c r="D12" s="1616" t="s">
        <v>1159</v>
      </c>
      <c r="E12" s="1575" t="s">
        <v>1159</v>
      </c>
      <c r="F12" s="1575" t="s">
        <v>1159</v>
      </c>
      <c r="G12" s="1606">
        <f>'Expenditures 15-22'!K229</f>
        <v>61779</v>
      </c>
      <c r="H12" s="1617"/>
      <c r="I12" s="1575" t="s">
        <v>1159</v>
      </c>
      <c r="J12" s="1575" t="s">
        <v>1159</v>
      </c>
      <c r="K12" s="1617" t="s">
        <v>1159</v>
      </c>
      <c r="L12" s="325"/>
    </row>
    <row r="13" spans="1:13" ht="15.75" customHeight="1" x14ac:dyDescent="0.2">
      <c r="A13" s="1314" t="s">
        <v>454</v>
      </c>
      <c r="B13" s="1316">
        <v>2000</v>
      </c>
      <c r="C13" s="1607">
        <f>'Expenditures 15-22'!K74</f>
        <v>4040845</v>
      </c>
      <c r="D13" s="1607">
        <f>'Expenditures 15-22'!K129</f>
        <v>1980660</v>
      </c>
      <c r="E13" s="1576" t="s">
        <v>1159</v>
      </c>
      <c r="F13" s="1607">
        <f>'Expenditures 15-22'!K184</f>
        <v>1530693</v>
      </c>
      <c r="G13" s="1607">
        <f>'Expenditures 15-22'!K279</f>
        <v>376530</v>
      </c>
      <c r="H13" s="1607">
        <f>'Expenditures 15-22'!K303</f>
        <v>0</v>
      </c>
      <c r="I13" s="1575" t="s">
        <v>1159</v>
      </c>
      <c r="J13" s="1607">
        <f>'Expenditures 15-22'!K330</f>
        <v>0</v>
      </c>
      <c r="K13" s="1618">
        <f>'Expenditures 15-22'!K352</f>
        <v>0</v>
      </c>
      <c r="L13" s="325"/>
    </row>
    <row r="14" spans="1:13" ht="15.75" customHeight="1" x14ac:dyDescent="0.2">
      <c r="A14" s="1314" t="s">
        <v>446</v>
      </c>
      <c r="B14" s="1316">
        <v>3000</v>
      </c>
      <c r="C14" s="1607">
        <f>'Expenditures 15-22'!K75</f>
        <v>12450</v>
      </c>
      <c r="D14" s="1607">
        <f>'Expenditures 15-22'!K130</f>
        <v>0</v>
      </c>
      <c r="E14" s="1616" t="s">
        <v>1159</v>
      </c>
      <c r="F14" s="1607">
        <f>'Expenditures 15-22'!K185</f>
        <v>0</v>
      </c>
      <c r="G14" s="1607">
        <f>'Expenditures 15-22'!K280</f>
        <v>31</v>
      </c>
      <c r="H14" s="1612"/>
      <c r="I14" s="1575" t="s">
        <v>1159</v>
      </c>
      <c r="J14" s="1575" t="s">
        <v>1159</v>
      </c>
      <c r="K14" s="1612" t="s">
        <v>1159</v>
      </c>
      <c r="L14" s="325"/>
    </row>
    <row r="15" spans="1:13" ht="15.75" customHeight="1" x14ac:dyDescent="0.2">
      <c r="A15" s="1314" t="s">
        <v>107</v>
      </c>
      <c r="B15" s="1316">
        <v>4000</v>
      </c>
      <c r="C15" s="1607">
        <f>'Expenditures 15-22'!K102</f>
        <v>2804055</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2445619</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12812006</v>
      </c>
      <c r="D17" s="1594">
        <f t="shared" si="2"/>
        <v>1980660</v>
      </c>
      <c r="E17" s="1594">
        <f t="shared" si="2"/>
        <v>2445619</v>
      </c>
      <c r="F17" s="1594">
        <f t="shared" si="2"/>
        <v>1530693</v>
      </c>
      <c r="G17" s="1594">
        <f t="shared" si="2"/>
        <v>438340</v>
      </c>
      <c r="H17" s="1594">
        <f t="shared" si="2"/>
        <v>0</v>
      </c>
      <c r="I17" s="1575"/>
      <c r="J17" s="1594">
        <f>SUM(J12:J16)</f>
        <v>0</v>
      </c>
      <c r="K17" s="1594">
        <f>SUM(K12:K16)</f>
        <v>0</v>
      </c>
      <c r="L17" s="325"/>
    </row>
    <row r="18" spans="1:12" ht="15" customHeight="1" thickTop="1" x14ac:dyDescent="0.2">
      <c r="A18" s="1430" t="s">
        <v>1635</v>
      </c>
      <c r="B18" s="1431">
        <v>4180</v>
      </c>
      <c r="C18" s="1606">
        <f t="shared" ref="C18:H18" si="3">C9</f>
        <v>645533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13457539</v>
      </c>
      <c r="D19" s="1594">
        <f t="shared" si="4"/>
        <v>1980660</v>
      </c>
      <c r="E19" s="1594">
        <f t="shared" si="4"/>
        <v>2445619</v>
      </c>
      <c r="F19" s="1594">
        <f t="shared" si="4"/>
        <v>1530693</v>
      </c>
      <c r="G19" s="1594">
        <f t="shared" si="4"/>
        <v>438340</v>
      </c>
      <c r="H19" s="1594">
        <f t="shared" si="4"/>
        <v>0</v>
      </c>
      <c r="I19" s="1575"/>
      <c r="J19" s="1594">
        <f>SUM(J17:J18)</f>
        <v>0</v>
      </c>
      <c r="K19" s="1594">
        <f>SUM(K17:K18)</f>
        <v>0</v>
      </c>
      <c r="L19" s="325"/>
    </row>
    <row r="20" spans="1:12" ht="16.5" thickTop="1" thickBot="1" x14ac:dyDescent="0.25">
      <c r="A20" s="2231" t="s">
        <v>1636</v>
      </c>
      <c r="B20" s="2232"/>
      <c r="C20" s="1622">
        <f>C8-C17</f>
        <v>-160645</v>
      </c>
      <c r="D20" s="1622">
        <f t="shared" ref="D20:K20" si="5">D8-D17</f>
        <v>-63713</v>
      </c>
      <c r="E20" s="1622">
        <f t="shared" si="5"/>
        <v>-47803</v>
      </c>
      <c r="F20" s="1622">
        <f t="shared" si="5"/>
        <v>-313849</v>
      </c>
      <c r="G20" s="1622">
        <f t="shared" si="5"/>
        <v>-85244</v>
      </c>
      <c r="H20" s="1622">
        <f t="shared" si="5"/>
        <v>0</v>
      </c>
      <c r="I20" s="1622">
        <f t="shared" si="5"/>
        <v>53020</v>
      </c>
      <c r="J20" s="1622">
        <f t="shared" si="5"/>
        <v>0</v>
      </c>
      <c r="K20" s="1622">
        <f t="shared" si="5"/>
        <v>0</v>
      </c>
      <c r="L20" s="325"/>
    </row>
    <row r="21" spans="1:12" ht="16.7" customHeight="1" thickTop="1" x14ac:dyDescent="0.2">
      <c r="A21" s="2243" t="s">
        <v>591</v>
      </c>
      <c r="B21" s="2244"/>
      <c r="C21" s="1602"/>
      <c r="D21" s="1603"/>
      <c r="E21" s="1603"/>
      <c r="F21" s="1603"/>
      <c r="G21" s="1603"/>
      <c r="H21" s="1603"/>
      <c r="I21" s="1603"/>
      <c r="J21" s="1603"/>
      <c r="K21" s="1615"/>
      <c r="L21" s="453"/>
    </row>
    <row r="22" spans="1:12" ht="15.75" customHeight="1" collapsed="1" x14ac:dyDescent="0.2">
      <c r="A22" s="2239" t="s">
        <v>592</v>
      </c>
      <c r="B22" s="2240"/>
      <c r="C22" s="1582"/>
      <c r="D22" s="1582"/>
      <c r="E22" s="1582"/>
      <c r="F22" s="1582"/>
      <c r="G22" s="1582"/>
      <c r="H22" s="1582"/>
      <c r="I22" s="1582"/>
      <c r="J22" s="1582"/>
      <c r="K22" s="1582"/>
      <c r="L22" s="325"/>
    </row>
    <row r="23" spans="1:12" s="433" customFormat="1" ht="15.75" customHeight="1" x14ac:dyDescent="0.2">
      <c r="A23" s="2235" t="s">
        <v>290</v>
      </c>
      <c r="B23" s="2236"/>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14964</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37" t="s">
        <v>974</v>
      </c>
      <c r="B32" s="2238"/>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5" t="s">
        <v>371</v>
      </c>
      <c r="B44" s="2246"/>
      <c r="C44" s="1624">
        <f>SUM(C24:C43)</f>
        <v>14964</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9" t="s">
        <v>108</v>
      </c>
      <c r="B45" s="2240"/>
      <c r="C45" s="1625"/>
      <c r="D45" s="1625"/>
      <c r="E45" s="1625"/>
      <c r="F45" s="1625"/>
      <c r="G45" s="1625"/>
      <c r="H45" s="1625"/>
      <c r="I45" s="1625"/>
      <c r="J45" s="1625"/>
      <c r="K45" s="1625"/>
      <c r="L45" s="325"/>
    </row>
    <row r="46" spans="1:12" s="433" customFormat="1" ht="15.75" customHeight="1" x14ac:dyDescent="0.2">
      <c r="A46" s="2247" t="s">
        <v>109</v>
      </c>
      <c r="B46" s="2248"/>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14964</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1" t="s">
        <v>437</v>
      </c>
      <c r="B76" s="2222"/>
      <c r="C76" s="1624">
        <f t="shared" ref="C76:K76" si="7">SUM(C47:C75)</f>
        <v>0</v>
      </c>
      <c r="D76" s="1624">
        <f t="shared" si="7"/>
        <v>0</v>
      </c>
      <c r="E76" s="1624">
        <f t="shared" si="7"/>
        <v>0</v>
      </c>
      <c r="F76" s="1624">
        <f t="shared" si="7"/>
        <v>0</v>
      </c>
      <c r="G76" s="1624">
        <f t="shared" si="7"/>
        <v>0</v>
      </c>
      <c r="H76" s="1624">
        <f t="shared" si="7"/>
        <v>0</v>
      </c>
      <c r="I76" s="1624">
        <f t="shared" si="7"/>
        <v>14964</v>
      </c>
      <c r="J76" s="1624">
        <f t="shared" si="7"/>
        <v>0</v>
      </c>
      <c r="K76" s="1624">
        <f t="shared" si="7"/>
        <v>0</v>
      </c>
      <c r="L76" s="453"/>
    </row>
    <row r="77" spans="1:12" ht="14.25" thickTop="1" thickBot="1" x14ac:dyDescent="0.25">
      <c r="A77" s="2223" t="s">
        <v>1167</v>
      </c>
      <c r="B77" s="2224"/>
      <c r="C77" s="1624">
        <f t="shared" ref="C77:K77" si="8">C44-C76</f>
        <v>14964</v>
      </c>
      <c r="D77" s="1624">
        <f t="shared" si="8"/>
        <v>0</v>
      </c>
      <c r="E77" s="1624">
        <f t="shared" si="8"/>
        <v>0</v>
      </c>
      <c r="F77" s="1624">
        <f t="shared" si="8"/>
        <v>0</v>
      </c>
      <c r="G77" s="1624">
        <f t="shared" si="8"/>
        <v>0</v>
      </c>
      <c r="H77" s="1624">
        <f t="shared" si="8"/>
        <v>0</v>
      </c>
      <c r="I77" s="1624">
        <f t="shared" si="8"/>
        <v>-14964</v>
      </c>
      <c r="J77" s="1624">
        <f t="shared" si="8"/>
        <v>0</v>
      </c>
      <c r="K77" s="1624">
        <f t="shared" si="8"/>
        <v>0</v>
      </c>
      <c r="L77" s="325"/>
    </row>
    <row r="78" spans="1:12" ht="21.75" customHeight="1" thickTop="1" thickBot="1" x14ac:dyDescent="0.25">
      <c r="A78" s="2227" t="s">
        <v>593</v>
      </c>
      <c r="B78" s="2228"/>
      <c r="C78" s="1629">
        <f t="shared" ref="C78:K78" si="9">C20+C77</f>
        <v>-145681</v>
      </c>
      <c r="D78" s="1629">
        <f t="shared" si="9"/>
        <v>-63713</v>
      </c>
      <c r="E78" s="1629">
        <f t="shared" si="9"/>
        <v>-47803</v>
      </c>
      <c r="F78" s="1629">
        <f t="shared" si="9"/>
        <v>-313849</v>
      </c>
      <c r="G78" s="1629">
        <f t="shared" si="9"/>
        <v>-85244</v>
      </c>
      <c r="H78" s="1629">
        <f t="shared" si="9"/>
        <v>0</v>
      </c>
      <c r="I78" s="1629">
        <f t="shared" si="9"/>
        <v>38056</v>
      </c>
      <c r="J78" s="1629">
        <f t="shared" si="9"/>
        <v>0</v>
      </c>
      <c r="K78" s="1629">
        <f t="shared" si="9"/>
        <v>0</v>
      </c>
      <c r="L78" s="457"/>
    </row>
    <row r="79" spans="1:12" ht="13.5" thickTop="1" x14ac:dyDescent="0.2">
      <c r="A79" s="1844" t="str">
        <f>"Fund Balances - July 1, "&amp;'AFR20'!E2-1</f>
        <v>Fund Balances - July 1, 2019</v>
      </c>
      <c r="B79" s="458"/>
      <c r="C79" s="1583">
        <v>11664572</v>
      </c>
      <c r="D79" s="1630">
        <v>1226729</v>
      </c>
      <c r="E79" s="1630">
        <v>1583336</v>
      </c>
      <c r="F79" s="1630">
        <v>1424268</v>
      </c>
      <c r="G79" s="1630">
        <v>672046</v>
      </c>
      <c r="H79" s="1630"/>
      <c r="I79" s="1630">
        <v>1774672</v>
      </c>
      <c r="J79" s="1630"/>
      <c r="K79" s="1630"/>
      <c r="L79" s="325"/>
    </row>
    <row r="80" spans="1:12" x14ac:dyDescent="0.2">
      <c r="A80" s="2233" t="s">
        <v>1769</v>
      </c>
      <c r="B80" s="2234"/>
      <c r="C80" s="1574"/>
      <c r="D80" s="1574"/>
      <c r="E80" s="1574"/>
      <c r="F80" s="1574"/>
      <c r="G80" s="1574"/>
      <c r="H80" s="1574"/>
      <c r="I80" s="1574"/>
      <c r="J80" s="1574"/>
      <c r="K80" s="1574"/>
      <c r="L80" s="325"/>
    </row>
    <row r="81" spans="1:12" ht="13.5" thickBot="1" x14ac:dyDescent="0.25">
      <c r="A81" s="2225" t="str">
        <f>"Fund Balances - June 30, "&amp;'AFR20'!E2</f>
        <v>Fund Balances - June 30, 2020</v>
      </c>
      <c r="B81" s="2226"/>
      <c r="C81" s="1594">
        <f>(SUM(C78:C80))</f>
        <v>11518891</v>
      </c>
      <c r="D81" s="1594">
        <f>SUM(D78:D80)</f>
        <v>1163016</v>
      </c>
      <c r="E81" s="1594">
        <f t="shared" ref="E81:K81" si="10">SUM(E78:E80)</f>
        <v>1535533</v>
      </c>
      <c r="F81" s="1594">
        <f t="shared" si="10"/>
        <v>1110419</v>
      </c>
      <c r="G81" s="1594">
        <f t="shared" si="10"/>
        <v>586802</v>
      </c>
      <c r="H81" s="1594">
        <f t="shared" si="10"/>
        <v>0</v>
      </c>
      <c r="I81" s="1594">
        <f t="shared" si="10"/>
        <v>1812728</v>
      </c>
      <c r="J81" s="1594">
        <f t="shared" si="10"/>
        <v>0</v>
      </c>
      <c r="K81" s="1594">
        <f t="shared" si="10"/>
        <v>0</v>
      </c>
      <c r="L81" s="325"/>
    </row>
    <row r="82" spans="1:12" ht="0.75" customHeight="1" thickTop="1" thickBot="1" x14ac:dyDescent="0.25">
      <c r="A82" s="459" t="s">
        <v>340</v>
      </c>
      <c r="B82" s="460"/>
      <c r="C82" s="461">
        <f>(C81-C79)</f>
        <v>-145681</v>
      </c>
      <c r="D82" s="461">
        <f t="shared" ref="D82:K82" si="11">(D81-D79)</f>
        <v>-63713</v>
      </c>
      <c r="E82" s="461">
        <f t="shared" si="11"/>
        <v>-47803</v>
      </c>
      <c r="F82" s="461">
        <f t="shared" si="11"/>
        <v>-313849</v>
      </c>
      <c r="G82" s="461">
        <f t="shared" si="11"/>
        <v>-85244</v>
      </c>
      <c r="H82" s="461">
        <f t="shared" si="11"/>
        <v>0</v>
      </c>
      <c r="I82" s="461">
        <f t="shared" si="11"/>
        <v>38056</v>
      </c>
      <c r="J82" s="461">
        <f t="shared" si="11"/>
        <v>0</v>
      </c>
      <c r="K82" s="461">
        <f t="shared" si="11"/>
        <v>0</v>
      </c>
    </row>
    <row r="83" spans="1:12" ht="14.25" hidden="1" thickTop="1" thickBot="1" x14ac:dyDescent="0.25">
      <c r="A83" s="462" t="s">
        <v>341</v>
      </c>
      <c r="B83" s="428"/>
      <c r="C83" s="463">
        <f>C82/C81</f>
        <v>-1.2647137645455626E-2</v>
      </c>
      <c r="D83" s="463">
        <f t="shared" ref="D83:K83" si="12">D82/D81</f>
        <v>-5.4782565330141635E-2</v>
      </c>
      <c r="E83" s="463">
        <f t="shared" si="12"/>
        <v>-3.1131209814442281E-2</v>
      </c>
      <c r="F83" s="463">
        <f t="shared" si="12"/>
        <v>-0.28264015655351721</v>
      </c>
      <c r="G83" s="463">
        <f t="shared" si="12"/>
        <v>-0.14526876186516066</v>
      </c>
      <c r="H83" s="463" t="e">
        <f t="shared" si="12"/>
        <v>#DIV/0!</v>
      </c>
      <c r="I83" s="463">
        <f t="shared" si="12"/>
        <v>2.0993772921254594E-2</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99" activePane="bottomLeft" state="frozen"/>
      <selection activeCell="L281" sqref="L281"/>
      <selection pane="bottomLeft" activeCell="C107" sqref="C10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9" t="s">
        <v>1776</v>
      </c>
      <c r="B1" s="416"/>
      <c r="C1" s="417" t="s">
        <v>422</v>
      </c>
      <c r="D1" s="417" t="s">
        <v>423</v>
      </c>
      <c r="E1" s="417" t="s">
        <v>424</v>
      </c>
      <c r="F1" s="417" t="s">
        <v>425</v>
      </c>
      <c r="G1" s="417" t="s">
        <v>426</v>
      </c>
      <c r="H1" s="417" t="s">
        <v>427</v>
      </c>
      <c r="I1" s="417" t="s">
        <v>428</v>
      </c>
      <c r="J1" s="417" t="s">
        <v>429</v>
      </c>
      <c r="K1" s="417" t="s">
        <v>751</v>
      </c>
    </row>
    <row r="2" spans="1:12" ht="36" x14ac:dyDescent="0.2">
      <c r="A2" s="223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6282733</v>
      </c>
      <c r="D5" s="1586">
        <v>920927</v>
      </c>
      <c r="E5" s="1573">
        <v>2387106</v>
      </c>
      <c r="F5" s="1631">
        <v>363384</v>
      </c>
      <c r="G5" s="1573">
        <v>110515</v>
      </c>
      <c r="H5" s="1573"/>
      <c r="I5" s="1573">
        <v>38056</v>
      </c>
      <c r="J5" s="1574"/>
      <c r="K5" s="1573"/>
    </row>
    <row r="6" spans="1:12" ht="15" x14ac:dyDescent="0.2">
      <c r="A6" s="427" t="s">
        <v>1643</v>
      </c>
      <c r="B6" s="429">
        <v>1130</v>
      </c>
      <c r="C6" s="1573"/>
      <c r="D6" s="1573"/>
      <c r="E6" s="1580"/>
      <c r="F6" s="1580"/>
      <c r="G6" s="1575"/>
      <c r="H6" s="1575"/>
      <c r="I6" s="1575"/>
      <c r="J6" s="1575"/>
      <c r="K6" s="1575"/>
    </row>
    <row r="7" spans="1:12" x14ac:dyDescent="0.2">
      <c r="A7" s="427" t="s">
        <v>110</v>
      </c>
      <c r="B7" s="471">
        <v>1140</v>
      </c>
      <c r="C7" s="1573">
        <v>32525</v>
      </c>
      <c r="D7" s="1573"/>
      <c r="E7" s="1575"/>
      <c r="F7" s="1574"/>
      <c r="G7" s="1574"/>
      <c r="H7" s="1574"/>
      <c r="I7" s="1575"/>
      <c r="J7" s="1575"/>
      <c r="K7" s="1575"/>
    </row>
    <row r="8" spans="1:12" x14ac:dyDescent="0.2">
      <c r="A8" s="427" t="s">
        <v>410</v>
      </c>
      <c r="B8" s="429">
        <v>1150</v>
      </c>
      <c r="C8" s="1580"/>
      <c r="D8" s="1580"/>
      <c r="E8" s="1582"/>
      <c r="F8" s="1582"/>
      <c r="G8" s="1586">
        <v>151403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6315258</v>
      </c>
      <c r="D12" s="1633">
        <f t="shared" si="0"/>
        <v>920927</v>
      </c>
      <c r="E12" s="1633">
        <f t="shared" si="0"/>
        <v>2387106</v>
      </c>
      <c r="F12" s="1633">
        <f t="shared" si="0"/>
        <v>363384</v>
      </c>
      <c r="G12" s="1633">
        <f t="shared" si="0"/>
        <v>261918</v>
      </c>
      <c r="H12" s="1633">
        <f t="shared" si="0"/>
        <v>0</v>
      </c>
      <c r="I12" s="1633">
        <f t="shared" si="0"/>
        <v>38056</v>
      </c>
      <c r="J12" s="1633">
        <f t="shared" si="0"/>
        <v>0</v>
      </c>
      <c r="K12" s="1594">
        <f t="shared" si="0"/>
        <v>0</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277732</v>
      </c>
      <c r="D16" s="1573">
        <v>100000</v>
      </c>
      <c r="E16" s="1573"/>
      <c r="F16" s="1573"/>
      <c r="G16" s="1573">
        <v>85000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277732</v>
      </c>
      <c r="D18" s="1635">
        <f t="shared" ref="D18:K18" si="1">SUM(D14:D17)</f>
        <v>100000</v>
      </c>
      <c r="E18" s="1635">
        <f t="shared" si="1"/>
        <v>0</v>
      </c>
      <c r="F18" s="1635">
        <f t="shared" si="1"/>
        <v>0</v>
      </c>
      <c r="G18" s="1635">
        <f t="shared" si="1"/>
        <v>85000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14976</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14976</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96672</v>
      </c>
      <c r="D65" s="1573">
        <v>9320</v>
      </c>
      <c r="E65" s="1573">
        <v>10710</v>
      </c>
      <c r="F65" s="1574">
        <v>11707</v>
      </c>
      <c r="G65" s="1573">
        <v>6178</v>
      </c>
      <c r="H65" s="1573"/>
      <c r="I65" s="1573">
        <v>14964</v>
      </c>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96672</v>
      </c>
      <c r="D67" s="1594">
        <f t="shared" ref="D67:K67" si="2">SUM(D65:D66)</f>
        <v>9320</v>
      </c>
      <c r="E67" s="1594">
        <f t="shared" si="2"/>
        <v>10710</v>
      </c>
      <c r="F67" s="1594">
        <f t="shared" si="2"/>
        <v>11707</v>
      </c>
      <c r="G67" s="1594">
        <f t="shared" si="2"/>
        <v>6178</v>
      </c>
      <c r="H67" s="1594">
        <f t="shared" si="2"/>
        <v>0</v>
      </c>
      <c r="I67" s="1594">
        <f t="shared" si="2"/>
        <v>14964</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199065</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c r="D73" s="1575"/>
      <c r="E73" s="1575"/>
      <c r="F73" s="1575"/>
      <c r="G73" s="1575"/>
      <c r="H73" s="1575"/>
      <c r="I73" s="1575"/>
      <c r="J73" s="1575"/>
      <c r="K73" s="1575"/>
    </row>
    <row r="74" spans="1:11" ht="12.75" customHeight="1" x14ac:dyDescent="0.2">
      <c r="A74" s="427" t="s">
        <v>25</v>
      </c>
      <c r="B74" s="429">
        <v>1690</v>
      </c>
      <c r="C74" s="1632">
        <v>44704</v>
      </c>
      <c r="D74" s="1575"/>
      <c r="E74" s="1575"/>
      <c r="F74" s="1575"/>
      <c r="G74" s="1575"/>
      <c r="H74" s="1575"/>
      <c r="I74" s="1575"/>
      <c r="J74" s="1575"/>
      <c r="K74" s="1575"/>
    </row>
    <row r="75" spans="1:11" ht="12.75" customHeight="1" thickBot="1" x14ac:dyDescent="0.25">
      <c r="A75" s="1406" t="s">
        <v>544</v>
      </c>
      <c r="B75" s="1407"/>
      <c r="C75" s="1594">
        <f>SUM(C69:C74)</f>
        <v>243769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27983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7108</v>
      </c>
      <c r="D79" s="1573">
        <v>6050</v>
      </c>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35091</v>
      </c>
      <c r="D82" s="1594">
        <f>SUM(D77:D81)</f>
        <v>6050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69570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69570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107279</v>
      </c>
      <c r="D95" s="1632"/>
      <c r="E95" s="1617"/>
      <c r="F95" s="1617"/>
      <c r="G95" s="1617"/>
      <c r="H95" s="1617"/>
      <c r="I95" s="1617"/>
      <c r="J95" s="1617"/>
      <c r="K95" s="1617"/>
    </row>
    <row r="96" spans="1:11" ht="12.75" customHeight="1" x14ac:dyDescent="0.2">
      <c r="A96" s="427" t="s">
        <v>388</v>
      </c>
      <c r="B96" s="429">
        <v>1920</v>
      </c>
      <c r="C96" s="1632">
        <v>306425</v>
      </c>
      <c r="D96" s="1632">
        <v>25000</v>
      </c>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v>55650</v>
      </c>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2800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v>267221</v>
      </c>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24794</v>
      </c>
      <c r="D107" s="1573"/>
      <c r="E107" s="1573"/>
      <c r="F107" s="1573"/>
      <c r="G107" s="1573"/>
      <c r="H107" s="1573"/>
      <c r="I107" s="1573"/>
      <c r="J107" s="1574"/>
      <c r="K107" s="1573"/>
    </row>
    <row r="108" spans="1:12" ht="12.75" customHeight="1" thickBot="1" x14ac:dyDescent="0.25">
      <c r="A108" s="1406" t="s">
        <v>484</v>
      </c>
      <c r="B108" s="1408"/>
      <c r="C108" s="1633">
        <f>SUM(C95:C107)</f>
        <v>708519</v>
      </c>
      <c r="D108" s="1633">
        <f t="shared" ref="D108:K108" si="3">SUM(D95:D107)</f>
        <v>80650</v>
      </c>
      <c r="E108" s="1633">
        <f t="shared" si="3"/>
        <v>0</v>
      </c>
      <c r="F108" s="1633">
        <f t="shared" si="3"/>
        <v>0</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7761587</v>
      </c>
      <c r="D109" s="1641">
        <f t="shared" si="4"/>
        <v>1116947</v>
      </c>
      <c r="E109" s="1641">
        <f t="shared" si="4"/>
        <v>2397816</v>
      </c>
      <c r="F109" s="1641">
        <f t="shared" si="4"/>
        <v>375091</v>
      </c>
      <c r="G109" s="1641">
        <f t="shared" si="4"/>
        <v>353096</v>
      </c>
      <c r="H109" s="1641">
        <f t="shared" si="4"/>
        <v>0</v>
      </c>
      <c r="I109" s="1641">
        <f t="shared" si="4"/>
        <v>53020</v>
      </c>
      <c r="J109" s="1641">
        <f t="shared" si="4"/>
        <v>0</v>
      </c>
      <c r="K109" s="1629">
        <f t="shared" si="4"/>
        <v>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v>73821</v>
      </c>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73821</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2544505</v>
      </c>
      <c r="D117" s="1586"/>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2544505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33777</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78617</v>
      </c>
      <c r="D128" s="1640"/>
      <c r="E128" s="1575"/>
      <c r="F128" s="1573"/>
      <c r="G128" s="1575"/>
      <c r="H128" s="1575"/>
      <c r="I128" s="1575"/>
      <c r="J128" s="1575"/>
      <c r="K128" s="1575"/>
    </row>
    <row r="129" spans="1:11" ht="12.75" customHeight="1" x14ac:dyDescent="0.2">
      <c r="A129" s="427" t="s">
        <v>1430</v>
      </c>
      <c r="B129" s="478">
        <v>3130</v>
      </c>
      <c r="C129" s="1573">
        <v>7587</v>
      </c>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119981</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v>22202</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22202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3202</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12489</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386700</v>
      </c>
      <c r="G152" s="1574"/>
      <c r="H152" s="1575"/>
      <c r="I152" s="1575"/>
      <c r="J152" s="1575"/>
      <c r="K152" s="1575"/>
    </row>
    <row r="153" spans="1:11" ht="12.75" customHeight="1" x14ac:dyDescent="0.2">
      <c r="A153" s="427" t="s">
        <v>1048</v>
      </c>
      <c r="B153" s="478">
        <v>3510</v>
      </c>
      <c r="C153" s="1632"/>
      <c r="D153" s="1573"/>
      <c r="E153" s="1640"/>
      <c r="F153" s="1573">
        <v>437087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823787</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115315</v>
      </c>
      <c r="D159" s="1653"/>
      <c r="E159" s="1640"/>
      <c r="F159" s="1651">
        <v>17966</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v>50000</v>
      </c>
      <c r="E168" s="1655"/>
      <c r="F168" s="1655"/>
      <c r="G168" s="1656"/>
      <c r="H168" s="1657"/>
      <c r="I168" s="1656"/>
      <c r="J168" s="1656"/>
      <c r="K168" s="1657"/>
    </row>
    <row r="169" spans="1:11" ht="12.75" customHeight="1" thickTop="1" thickBot="1" x14ac:dyDescent="0.25">
      <c r="A169" s="2249" t="s">
        <v>395</v>
      </c>
      <c r="B169" s="2250"/>
      <c r="C169" s="1658">
        <f t="shared" ref="C169:K169" si="6">SUM(C132,C141,C145,C146:C150,C155,C156:C167,C168)</f>
        <v>273189</v>
      </c>
      <c r="D169" s="1658">
        <f t="shared" si="6"/>
        <v>50000</v>
      </c>
      <c r="E169" s="1658">
        <f t="shared" si="6"/>
        <v>0</v>
      </c>
      <c r="F169" s="1658">
        <f t="shared" si="6"/>
        <v>841753</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2817694</v>
      </c>
      <c r="D170" s="1641">
        <f t="shared" si="7"/>
        <v>50000</v>
      </c>
      <c r="E170" s="1641">
        <f t="shared" si="7"/>
        <v>0</v>
      </c>
      <c r="F170" s="1641">
        <f t="shared" si="7"/>
        <v>841753</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1" t="s">
        <v>1475</v>
      </c>
      <c r="B172" s="2252"/>
      <c r="C172" s="1616"/>
      <c r="D172" s="1616"/>
      <c r="E172" s="1609"/>
      <c r="F172" s="1575"/>
      <c r="G172" s="1575"/>
      <c r="H172" s="1575"/>
      <c r="I172" s="1575"/>
      <c r="J172" s="1575"/>
      <c r="K172" s="1575"/>
    </row>
    <row r="173" spans="1:11" ht="12.6" customHeight="1" x14ac:dyDescent="0.2">
      <c r="A173" s="436" t="s">
        <v>1035</v>
      </c>
      <c r="B173" s="435">
        <v>4001</v>
      </c>
      <c r="C173" s="1613">
        <v>1347538</v>
      </c>
      <c r="D173" s="1586">
        <v>750000</v>
      </c>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5" t="s">
        <v>1646</v>
      </c>
      <c r="B175" s="2256"/>
      <c r="C175" s="1633">
        <f>SUM(C173:C174)</f>
        <v>1347538</v>
      </c>
      <c r="D175" s="1633">
        <f t="shared" ref="D175:K175" si="8">SUM(D173:D174)</f>
        <v>750000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9" t="s">
        <v>1645</v>
      </c>
      <c r="B176" s="2260"/>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7" t="s">
        <v>780</v>
      </c>
      <c r="B181" s="2258"/>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3" t="s">
        <v>1777</v>
      </c>
      <c r="B182" s="2254"/>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173974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43963</v>
      </c>
      <c r="D193" s="1575"/>
      <c r="E193" s="1640"/>
      <c r="F193" s="1575"/>
      <c r="G193" s="1664"/>
      <c r="H193" s="1575"/>
      <c r="I193" s="1575"/>
      <c r="J193" s="1575"/>
      <c r="K193" s="1575"/>
    </row>
    <row r="194" spans="1:11" ht="12.75" customHeight="1" x14ac:dyDescent="0.2">
      <c r="A194" s="427" t="s">
        <v>1434</v>
      </c>
      <c r="B194" s="429">
        <v>4225</v>
      </c>
      <c r="C194" s="1632">
        <v>28760</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246697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324292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324292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18364</v>
      </c>
      <c r="D263" s="1651"/>
      <c r="E263" s="1575"/>
      <c r="F263" s="1651"/>
      <c r="G263" s="1651"/>
      <c r="H263" s="1575"/>
      <c r="I263" s="1575"/>
      <c r="J263" s="1575"/>
      <c r="K263" s="1575"/>
    </row>
    <row r="264" spans="1:11" ht="12.75" customHeight="1" thickTop="1" thickBot="1" x14ac:dyDescent="0.25">
      <c r="A264" s="427" t="s">
        <v>374</v>
      </c>
      <c r="B264" s="429">
        <v>4992</v>
      </c>
      <c r="C264" s="1650">
        <v>61368</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650721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1998259</v>
      </c>
      <c r="D267" s="1641">
        <f>SUM(D175,D181,D266)</f>
        <v>750000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12651361</v>
      </c>
      <c r="D268" s="1641">
        <f t="shared" si="12"/>
        <v>1916947</v>
      </c>
      <c r="E268" s="1641">
        <f t="shared" si="12"/>
        <v>2397816</v>
      </c>
      <c r="F268" s="1641">
        <f t="shared" si="12"/>
        <v>1216844</v>
      </c>
      <c r="G268" s="1641">
        <f t="shared" si="12"/>
        <v>353096</v>
      </c>
      <c r="H268" s="1641">
        <f t="shared" si="12"/>
        <v>0</v>
      </c>
      <c r="I268" s="1641">
        <f t="shared" si="12"/>
        <v>53020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255" activePane="bottomLeft" state="frozen"/>
      <selection activeCell="L281" sqref="L281"/>
      <selection pane="bottomLeft" activeCell="L281" sqref="L28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9"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3426970</v>
      </c>
      <c r="D5" s="1573">
        <v>953836</v>
      </c>
      <c r="E5" s="1573">
        <v>3160</v>
      </c>
      <c r="F5" s="1573">
        <v>80543</v>
      </c>
      <c r="G5" s="1573"/>
      <c r="H5" s="1573">
        <v>1681</v>
      </c>
      <c r="I5" s="1574"/>
      <c r="J5" s="1574"/>
      <c r="K5" s="1672">
        <f>SUM(C5:J5)</f>
        <v>4466190</v>
      </c>
      <c r="L5" s="1573">
        <v>4891733</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61911</v>
      </c>
      <c r="D7" s="1574">
        <v>8634</v>
      </c>
      <c r="E7" s="1574">
        <v>762</v>
      </c>
      <c r="F7" s="1574">
        <v>12318</v>
      </c>
      <c r="G7" s="1574">
        <v>640</v>
      </c>
      <c r="H7" s="1574"/>
      <c r="I7" s="1574"/>
      <c r="J7" s="1574"/>
      <c r="K7" s="1672">
        <f t="shared" ref="K7:K32" si="0">SUM(C7:J7)</f>
        <v>84265</v>
      </c>
      <c r="L7" s="1573">
        <v>92479</v>
      </c>
    </row>
    <row r="8" spans="1:14" x14ac:dyDescent="0.2">
      <c r="A8" s="1274" t="s">
        <v>163</v>
      </c>
      <c r="B8" s="503">
        <v>1200</v>
      </c>
      <c r="C8" s="1573">
        <v>16338</v>
      </c>
      <c r="D8" s="1573"/>
      <c r="E8" s="1573"/>
      <c r="F8" s="1573">
        <v>2548</v>
      </c>
      <c r="G8" s="1573"/>
      <c r="H8" s="1573">
        <v>431172</v>
      </c>
      <c r="I8" s="1574"/>
      <c r="J8" s="1574"/>
      <c r="K8" s="1672">
        <f t="shared" si="0"/>
        <v>450058</v>
      </c>
      <c r="L8" s="1573">
        <v>322000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174552</v>
      </c>
      <c r="D10" s="1573">
        <v>30091</v>
      </c>
      <c r="E10" s="1573"/>
      <c r="F10" s="1573">
        <v>64672</v>
      </c>
      <c r="G10" s="1573"/>
      <c r="H10" s="1573"/>
      <c r="I10" s="1574"/>
      <c r="J10" s="1574"/>
      <c r="K10" s="1672">
        <f t="shared" si="0"/>
        <v>269315</v>
      </c>
      <c r="L10" s="1573">
        <v>299524</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56689</v>
      </c>
      <c r="D13" s="1573">
        <v>13082</v>
      </c>
      <c r="E13" s="1573">
        <v>2860</v>
      </c>
      <c r="F13" s="1573">
        <v>190809</v>
      </c>
      <c r="G13" s="1573">
        <v>1430</v>
      </c>
      <c r="H13" s="1573"/>
      <c r="I13" s="1574"/>
      <c r="J13" s="1574"/>
      <c r="K13" s="1672">
        <f t="shared" si="0"/>
        <v>264870</v>
      </c>
      <c r="L13" s="1573">
        <v>353937</v>
      </c>
    </row>
    <row r="14" spans="1:14" x14ac:dyDescent="0.2">
      <c r="A14" s="1274" t="s">
        <v>957</v>
      </c>
      <c r="B14" s="503">
        <v>1500</v>
      </c>
      <c r="C14" s="1573">
        <v>313422</v>
      </c>
      <c r="D14" s="1573">
        <v>16582</v>
      </c>
      <c r="E14" s="1573">
        <v>39685</v>
      </c>
      <c r="F14" s="1573">
        <v>37652</v>
      </c>
      <c r="G14" s="1573"/>
      <c r="H14" s="1573">
        <v>11781</v>
      </c>
      <c r="I14" s="1574"/>
      <c r="J14" s="1574"/>
      <c r="K14" s="1672">
        <f t="shared" si="0"/>
        <v>419122</v>
      </c>
      <c r="L14" s="1573">
        <v>441809</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v>836</v>
      </c>
      <c r="G17" s="1574"/>
      <c r="H17" s="1574"/>
      <c r="I17" s="1574"/>
      <c r="J17" s="1574"/>
      <c r="K17" s="1672">
        <f t="shared" si="0"/>
        <v>836</v>
      </c>
      <c r="L17" s="1573">
        <v>2200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4049882</v>
      </c>
      <c r="D33" s="1674">
        <f t="shared" ref="D33:L33" si="1">SUM(D5:D32)</f>
        <v>1022225</v>
      </c>
      <c r="E33" s="1674">
        <f t="shared" si="1"/>
        <v>46467</v>
      </c>
      <c r="F33" s="1674">
        <f t="shared" si="1"/>
        <v>389378</v>
      </c>
      <c r="G33" s="1674">
        <f t="shared" si="1"/>
        <v>2070</v>
      </c>
      <c r="H33" s="1674">
        <f t="shared" si="1"/>
        <v>444634</v>
      </c>
      <c r="I33" s="1674">
        <f t="shared" si="1"/>
        <v>0</v>
      </c>
      <c r="J33" s="1674">
        <f t="shared" si="1"/>
        <v>0</v>
      </c>
      <c r="K33" s="1674">
        <f t="shared" si="1"/>
        <v>5954656</v>
      </c>
      <c r="L33" s="1674">
        <f t="shared" si="1"/>
        <v>6403682</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138605</v>
      </c>
      <c r="D37" s="1573">
        <v>29463</v>
      </c>
      <c r="E37" s="1573"/>
      <c r="F37" s="1573">
        <v>815</v>
      </c>
      <c r="G37" s="1573"/>
      <c r="H37" s="1573"/>
      <c r="I37" s="1574"/>
      <c r="J37" s="1574"/>
      <c r="K37" s="1672">
        <f t="shared" si="2"/>
        <v>168883</v>
      </c>
      <c r="L37" s="1573">
        <v>172076</v>
      </c>
    </row>
    <row r="38" spans="1:14" x14ac:dyDescent="0.2">
      <c r="A38" s="1274" t="s">
        <v>196</v>
      </c>
      <c r="B38" s="503">
        <v>2130</v>
      </c>
      <c r="C38" s="1573">
        <v>71882</v>
      </c>
      <c r="D38" s="1573">
        <v>23863</v>
      </c>
      <c r="E38" s="1573">
        <v>563</v>
      </c>
      <c r="F38" s="1573">
        <v>2953</v>
      </c>
      <c r="G38" s="1573"/>
      <c r="H38" s="1573"/>
      <c r="I38" s="1574"/>
      <c r="J38" s="1574"/>
      <c r="K38" s="1672">
        <f t="shared" si="2"/>
        <v>99261</v>
      </c>
      <c r="L38" s="1573">
        <v>103294</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2537</v>
      </c>
      <c r="D41" s="1573"/>
      <c r="E41" s="1573">
        <v>3068</v>
      </c>
      <c r="F41" s="1573">
        <v>966</v>
      </c>
      <c r="G41" s="1573"/>
      <c r="H41" s="1573"/>
      <c r="I41" s="1574"/>
      <c r="J41" s="1574"/>
      <c r="K41" s="1672">
        <f t="shared" si="2"/>
        <v>6571</v>
      </c>
      <c r="L41" s="1573">
        <v>8000</v>
      </c>
    </row>
    <row r="42" spans="1:14" ht="12.75" customHeight="1" thickBot="1" x14ac:dyDescent="0.25">
      <c r="A42" s="1380" t="s">
        <v>556</v>
      </c>
      <c r="B42" s="1381" t="s">
        <v>711</v>
      </c>
      <c r="C42" s="1674">
        <f>SUM(C36:C41)</f>
        <v>213024</v>
      </c>
      <c r="D42" s="1674">
        <f t="shared" ref="D42:L42" si="3">SUM(D36:D41)</f>
        <v>53326</v>
      </c>
      <c r="E42" s="1674">
        <f t="shared" si="3"/>
        <v>3631</v>
      </c>
      <c r="F42" s="1674">
        <f t="shared" si="3"/>
        <v>4734</v>
      </c>
      <c r="G42" s="1674">
        <f t="shared" si="3"/>
        <v>0</v>
      </c>
      <c r="H42" s="1674">
        <f t="shared" si="3"/>
        <v>0</v>
      </c>
      <c r="I42" s="1674">
        <f t="shared" si="3"/>
        <v>0</v>
      </c>
      <c r="J42" s="1674">
        <f t="shared" si="3"/>
        <v>0</v>
      </c>
      <c r="K42" s="1674">
        <f t="shared" si="3"/>
        <v>274715</v>
      </c>
      <c r="L42" s="1674">
        <f t="shared" si="3"/>
        <v>283370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138736</v>
      </c>
      <c r="D44" s="1586">
        <v>43154</v>
      </c>
      <c r="E44" s="1586">
        <v>6406</v>
      </c>
      <c r="F44" s="1586"/>
      <c r="G44" s="1586"/>
      <c r="H44" s="1586">
        <v>8122</v>
      </c>
      <c r="I44" s="1574"/>
      <c r="J44" s="1574"/>
      <c r="K44" s="1678">
        <f>SUM(C44:J44)</f>
        <v>196418</v>
      </c>
      <c r="L44" s="1586">
        <v>259531</v>
      </c>
    </row>
    <row r="45" spans="1:14" x14ac:dyDescent="0.2">
      <c r="A45" s="1274" t="s">
        <v>810</v>
      </c>
      <c r="B45" s="503">
        <v>2220</v>
      </c>
      <c r="C45" s="1573">
        <v>229823</v>
      </c>
      <c r="D45" s="1573">
        <v>117413</v>
      </c>
      <c r="E45" s="1573">
        <v>58355</v>
      </c>
      <c r="F45" s="1573">
        <v>142583</v>
      </c>
      <c r="G45" s="1573">
        <v>91846</v>
      </c>
      <c r="H45" s="1573"/>
      <c r="I45" s="1574"/>
      <c r="J45" s="1574"/>
      <c r="K45" s="1678">
        <f>SUM(C45:J45)</f>
        <v>640020</v>
      </c>
      <c r="L45" s="1573">
        <v>727826</v>
      </c>
    </row>
    <row r="46" spans="1:14" x14ac:dyDescent="0.2">
      <c r="A46" s="1274" t="s">
        <v>811</v>
      </c>
      <c r="B46" s="503">
        <v>2230</v>
      </c>
      <c r="C46" s="1573"/>
      <c r="D46" s="1573"/>
      <c r="E46" s="1573">
        <v>10683</v>
      </c>
      <c r="F46" s="1573">
        <v>1</v>
      </c>
      <c r="G46" s="1573"/>
      <c r="H46" s="1573"/>
      <c r="I46" s="1574"/>
      <c r="J46" s="1574"/>
      <c r="K46" s="1678">
        <f>SUM(C46:J46)</f>
        <v>10684</v>
      </c>
      <c r="L46" s="1573">
        <v>21500</v>
      </c>
    </row>
    <row r="47" spans="1:14" ht="12.75" customHeight="1" thickBot="1" x14ac:dyDescent="0.25">
      <c r="A47" s="1380" t="s">
        <v>557</v>
      </c>
      <c r="B47" s="1381" t="s">
        <v>32</v>
      </c>
      <c r="C47" s="1674">
        <f>SUM(C44:C46)</f>
        <v>368559</v>
      </c>
      <c r="D47" s="1674">
        <f t="shared" ref="D47:K47" si="4">SUM(D44:D46)</f>
        <v>160567</v>
      </c>
      <c r="E47" s="1674">
        <f t="shared" si="4"/>
        <v>75444</v>
      </c>
      <c r="F47" s="1674">
        <f t="shared" si="4"/>
        <v>142584</v>
      </c>
      <c r="G47" s="1674">
        <f t="shared" si="4"/>
        <v>91846</v>
      </c>
      <c r="H47" s="1674">
        <f t="shared" si="4"/>
        <v>8122</v>
      </c>
      <c r="I47" s="1674">
        <f t="shared" si="4"/>
        <v>0</v>
      </c>
      <c r="J47" s="1674">
        <f t="shared" si="4"/>
        <v>0</v>
      </c>
      <c r="K47" s="1674">
        <f t="shared" si="4"/>
        <v>847122</v>
      </c>
      <c r="L47" s="1674">
        <f>SUM(L44:L46)</f>
        <v>1008857</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c r="D49" s="1586">
        <v>7351</v>
      </c>
      <c r="E49" s="1586">
        <v>87246</v>
      </c>
      <c r="F49" s="1586">
        <v>16708</v>
      </c>
      <c r="G49" s="1586">
        <v>29999</v>
      </c>
      <c r="H49" s="1586">
        <v>90670</v>
      </c>
      <c r="I49" s="1574"/>
      <c r="J49" s="1574"/>
      <c r="K49" s="1678">
        <f>SUM(C49:J49)</f>
        <v>231974</v>
      </c>
      <c r="L49" s="1586">
        <v>294440</v>
      </c>
    </row>
    <row r="50" spans="1:14" x14ac:dyDescent="0.2">
      <c r="A50" s="1274" t="s">
        <v>813</v>
      </c>
      <c r="B50" s="503">
        <v>2320</v>
      </c>
      <c r="C50" s="1573">
        <v>86076</v>
      </c>
      <c r="D50" s="1573">
        <v>23194</v>
      </c>
      <c r="E50" s="1573"/>
      <c r="F50" s="1573"/>
      <c r="G50" s="1573"/>
      <c r="H50" s="1573">
        <v>1643</v>
      </c>
      <c r="I50" s="1574"/>
      <c r="J50" s="1574"/>
      <c r="K50" s="1678">
        <f>SUM(C50:J50)</f>
        <v>110913</v>
      </c>
      <c r="L50" s="1573">
        <v>106147</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86076</v>
      </c>
      <c r="D53" s="1674">
        <f t="shared" ref="D53:L53" si="5">SUM(D49:D52)</f>
        <v>30545</v>
      </c>
      <c r="E53" s="1674">
        <f t="shared" si="5"/>
        <v>87246</v>
      </c>
      <c r="F53" s="1674">
        <f t="shared" si="5"/>
        <v>16708</v>
      </c>
      <c r="G53" s="1674">
        <f t="shared" si="5"/>
        <v>29999</v>
      </c>
      <c r="H53" s="1674">
        <f t="shared" si="5"/>
        <v>92313</v>
      </c>
      <c r="I53" s="1674">
        <f t="shared" si="5"/>
        <v>0</v>
      </c>
      <c r="J53" s="1674">
        <f t="shared" si="5"/>
        <v>0</v>
      </c>
      <c r="K53" s="1674">
        <f t="shared" si="5"/>
        <v>342887</v>
      </c>
      <c r="L53" s="1674">
        <f t="shared" si="5"/>
        <v>400587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780386</v>
      </c>
      <c r="D55" s="1586">
        <v>254856</v>
      </c>
      <c r="E55" s="1586">
        <v>4720</v>
      </c>
      <c r="F55" s="1586">
        <v>3025</v>
      </c>
      <c r="G55" s="1586"/>
      <c r="H55" s="1586"/>
      <c r="I55" s="1574"/>
      <c r="J55" s="1574"/>
      <c r="K55" s="1678">
        <f>SUM(C55:J55)</f>
        <v>1042987</v>
      </c>
      <c r="L55" s="1586">
        <v>1070073</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780386</v>
      </c>
      <c r="D57" s="1679">
        <f t="shared" ref="D57:K57" si="6">SUM(D55:D56)</f>
        <v>254856</v>
      </c>
      <c r="E57" s="1679">
        <f t="shared" si="6"/>
        <v>4720</v>
      </c>
      <c r="F57" s="1679">
        <f t="shared" si="6"/>
        <v>3025</v>
      </c>
      <c r="G57" s="1679">
        <f t="shared" si="6"/>
        <v>0</v>
      </c>
      <c r="H57" s="1679">
        <f t="shared" si="6"/>
        <v>0</v>
      </c>
      <c r="I57" s="1679">
        <f t="shared" si="6"/>
        <v>0</v>
      </c>
      <c r="J57" s="1679">
        <f t="shared" si="6"/>
        <v>0</v>
      </c>
      <c r="K57" s="1679">
        <f t="shared" si="6"/>
        <v>1042987</v>
      </c>
      <c r="L57" s="1674">
        <f>SUM(L55:L56)</f>
        <v>1070073</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82647</v>
      </c>
      <c r="D59" s="1586">
        <v>22808</v>
      </c>
      <c r="E59" s="1586">
        <v>340</v>
      </c>
      <c r="F59" s="1586"/>
      <c r="G59" s="1586"/>
      <c r="H59" s="1586"/>
      <c r="I59" s="1574"/>
      <c r="J59" s="1574"/>
      <c r="K59" s="1678">
        <f t="shared" ref="K59:K64" si="7">SUM(C59:J59)</f>
        <v>105795</v>
      </c>
      <c r="L59" s="1586">
        <v>106447</v>
      </c>
      <c r="M59" s="501"/>
      <c r="N59" s="501"/>
    </row>
    <row r="60" spans="1:14" s="321" customFormat="1" x14ac:dyDescent="0.2">
      <c r="A60" s="1274" t="s">
        <v>460</v>
      </c>
      <c r="B60" s="503">
        <v>2520</v>
      </c>
      <c r="C60" s="1573">
        <v>186409</v>
      </c>
      <c r="D60" s="1573">
        <v>55427</v>
      </c>
      <c r="E60" s="1573">
        <v>10986</v>
      </c>
      <c r="F60" s="1573">
        <v>15176</v>
      </c>
      <c r="G60" s="1573"/>
      <c r="H60" s="1573"/>
      <c r="I60" s="1574"/>
      <c r="J60" s="1574"/>
      <c r="K60" s="1678">
        <f t="shared" si="7"/>
        <v>267998</v>
      </c>
      <c r="L60" s="1573">
        <v>274334</v>
      </c>
      <c r="M60" s="501"/>
      <c r="N60" s="501"/>
    </row>
    <row r="61" spans="1:14" s="321" customFormat="1" x14ac:dyDescent="0.2">
      <c r="A61" s="1274" t="s">
        <v>195</v>
      </c>
      <c r="B61" s="503">
        <v>2540</v>
      </c>
      <c r="C61" s="1573"/>
      <c r="D61" s="1573"/>
      <c r="E61" s="1573">
        <v>10570</v>
      </c>
      <c r="F61" s="1573">
        <v>398139</v>
      </c>
      <c r="G61" s="1573"/>
      <c r="H61" s="1573"/>
      <c r="I61" s="1574"/>
      <c r="J61" s="1574"/>
      <c r="K61" s="1678">
        <f t="shared" si="7"/>
        <v>408709</v>
      </c>
      <c r="L61" s="1573">
        <v>389100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303773</v>
      </c>
      <c r="D63" s="1573">
        <v>41034</v>
      </c>
      <c r="E63" s="1573">
        <v>394</v>
      </c>
      <c r="F63" s="1573">
        <v>322353</v>
      </c>
      <c r="G63" s="1573">
        <v>7575</v>
      </c>
      <c r="H63" s="1573">
        <v>3903</v>
      </c>
      <c r="I63" s="1574"/>
      <c r="J63" s="1574"/>
      <c r="K63" s="1678">
        <f t="shared" si="7"/>
        <v>679032</v>
      </c>
      <c r="L63" s="1573">
        <v>723090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572829</v>
      </c>
      <c r="D65" s="1674">
        <f t="shared" ref="D65:L65" si="8">SUM(D59:D64)</f>
        <v>119269</v>
      </c>
      <c r="E65" s="1674">
        <f t="shared" si="8"/>
        <v>22290</v>
      </c>
      <c r="F65" s="1674">
        <f t="shared" si="8"/>
        <v>735668</v>
      </c>
      <c r="G65" s="1674">
        <f t="shared" si="8"/>
        <v>7575</v>
      </c>
      <c r="H65" s="1674">
        <f t="shared" si="8"/>
        <v>3903</v>
      </c>
      <c r="I65" s="1674">
        <f t="shared" si="8"/>
        <v>0</v>
      </c>
      <c r="J65" s="1674">
        <f t="shared" si="8"/>
        <v>0</v>
      </c>
      <c r="K65" s="1674">
        <f t="shared" si="8"/>
        <v>1461534</v>
      </c>
      <c r="L65" s="1674">
        <f t="shared" si="8"/>
        <v>1492971</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v>66915</v>
      </c>
      <c r="E73" s="1649"/>
      <c r="F73" s="1649"/>
      <c r="G73" s="1649"/>
      <c r="H73" s="1649"/>
      <c r="I73" s="1627"/>
      <c r="J73" s="1627">
        <v>4685</v>
      </c>
      <c r="K73" s="1674">
        <f>SUM(C73:J73)</f>
        <v>71600</v>
      </c>
      <c r="L73" s="1651">
        <v>105250</v>
      </c>
      <c r="M73" s="501"/>
      <c r="N73" s="501"/>
    </row>
    <row r="74" spans="1:14" ht="12.75" customHeight="1" thickTop="1" thickBot="1" x14ac:dyDescent="0.25">
      <c r="A74" s="1380" t="s">
        <v>806</v>
      </c>
      <c r="B74" s="1384">
        <v>2000</v>
      </c>
      <c r="C74" s="1681">
        <f>SUM(C42,C47,C53,C57,C65,C72,C73)</f>
        <v>2020874</v>
      </c>
      <c r="D74" s="1681">
        <f t="shared" ref="D74:K74" si="10">SUM(D42,D47,D53,D57,D65,D72,D73)</f>
        <v>685478</v>
      </c>
      <c r="E74" s="1681">
        <f t="shared" si="10"/>
        <v>193331</v>
      </c>
      <c r="F74" s="1681">
        <f t="shared" si="10"/>
        <v>902719</v>
      </c>
      <c r="G74" s="1681">
        <f t="shared" si="10"/>
        <v>129420</v>
      </c>
      <c r="H74" s="1681">
        <f t="shared" si="10"/>
        <v>104338</v>
      </c>
      <c r="I74" s="1681">
        <f t="shared" si="10"/>
        <v>0</v>
      </c>
      <c r="J74" s="1681">
        <f t="shared" si="10"/>
        <v>4685</v>
      </c>
      <c r="K74" s="1681">
        <f t="shared" si="10"/>
        <v>4040845</v>
      </c>
      <c r="L74" s="1681">
        <f>SUM(L42,L47,L53,L57,L65,L72,L73)</f>
        <v>4361108</v>
      </c>
    </row>
    <row r="75" spans="1:14" s="254" customFormat="1" ht="15.75" customHeight="1" thickTop="1" thickBot="1" x14ac:dyDescent="0.25">
      <c r="A75" s="1348" t="s">
        <v>47</v>
      </c>
      <c r="B75" s="1349" t="s">
        <v>571</v>
      </c>
      <c r="C75" s="1649">
        <v>10036</v>
      </c>
      <c r="D75" s="1649">
        <v>1909</v>
      </c>
      <c r="E75" s="1649">
        <v>505</v>
      </c>
      <c r="F75" s="1649"/>
      <c r="G75" s="1649"/>
      <c r="H75" s="1649"/>
      <c r="I75" s="1627"/>
      <c r="J75" s="1627"/>
      <c r="K75" s="1674">
        <f>SUM(C75:J75)</f>
        <v>12450</v>
      </c>
      <c r="L75" s="1651">
        <v>22380</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4500</v>
      </c>
      <c r="F78" s="1673"/>
      <c r="G78" s="1673"/>
      <c r="H78" s="1682"/>
      <c r="I78" s="1582"/>
      <c r="J78" s="1582"/>
      <c r="K78" s="1672">
        <f t="shared" ref="K78:K83" si="11">SUM(C78:J78)</f>
        <v>4500</v>
      </c>
      <c r="L78" s="1586">
        <v>4500</v>
      </c>
    </row>
    <row r="79" spans="1:14" x14ac:dyDescent="0.2">
      <c r="A79" s="1274" t="s">
        <v>301</v>
      </c>
      <c r="B79" s="503">
        <v>4120</v>
      </c>
      <c r="C79" s="1673"/>
      <c r="D79" s="1673"/>
      <c r="E79" s="1573">
        <v>2577594</v>
      </c>
      <c r="F79" s="1673"/>
      <c r="G79" s="1673"/>
      <c r="H79" s="1573"/>
      <c r="I79" s="1582"/>
      <c r="J79" s="1582"/>
      <c r="K79" s="1672">
        <f t="shared" si="11"/>
        <v>2577594</v>
      </c>
      <c r="L79" s="1573">
        <v>2578000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v>13696</v>
      </c>
      <c r="F81" s="1673"/>
      <c r="G81" s="1673"/>
      <c r="H81" s="1573"/>
      <c r="I81" s="1582"/>
      <c r="J81" s="1582"/>
      <c r="K81" s="1672">
        <f t="shared" si="11"/>
        <v>13696</v>
      </c>
      <c r="L81" s="1573">
        <v>15000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2595790</v>
      </c>
      <c r="F84" s="1673"/>
      <c r="G84" s="1673"/>
      <c r="H84" s="1674">
        <f>SUM(H78:H83)</f>
        <v>0</v>
      </c>
      <c r="I84" s="1582"/>
      <c r="J84" s="1582"/>
      <c r="K84" s="1674">
        <f>SUM(K78:K83)</f>
        <v>2595790</v>
      </c>
      <c r="L84" s="1674">
        <f>SUM(L78:L83)</f>
        <v>2597500</v>
      </c>
    </row>
    <row r="85" spans="1:12" ht="12.75" customHeight="1" thickTop="1" thickBot="1" x14ac:dyDescent="0.25">
      <c r="A85" s="1281" t="s">
        <v>253</v>
      </c>
      <c r="B85" s="517">
        <v>4210</v>
      </c>
      <c r="C85" s="1673"/>
      <c r="D85" s="1673"/>
      <c r="E85" s="1683"/>
      <c r="F85" s="1673"/>
      <c r="G85" s="1673"/>
      <c r="H85" s="1630"/>
      <c r="I85" s="1582"/>
      <c r="J85" s="1582"/>
      <c r="K85" s="1681">
        <f>H85</f>
        <v>0</v>
      </c>
      <c r="L85" s="1626">
        <v>7000</v>
      </c>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v>10000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v>208265</v>
      </c>
      <c r="I88" s="1582"/>
      <c r="J88" s="1582"/>
      <c r="K88" s="1681">
        <f t="shared" si="12"/>
        <v>208265</v>
      </c>
      <c r="L88" s="1626">
        <v>208300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208265</v>
      </c>
      <c r="I92" s="1582"/>
      <c r="J92" s="1582"/>
      <c r="K92" s="1681">
        <f t="shared" si="12"/>
        <v>208265</v>
      </c>
      <c r="L92" s="1674">
        <f>SUM(L85:L91)</f>
        <v>225300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2595790</v>
      </c>
      <c r="F102" s="1673"/>
      <c r="G102" s="1673"/>
      <c r="H102" s="1681">
        <f>SUM(H84,H92,H100,H101)</f>
        <v>208265</v>
      </c>
      <c r="I102" s="1582"/>
      <c r="J102" s="1582"/>
      <c r="K102" s="1681">
        <f>SUM(K84,K92,K100,K101)</f>
        <v>2804055</v>
      </c>
      <c r="L102" s="1681">
        <f>SUM(L84,L92,L100,L101)</f>
        <v>2822800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6080792</v>
      </c>
      <c r="D114" s="1674">
        <f t="shared" ref="D114:K114" si="13">SUM(D33,D74,D75,D102,D112,D113)</f>
        <v>1709612</v>
      </c>
      <c r="E114" s="1674">
        <f t="shared" si="13"/>
        <v>2836093</v>
      </c>
      <c r="F114" s="1674">
        <f t="shared" si="13"/>
        <v>1292097</v>
      </c>
      <c r="G114" s="1674">
        <f t="shared" si="13"/>
        <v>131490</v>
      </c>
      <c r="H114" s="1674">
        <f>SUM(H33,H74,H75,H102,H112,H113)</f>
        <v>757237</v>
      </c>
      <c r="I114" s="1674">
        <f t="shared" si="13"/>
        <v>0</v>
      </c>
      <c r="J114" s="1674">
        <f t="shared" si="13"/>
        <v>4685</v>
      </c>
      <c r="K114" s="1674">
        <f t="shared" si="13"/>
        <v>12812006</v>
      </c>
      <c r="L114" s="1674">
        <f>SUM(L33,L74,L75,L102,L112,L113)</f>
        <v>13609970</v>
      </c>
    </row>
    <row r="115" spans="1:14" ht="13.5" thickTop="1" x14ac:dyDescent="0.2">
      <c r="A115" s="2261" t="s">
        <v>989</v>
      </c>
      <c r="B115" s="2262"/>
      <c r="C115" s="1675"/>
      <c r="D115" s="1675"/>
      <c r="E115" s="1675"/>
      <c r="F115" s="1675"/>
      <c r="G115" s="1675"/>
      <c r="H115" s="1675"/>
      <c r="I115" s="1675"/>
      <c r="J115" s="1675"/>
      <c r="K115" s="1689">
        <f>'Revenues 9-14'!C268-'Expenditures 15-22'!K114</f>
        <v>-160645</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v>67784</v>
      </c>
      <c r="F123" s="1573"/>
      <c r="G123" s="1573"/>
      <c r="H123" s="1573"/>
      <c r="I123" s="1574"/>
      <c r="J123" s="1574"/>
      <c r="K123" s="1674">
        <f>SUM(C123:J123)</f>
        <v>67784</v>
      </c>
      <c r="L123" s="1573">
        <v>55000</v>
      </c>
    </row>
    <row r="124" spans="1:14" ht="14.25" thickTop="1" thickBot="1" x14ac:dyDescent="0.25">
      <c r="A124" s="1274" t="s">
        <v>195</v>
      </c>
      <c r="B124" s="503">
        <v>2540</v>
      </c>
      <c r="C124" s="1573">
        <v>706629</v>
      </c>
      <c r="D124" s="1573">
        <v>165870</v>
      </c>
      <c r="E124" s="1573">
        <v>491052</v>
      </c>
      <c r="F124" s="1573">
        <v>239438</v>
      </c>
      <c r="G124" s="1573">
        <v>309887</v>
      </c>
      <c r="H124" s="1573"/>
      <c r="I124" s="1574"/>
      <c r="J124" s="1574"/>
      <c r="K124" s="1674">
        <f>SUM(C124:J124)</f>
        <v>1912876</v>
      </c>
      <c r="L124" s="1573">
        <v>2008650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706629</v>
      </c>
      <c r="D127" s="1674">
        <f t="shared" ref="D127:L127" si="14">SUM(D122:D126)</f>
        <v>165870</v>
      </c>
      <c r="E127" s="1674">
        <f t="shared" si="14"/>
        <v>558836</v>
      </c>
      <c r="F127" s="1674">
        <f t="shared" si="14"/>
        <v>239438</v>
      </c>
      <c r="G127" s="1674">
        <f t="shared" si="14"/>
        <v>309887</v>
      </c>
      <c r="H127" s="1674">
        <f t="shared" si="14"/>
        <v>0</v>
      </c>
      <c r="I127" s="1674">
        <f t="shared" si="14"/>
        <v>0</v>
      </c>
      <c r="J127" s="1674">
        <f t="shared" si="14"/>
        <v>0</v>
      </c>
      <c r="K127" s="1674">
        <f t="shared" si="14"/>
        <v>1980660</v>
      </c>
      <c r="L127" s="1674">
        <f t="shared" si="14"/>
        <v>2063650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706629</v>
      </c>
      <c r="D129" s="1681">
        <f t="shared" ref="D129:L129" si="15">SUM(D120,D127,D128)</f>
        <v>165870</v>
      </c>
      <c r="E129" s="1681">
        <f t="shared" si="15"/>
        <v>558836</v>
      </c>
      <c r="F129" s="1681">
        <f t="shared" si="15"/>
        <v>239438</v>
      </c>
      <c r="G129" s="1681">
        <f t="shared" si="15"/>
        <v>309887</v>
      </c>
      <c r="H129" s="1681">
        <f t="shared" si="15"/>
        <v>0</v>
      </c>
      <c r="I129" s="1681">
        <f t="shared" si="15"/>
        <v>0</v>
      </c>
      <c r="J129" s="1681">
        <f t="shared" si="15"/>
        <v>0</v>
      </c>
      <c r="K129" s="1681">
        <f t="shared" si="15"/>
        <v>1980660</v>
      </c>
      <c r="L129" s="1681">
        <f t="shared" si="15"/>
        <v>2063650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58"/>
      <c r="C151" s="1674">
        <f>SUM(C129,C130,C139,C149,C150)</f>
        <v>706629</v>
      </c>
      <c r="D151" s="1674">
        <f t="shared" ref="D151:K151" si="16">SUM(D129,D130,D139,D149,D150)</f>
        <v>165870</v>
      </c>
      <c r="E151" s="1674">
        <f t="shared" si="16"/>
        <v>558836</v>
      </c>
      <c r="F151" s="1674">
        <f t="shared" si="16"/>
        <v>239438</v>
      </c>
      <c r="G151" s="1674">
        <f t="shared" si="16"/>
        <v>309887</v>
      </c>
      <c r="H151" s="1674">
        <f t="shared" si="16"/>
        <v>0</v>
      </c>
      <c r="I151" s="1674">
        <f t="shared" si="16"/>
        <v>0</v>
      </c>
      <c r="J151" s="1674">
        <f t="shared" si="16"/>
        <v>0</v>
      </c>
      <c r="K151" s="1674">
        <f t="shared" si="16"/>
        <v>1980660</v>
      </c>
      <c r="L151" s="1674">
        <f>SUM(L129,L130,L139,L149,L150)</f>
        <v>2063650</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-63713</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1374444</v>
      </c>
      <c r="I169" s="1673"/>
      <c r="J169" s="1673"/>
      <c r="K169" s="1672">
        <f>SUM(C169:H169)</f>
        <v>1374444</v>
      </c>
      <c r="L169" s="1695">
        <v>1377947</v>
      </c>
    </row>
    <row r="170" spans="1:14" ht="33.75" customHeight="1" x14ac:dyDescent="0.2">
      <c r="A170" s="543" t="s">
        <v>1651</v>
      </c>
      <c r="B170" s="545" t="s">
        <v>31</v>
      </c>
      <c r="C170" s="1673"/>
      <c r="D170" s="1673"/>
      <c r="E170" s="1673"/>
      <c r="F170" s="1673"/>
      <c r="G170" s="1673"/>
      <c r="H170" s="1646">
        <v>1068098</v>
      </c>
      <c r="I170" s="1673"/>
      <c r="J170" s="1673"/>
      <c r="K170" s="1672">
        <f>SUM(C170:J170)</f>
        <v>1068098</v>
      </c>
      <c r="L170" s="1646">
        <v>1068098</v>
      </c>
    </row>
    <row r="171" spans="1:14" ht="15.75" customHeight="1" x14ac:dyDescent="0.2">
      <c r="A171" s="507" t="s">
        <v>761</v>
      </c>
      <c r="B171" s="546" t="s">
        <v>84</v>
      </c>
      <c r="C171" s="1673"/>
      <c r="D171" s="1673"/>
      <c r="E171" s="1573"/>
      <c r="F171" s="1673"/>
      <c r="G171" s="1673"/>
      <c r="H171" s="1646">
        <v>3077</v>
      </c>
      <c r="I171" s="1582"/>
      <c r="J171" s="1673"/>
      <c r="K171" s="1672">
        <f>SUM(C171:J171)</f>
        <v>3077</v>
      </c>
      <c r="L171" s="1646"/>
    </row>
    <row r="172" spans="1:14" ht="12.75" customHeight="1" thickBot="1" x14ac:dyDescent="0.25">
      <c r="A172" s="1380" t="s">
        <v>633</v>
      </c>
      <c r="B172" s="1381" t="s">
        <v>489</v>
      </c>
      <c r="C172" s="1673"/>
      <c r="D172" s="1673"/>
      <c r="E172" s="1681">
        <f>SUM(E168,E169,E170,E171)</f>
        <v>0</v>
      </c>
      <c r="F172" s="1673"/>
      <c r="G172" s="1673"/>
      <c r="H172" s="1681">
        <f>SUM(H168,H169,H170,H171)</f>
        <v>2445619</v>
      </c>
      <c r="I172" s="1684"/>
      <c r="J172" s="1673"/>
      <c r="K172" s="1681">
        <f>SUM(K168,K169,K170,K171)</f>
        <v>2445619</v>
      </c>
      <c r="L172" s="1681">
        <f>SUM(L168,L169,L170,L171)</f>
        <v>2446045</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2445619</v>
      </c>
      <c r="I174" s="1684"/>
      <c r="J174" s="1673"/>
      <c r="K174" s="1681">
        <f>SUM(K160,K172,K173)</f>
        <v>2445619</v>
      </c>
      <c r="L174" s="1681">
        <f>SUM(L160,L172,L173)</f>
        <v>2446045</v>
      </c>
    </row>
    <row r="175" spans="1:14" ht="13.5" thickTop="1" x14ac:dyDescent="0.2">
      <c r="A175" s="2261" t="s">
        <v>989</v>
      </c>
      <c r="B175" s="2262"/>
      <c r="C175" s="1673"/>
      <c r="D175" s="1673"/>
      <c r="E175" s="1673"/>
      <c r="F175" s="1673"/>
      <c r="G175" s="1673"/>
      <c r="H175" s="1675"/>
      <c r="I175" s="1673"/>
      <c r="J175" s="1673"/>
      <c r="K175" s="1689">
        <f>'Revenues 9-14'!E268-'Expenditures 15-22'!K174</f>
        <v>-47803</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1456950</v>
      </c>
      <c r="F182" s="1573">
        <v>73743</v>
      </c>
      <c r="G182" s="1573"/>
      <c r="H182" s="1573"/>
      <c r="I182" s="1574"/>
      <c r="J182" s="1574"/>
      <c r="K182" s="1672">
        <f>SUM(C182:J182)</f>
        <v>1530693</v>
      </c>
      <c r="L182" s="1573">
        <v>1531000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1456950</v>
      </c>
      <c r="F184" s="1681">
        <f t="shared" si="17"/>
        <v>73743</v>
      </c>
      <c r="G184" s="1681">
        <f t="shared" si="17"/>
        <v>0</v>
      </c>
      <c r="H184" s="1681">
        <f t="shared" si="17"/>
        <v>0</v>
      </c>
      <c r="I184" s="1681">
        <f t="shared" si="17"/>
        <v>0</v>
      </c>
      <c r="J184" s="1681">
        <f t="shared" si="17"/>
        <v>0</v>
      </c>
      <c r="K184" s="1681">
        <f>SUM(K180,K182,K183)</f>
        <v>1530693</v>
      </c>
      <c r="L184" s="1681">
        <f>SUM(L180, L182:L183)</f>
        <v>1531000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1456950</v>
      </c>
      <c r="F210" s="1674">
        <f>SUM(F184,F185)</f>
        <v>73743</v>
      </c>
      <c r="G210" s="1674">
        <f>SUM(G184,G185)</f>
        <v>0</v>
      </c>
      <c r="H210" s="1674">
        <f>SUM(H184,H185,H196,H208,H209)</f>
        <v>0</v>
      </c>
      <c r="I210" s="1674">
        <f>SUM(I184,I185)</f>
        <v>0</v>
      </c>
      <c r="J210" s="1674">
        <f>SUM(J184,J185)</f>
        <v>0</v>
      </c>
      <c r="K210" s="1672">
        <f>SUM(K184,K185,K196,K208,K209)</f>
        <v>1530693</v>
      </c>
      <c r="L210" s="1674">
        <f>SUM(L184,L185,L196,L208,L209)</f>
        <v>1531000</v>
      </c>
    </row>
    <row r="211" spans="1:14" ht="13.5" thickTop="1" x14ac:dyDescent="0.2">
      <c r="A211" s="2261" t="s">
        <v>989</v>
      </c>
      <c r="B211" s="2262"/>
      <c r="C211" s="1675"/>
      <c r="D211" s="1675"/>
      <c r="E211" s="1675"/>
      <c r="F211" s="1675"/>
      <c r="G211" s="1675"/>
      <c r="H211" s="1675"/>
      <c r="I211" s="1673"/>
      <c r="J211" s="1673"/>
      <c r="K211" s="1689">
        <f>'Revenues 9-14'!F268-'Expenditures 15-22'!K210</f>
        <v>-313849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33247</v>
      </c>
      <c r="E215" s="1673"/>
      <c r="F215" s="1673"/>
      <c r="G215" s="1673"/>
      <c r="H215" s="1673"/>
      <c r="I215" s="1673"/>
      <c r="J215" s="1673"/>
      <c r="K215" s="1672">
        <f>D215</f>
        <v>33247</v>
      </c>
      <c r="L215" s="1573">
        <v>64600</v>
      </c>
    </row>
    <row r="216" spans="1:14" x14ac:dyDescent="0.2">
      <c r="A216" s="1274" t="s">
        <v>162</v>
      </c>
      <c r="B216" s="503" t="s">
        <v>961</v>
      </c>
      <c r="C216" s="1673"/>
      <c r="D216" s="1574">
        <v>19018</v>
      </c>
      <c r="E216" s="1673"/>
      <c r="F216" s="1673"/>
      <c r="G216" s="1673"/>
      <c r="H216" s="1673"/>
      <c r="I216" s="1673"/>
      <c r="J216" s="1673"/>
      <c r="K216" s="1672">
        <f t="shared" ref="K216:K228" si="19">D216</f>
        <v>19018</v>
      </c>
      <c r="L216" s="1573"/>
    </row>
    <row r="217" spans="1:14" x14ac:dyDescent="0.2">
      <c r="A217" s="1274" t="s">
        <v>163</v>
      </c>
      <c r="B217" s="503">
        <v>1200</v>
      </c>
      <c r="C217" s="1673"/>
      <c r="D217" s="1573">
        <v>290</v>
      </c>
      <c r="E217" s="1673"/>
      <c r="F217" s="1673"/>
      <c r="G217" s="1673"/>
      <c r="H217" s="1673"/>
      <c r="I217" s="1673"/>
      <c r="J217" s="1673"/>
      <c r="K217" s="1672">
        <f t="shared" si="19"/>
        <v>290</v>
      </c>
      <c r="L217" s="1573">
        <v>850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629</v>
      </c>
      <c r="E222" s="1673"/>
      <c r="F222" s="1673"/>
      <c r="G222" s="1673"/>
      <c r="H222" s="1673"/>
      <c r="I222" s="1673"/>
      <c r="J222" s="1673"/>
      <c r="K222" s="1672">
        <f t="shared" si="19"/>
        <v>629</v>
      </c>
      <c r="L222" s="1573">
        <v>700</v>
      </c>
    </row>
    <row r="223" spans="1:14" x14ac:dyDescent="0.2">
      <c r="A223" s="1274" t="s">
        <v>957</v>
      </c>
      <c r="B223" s="503">
        <v>1500</v>
      </c>
      <c r="C223" s="1673"/>
      <c r="D223" s="1573">
        <v>8595</v>
      </c>
      <c r="E223" s="1673"/>
      <c r="F223" s="1673"/>
      <c r="G223" s="1673"/>
      <c r="H223" s="1673"/>
      <c r="I223" s="1673"/>
      <c r="J223" s="1673"/>
      <c r="K223" s="1672">
        <f t="shared" si="19"/>
        <v>8595</v>
      </c>
      <c r="L223" s="1573">
        <v>8700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61779</v>
      </c>
      <c r="E229" s="1673"/>
      <c r="F229" s="1673"/>
      <c r="G229" s="1673"/>
      <c r="H229" s="1673"/>
      <c r="I229" s="1673"/>
      <c r="J229" s="1673"/>
      <c r="K229" s="1674">
        <f>SUM(K215:K228)</f>
        <v>61779</v>
      </c>
      <c r="L229" s="1674">
        <f>SUM(L215:L228)</f>
        <v>74850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6998</v>
      </c>
      <c r="E233" s="1673"/>
      <c r="F233" s="1673"/>
      <c r="G233" s="1673"/>
      <c r="H233" s="1673"/>
      <c r="I233" s="1673"/>
      <c r="J233" s="1673"/>
      <c r="K233" s="1672">
        <f t="shared" si="20"/>
        <v>6998</v>
      </c>
      <c r="L233" s="1573">
        <v>7100</v>
      </c>
    </row>
    <row r="234" spans="1:12" x14ac:dyDescent="0.2">
      <c r="A234" s="1274" t="s">
        <v>196</v>
      </c>
      <c r="B234" s="503">
        <v>2130</v>
      </c>
      <c r="C234" s="1673"/>
      <c r="D234" s="1573">
        <v>15995</v>
      </c>
      <c r="E234" s="1673"/>
      <c r="F234" s="1673"/>
      <c r="G234" s="1673"/>
      <c r="H234" s="1673"/>
      <c r="I234" s="1673"/>
      <c r="J234" s="1673"/>
      <c r="K234" s="1672">
        <f t="shared" si="20"/>
        <v>15995</v>
      </c>
      <c r="L234" s="1573">
        <v>14950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194</v>
      </c>
      <c r="E237" s="1673"/>
      <c r="F237" s="1673"/>
      <c r="G237" s="1673"/>
      <c r="H237" s="1673"/>
      <c r="I237" s="1673"/>
      <c r="J237" s="1673"/>
      <c r="K237" s="1672">
        <f t="shared" si="20"/>
        <v>194</v>
      </c>
      <c r="L237" s="1573">
        <v>310</v>
      </c>
    </row>
    <row r="238" spans="1:12" ht="12.75" customHeight="1" thickBot="1" x14ac:dyDescent="0.25">
      <c r="A238" s="1380" t="s">
        <v>556</v>
      </c>
      <c r="B238" s="1383" t="s">
        <v>711</v>
      </c>
      <c r="C238" s="1673"/>
      <c r="D238" s="1674">
        <f>SUM(D232:D237)</f>
        <v>23187</v>
      </c>
      <c r="E238" s="1673"/>
      <c r="F238" s="1673"/>
      <c r="G238" s="1673"/>
      <c r="H238" s="1673"/>
      <c r="I238" s="1673"/>
      <c r="J238" s="1673"/>
      <c r="K238" s="1674">
        <f>SUM(K232:K237)</f>
        <v>23187</v>
      </c>
      <c r="L238" s="1674">
        <f>SUM(L232:L237)</f>
        <v>22360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2195</v>
      </c>
      <c r="E240" s="1673"/>
      <c r="F240" s="1673"/>
      <c r="G240" s="1673"/>
      <c r="H240" s="1673"/>
      <c r="I240" s="1673"/>
      <c r="J240" s="1673"/>
      <c r="K240" s="1678">
        <f>D240</f>
        <v>2195</v>
      </c>
      <c r="L240" s="1586">
        <v>2500</v>
      </c>
    </row>
    <row r="241" spans="1:12" x14ac:dyDescent="0.2">
      <c r="A241" s="1274" t="s">
        <v>810</v>
      </c>
      <c r="B241" s="503">
        <v>2220</v>
      </c>
      <c r="C241" s="1673"/>
      <c r="D241" s="1573">
        <v>38304</v>
      </c>
      <c r="E241" s="1673"/>
      <c r="F241" s="1673"/>
      <c r="G241" s="1673"/>
      <c r="H241" s="1673"/>
      <c r="I241" s="1673"/>
      <c r="J241" s="1673"/>
      <c r="K241" s="1678">
        <f>D241</f>
        <v>38304</v>
      </c>
      <c r="L241" s="1573">
        <v>47400</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40499</v>
      </c>
      <c r="E243" s="1673"/>
      <c r="F243" s="1673"/>
      <c r="G243" s="1673"/>
      <c r="H243" s="1673"/>
      <c r="I243" s="1673"/>
      <c r="J243" s="1673"/>
      <c r="K243" s="1674">
        <f>SUM(K240:K242)</f>
        <v>40499</v>
      </c>
      <c r="L243" s="1674">
        <f>SUM(L240:L242)</f>
        <v>49900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c r="E245" s="1673"/>
      <c r="F245" s="1673"/>
      <c r="G245" s="1673"/>
      <c r="H245" s="1673"/>
      <c r="I245" s="1673"/>
      <c r="J245" s="1673"/>
      <c r="K245" s="1678">
        <f>D245</f>
        <v>0</v>
      </c>
      <c r="L245" s="1586"/>
    </row>
    <row r="246" spans="1:12" x14ac:dyDescent="0.2">
      <c r="A246" s="1274" t="s">
        <v>813</v>
      </c>
      <c r="B246" s="503">
        <v>2320</v>
      </c>
      <c r="C246" s="1673"/>
      <c r="D246" s="1573">
        <v>1385</v>
      </c>
      <c r="E246" s="1673"/>
      <c r="F246" s="1673"/>
      <c r="G246" s="1673"/>
      <c r="H246" s="1673"/>
      <c r="I246" s="1673"/>
      <c r="J246" s="1673"/>
      <c r="K246" s="1678">
        <f t="shared" ref="K246:K256" si="21">D246</f>
        <v>1385</v>
      </c>
      <c r="L246" s="1573">
        <v>1500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1385</v>
      </c>
      <c r="E257" s="1673"/>
      <c r="F257" s="1673"/>
      <c r="G257" s="1673"/>
      <c r="H257" s="1673"/>
      <c r="I257" s="1673"/>
      <c r="J257" s="1673"/>
      <c r="K257" s="1674">
        <f>SUM(K245:K256)</f>
        <v>1385</v>
      </c>
      <c r="L257" s="1674">
        <f>SUM(L245:L256)</f>
        <v>1500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57417</v>
      </c>
      <c r="E259" s="1673"/>
      <c r="F259" s="1673"/>
      <c r="G259" s="1673"/>
      <c r="H259" s="1673"/>
      <c r="I259" s="1673"/>
      <c r="J259" s="1673"/>
      <c r="K259" s="1678">
        <f>D259</f>
        <v>57417</v>
      </c>
      <c r="L259" s="1586">
        <v>58100</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57417</v>
      </c>
      <c r="E261" s="1673"/>
      <c r="F261" s="1673"/>
      <c r="G261" s="1673"/>
      <c r="H261" s="1673"/>
      <c r="I261" s="1673"/>
      <c r="J261" s="1673"/>
      <c r="K261" s="1674">
        <f>SUM(K259:K260)</f>
        <v>57417</v>
      </c>
      <c r="L261" s="1674">
        <f>SUM(L259:L260)</f>
        <v>58100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1317</v>
      </c>
      <c r="E263" s="1673"/>
      <c r="F263" s="1673"/>
      <c r="G263" s="1673"/>
      <c r="H263" s="1673"/>
      <c r="I263" s="1673"/>
      <c r="J263" s="1673"/>
      <c r="K263" s="1678">
        <f>D263</f>
        <v>1317</v>
      </c>
      <c r="L263" s="1586">
        <v>1600</v>
      </c>
    </row>
    <row r="264" spans="1:14" x14ac:dyDescent="0.2">
      <c r="A264" s="1274" t="s">
        <v>460</v>
      </c>
      <c r="B264" s="559">
        <v>2520</v>
      </c>
      <c r="C264" s="1673"/>
      <c r="D264" s="1573">
        <v>41957</v>
      </c>
      <c r="E264" s="1673"/>
      <c r="F264" s="1673"/>
      <c r="G264" s="1673"/>
      <c r="H264" s="1673"/>
      <c r="I264" s="1673"/>
      <c r="J264" s="1673"/>
      <c r="K264" s="1678">
        <f t="shared" ref="K264:K269" si="22">D264</f>
        <v>41957</v>
      </c>
      <c r="L264" s="1573">
        <v>40550</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152002</v>
      </c>
      <c r="E266" s="1673"/>
      <c r="F266" s="1673"/>
      <c r="G266" s="1673"/>
      <c r="H266" s="1673"/>
      <c r="I266" s="1673"/>
      <c r="J266" s="1673"/>
      <c r="K266" s="1678">
        <f t="shared" si="22"/>
        <v>152002</v>
      </c>
      <c r="L266" s="1573">
        <v>161000</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58408</v>
      </c>
      <c r="E268" s="1673"/>
      <c r="F268" s="1673"/>
      <c r="G268" s="1673"/>
      <c r="H268" s="1673"/>
      <c r="I268" s="1673"/>
      <c r="J268" s="1673"/>
      <c r="K268" s="1678">
        <f t="shared" si="22"/>
        <v>58408</v>
      </c>
      <c r="L268" s="1573">
        <v>57000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253684</v>
      </c>
      <c r="E270" s="1673"/>
      <c r="F270" s="1673"/>
      <c r="G270" s="1673"/>
      <c r="H270" s="1673"/>
      <c r="I270" s="1673"/>
      <c r="J270" s="1673"/>
      <c r="K270" s="1674">
        <f>SUM(K263:K269)</f>
        <v>253684</v>
      </c>
      <c r="L270" s="1674">
        <f>SUM(L263:L269)</f>
        <v>260150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v>358</v>
      </c>
      <c r="E278" s="1673"/>
      <c r="F278" s="1673"/>
      <c r="G278" s="1673"/>
      <c r="H278" s="1673"/>
      <c r="I278" s="1673"/>
      <c r="J278" s="1673"/>
      <c r="K278" s="1696">
        <f>D278</f>
        <v>358</v>
      </c>
      <c r="L278" s="1695">
        <v>660</v>
      </c>
    </row>
    <row r="279" spans="1:12" ht="12.75" customHeight="1" thickBot="1" x14ac:dyDescent="0.25">
      <c r="A279" s="1400" t="s">
        <v>806</v>
      </c>
      <c r="B279" s="1387">
        <v>2000</v>
      </c>
      <c r="C279" s="1673"/>
      <c r="D279" s="1681">
        <f>SUM(D238,D243,D257,D261,D270,D277,D278)</f>
        <v>376530</v>
      </c>
      <c r="E279" s="1673"/>
      <c r="F279" s="1673"/>
      <c r="G279" s="1673"/>
      <c r="H279" s="1673"/>
      <c r="I279" s="1673"/>
      <c r="J279" s="1673"/>
      <c r="K279" s="1681">
        <f>SUM(K238,K243,K257,K261,K270,K277,K278)</f>
        <v>376530</v>
      </c>
      <c r="L279" s="1681">
        <f>SUM(L238,L243,L257,L261,L270,L277,L278)</f>
        <v>392670</v>
      </c>
    </row>
    <row r="280" spans="1:12" ht="15.75" customHeight="1" thickTop="1" thickBot="1" x14ac:dyDescent="0.25">
      <c r="A280" s="1362" t="s">
        <v>870</v>
      </c>
      <c r="B280" s="1351">
        <v>3000</v>
      </c>
      <c r="C280" s="1673"/>
      <c r="D280" s="1651">
        <v>31</v>
      </c>
      <c r="E280" s="1673"/>
      <c r="F280" s="1673"/>
      <c r="G280" s="1673"/>
      <c r="H280" s="1673"/>
      <c r="I280" s="1673"/>
      <c r="J280" s="1673"/>
      <c r="K280" s="1687">
        <f>D280</f>
        <v>31</v>
      </c>
      <c r="L280" s="1651">
        <v>40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438340</v>
      </c>
      <c r="E295" s="1673"/>
      <c r="F295" s="1673"/>
      <c r="G295" s="1673"/>
      <c r="H295" s="1674">
        <f>H293</f>
        <v>0</v>
      </c>
      <c r="I295" s="1673"/>
      <c r="J295" s="1673"/>
      <c r="K295" s="1674">
        <f>SUM(K229,K279,K280,K285,K293,K294)</f>
        <v>438340</v>
      </c>
      <c r="L295" s="1674">
        <f>SUM(L229,L279,L280,L285,L293,L294)</f>
        <v>467560</v>
      </c>
    </row>
    <row r="296" spans="1:14" ht="13.5" thickTop="1" x14ac:dyDescent="0.2">
      <c r="A296" s="2261" t="s">
        <v>989</v>
      </c>
      <c r="B296" s="2262"/>
      <c r="C296" s="1673"/>
      <c r="D296" s="1675"/>
      <c r="E296" s="1673"/>
      <c r="F296" s="1673"/>
      <c r="G296" s="1673"/>
      <c r="H296" s="1707"/>
      <c r="I296" s="1673"/>
      <c r="J296" s="1673"/>
      <c r="K296" s="1689">
        <f>'Revenues 9-14'!G268-'Expenditures 15-22'!K295</f>
        <v>-85244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c r="F325" s="1574"/>
      <c r="G325" s="1574"/>
      <c r="H325" s="1574"/>
      <c r="I325" s="1574"/>
      <c r="J325" s="1574"/>
      <c r="K325" s="1672">
        <f t="shared" si="24"/>
        <v>0</v>
      </c>
      <c r="L325" s="1574"/>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c r="F327" s="1574"/>
      <c r="G327" s="1574"/>
      <c r="H327" s="1574"/>
      <c r="I327" s="1574"/>
      <c r="J327" s="1574"/>
      <c r="K327" s="1672">
        <f t="shared" si="24"/>
        <v>0</v>
      </c>
      <c r="L327" s="1574"/>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1" t="s">
        <v>989</v>
      </c>
      <c r="B368" s="2262"/>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C17" sqref="C1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8"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9"/>
      <c r="B3" s="1294"/>
      <c r="C3" s="1295"/>
      <c r="D3" s="1296" t="s">
        <v>254</v>
      </c>
      <c r="E3" s="1295"/>
      <c r="F3" s="1296" t="s">
        <v>255</v>
      </c>
    </row>
    <row r="4" spans="1:8" ht="13.7" customHeight="1" x14ac:dyDescent="0.2">
      <c r="A4" s="579" t="s">
        <v>1145</v>
      </c>
      <c r="B4" s="1721">
        <f>'Revenues 9-14'!C5</f>
        <v>6282733</v>
      </c>
      <c r="C4" s="1722">
        <v>3454769</v>
      </c>
      <c r="D4" s="1723">
        <f>B4-C4</f>
        <v>2827964</v>
      </c>
      <c r="E4" s="1722">
        <v>6749311</v>
      </c>
      <c r="F4" s="1723">
        <f>E4-C4</f>
        <v>3294542</v>
      </c>
    </row>
    <row r="5" spans="1:8" ht="13.7" customHeight="1" x14ac:dyDescent="0.2">
      <c r="A5" s="579" t="s">
        <v>865</v>
      </c>
      <c r="B5" s="1724">
        <f>'Revenues 9-14'!D5</f>
        <v>920927</v>
      </c>
      <c r="C5" s="1664">
        <v>488349</v>
      </c>
      <c r="D5" s="1725">
        <f t="shared" ref="D5:D18" si="0">B5-C5</f>
        <v>432578</v>
      </c>
      <c r="E5" s="1664">
        <v>954047</v>
      </c>
      <c r="F5" s="1725">
        <f>E5-C5</f>
        <v>465698</v>
      </c>
    </row>
    <row r="6" spans="1:8" ht="13.7" customHeight="1" x14ac:dyDescent="0.2">
      <c r="A6" s="579" t="s">
        <v>408</v>
      </c>
      <c r="B6" s="1724">
        <f>'Revenues 9-14'!E5</f>
        <v>2387106</v>
      </c>
      <c r="C6" s="1664">
        <v>1252281</v>
      </c>
      <c r="D6" s="1725">
        <f t="shared" si="0"/>
        <v>1134825</v>
      </c>
      <c r="E6" s="1664">
        <v>2446478</v>
      </c>
      <c r="F6" s="1725">
        <f t="shared" ref="F6:F18" si="1">E6-C6</f>
        <v>1194197</v>
      </c>
    </row>
    <row r="7" spans="1:8" ht="13.7" customHeight="1" x14ac:dyDescent="0.2">
      <c r="A7" s="579" t="s">
        <v>154</v>
      </c>
      <c r="B7" s="1724">
        <f>'Revenues 9-14'!F5</f>
        <v>363384</v>
      </c>
      <c r="C7" s="1664">
        <v>192680</v>
      </c>
      <c r="D7" s="1725">
        <f t="shared" si="0"/>
        <v>170704</v>
      </c>
      <c r="E7" s="1664">
        <v>376420</v>
      </c>
      <c r="F7" s="1725">
        <f t="shared" si="1"/>
        <v>183740</v>
      </c>
    </row>
    <row r="8" spans="1:8" ht="13.7" customHeight="1" x14ac:dyDescent="0.2">
      <c r="A8" s="579" t="s">
        <v>1169</v>
      </c>
      <c r="B8" s="1724">
        <f>'Revenues 9-14'!G5</f>
        <v>110515</v>
      </c>
      <c r="C8" s="1664">
        <v>12791</v>
      </c>
      <c r="D8" s="1725">
        <f t="shared" si="0"/>
        <v>97724</v>
      </c>
      <c r="E8" s="1664">
        <v>24995</v>
      </c>
      <c r="F8" s="1725">
        <f t="shared" si="1"/>
        <v>12204</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38056</v>
      </c>
      <c r="C10" s="1664">
        <v>20209</v>
      </c>
      <c r="D10" s="1725">
        <f t="shared" si="0"/>
        <v>17847</v>
      </c>
      <c r="E10" s="1664">
        <v>39492</v>
      </c>
      <c r="F10" s="1725">
        <f t="shared" si="1"/>
        <v>19283</v>
      </c>
    </row>
    <row r="11" spans="1:8" x14ac:dyDescent="0.2">
      <c r="A11" s="579" t="s">
        <v>406</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930</v>
      </c>
      <c r="B13" s="1724">
        <f>SUM('Revenues 9-14'!C6:D6)</f>
        <v>0</v>
      </c>
      <c r="C13" s="1664"/>
      <c r="D13" s="1725">
        <f t="shared" si="0"/>
        <v>0</v>
      </c>
      <c r="E13" s="1664"/>
      <c r="F13" s="1725">
        <f t="shared" si="1"/>
        <v>0</v>
      </c>
    </row>
    <row r="14" spans="1:8" ht="13.7" customHeight="1" x14ac:dyDescent="0.2">
      <c r="A14" s="579" t="s">
        <v>407</v>
      </c>
      <c r="B14" s="1724">
        <f>SUM('Revenues 9-14'!C7:D7,'Revenues 9-14'!F7:H7)</f>
        <v>32525</v>
      </c>
      <c r="C14" s="1664">
        <v>17273</v>
      </c>
      <c r="D14" s="1725">
        <f t="shared" si="0"/>
        <v>15252</v>
      </c>
      <c r="E14" s="1664">
        <v>33743</v>
      </c>
      <c r="F14" s="1725">
        <f t="shared" si="1"/>
        <v>16470</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151403</v>
      </c>
      <c r="C16" s="1664">
        <v>131</v>
      </c>
      <c r="D16" s="1725">
        <f t="shared" si="0"/>
        <v>151272</v>
      </c>
      <c r="E16" s="1664">
        <v>250</v>
      </c>
      <c r="F16" s="1725">
        <f t="shared" si="1"/>
        <v>119</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10286649</v>
      </c>
      <c r="C19" s="1726">
        <f>SUM(C4:C18)</f>
        <v>5438483</v>
      </c>
      <c r="D19" s="1726">
        <f>SUM(D4:D18)</f>
        <v>4848166</v>
      </c>
      <c r="E19" s="1726">
        <f>SUM(E4:E18)</f>
        <v>10624736</v>
      </c>
      <c r="F19" s="1726">
        <f>SUM(F4:F18)</f>
        <v>5186253</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3"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08"/>
      <c r="C1" s="585"/>
    </row>
    <row r="2" spans="1:7" ht="33.75" x14ac:dyDescent="0.2">
      <c r="A2" s="2315" t="s">
        <v>1776</v>
      </c>
      <c r="B2" s="231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7" t="s">
        <v>1104</v>
      </c>
      <c r="B3" s="2318"/>
      <c r="C3" s="2311"/>
      <c r="D3" s="2312"/>
      <c r="E3" s="2312"/>
      <c r="F3" s="2313"/>
    </row>
    <row r="4" spans="1:7" ht="12.75" customHeight="1" thickBot="1" x14ac:dyDescent="0.25">
      <c r="A4" s="2305" t="s">
        <v>626</v>
      </c>
      <c r="B4" s="2306"/>
      <c r="C4" s="1656"/>
      <c r="D4" s="1656"/>
      <c r="E4" s="1656"/>
      <c r="F4" s="1732">
        <f>SUM(C4+D4)-E4</f>
        <v>0</v>
      </c>
    </row>
    <row r="5" spans="1:7" ht="15.75" customHeight="1" thickTop="1" x14ac:dyDescent="0.2">
      <c r="A5" s="2309" t="s">
        <v>1101</v>
      </c>
      <c r="B5" s="2304"/>
      <c r="C5" s="2298"/>
      <c r="D5" s="2299"/>
      <c r="E5" s="2299"/>
      <c r="F5" s="2300"/>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1" t="s">
        <v>627</v>
      </c>
      <c r="B15" s="2302"/>
      <c r="C15" s="1732">
        <f>SUM(C6:C14)</f>
        <v>0</v>
      </c>
      <c r="D15" s="1732">
        <f>SUM(D6:D14)</f>
        <v>0</v>
      </c>
      <c r="E15" s="1732">
        <f>SUM(E6:E14)</f>
        <v>0</v>
      </c>
      <c r="F15" s="1732">
        <f>SUM(F6:F14)</f>
        <v>0</v>
      </c>
      <c r="G15" s="473"/>
    </row>
    <row r="16" spans="1:7" s="197" customFormat="1" ht="15.75" customHeight="1" thickTop="1" x14ac:dyDescent="0.2">
      <c r="A16" s="2314" t="s">
        <v>1102</v>
      </c>
      <c r="B16" s="2304"/>
      <c r="C16" s="2298"/>
      <c r="D16" s="2299"/>
      <c r="E16" s="2299"/>
      <c r="F16" s="2300"/>
    </row>
    <row r="17" spans="1:11" ht="12.75" customHeight="1" thickBot="1" x14ac:dyDescent="0.25">
      <c r="A17" s="2296" t="s">
        <v>64</v>
      </c>
      <c r="B17" s="2297"/>
      <c r="C17" s="1733"/>
      <c r="D17" s="1664"/>
      <c r="E17" s="1733"/>
      <c r="F17" s="1732">
        <f>SUM(C17+D17)-E17</f>
        <v>0</v>
      </c>
    </row>
    <row r="18" spans="1:11" ht="12.75" customHeight="1" thickTop="1" thickBot="1" x14ac:dyDescent="0.25">
      <c r="A18" s="2296" t="s">
        <v>6</v>
      </c>
      <c r="B18" s="2297"/>
      <c r="C18" s="1733"/>
      <c r="D18" s="1664"/>
      <c r="E18" s="1733"/>
      <c r="F18" s="1732">
        <f>SUM(C18+D18)-E18</f>
        <v>0</v>
      </c>
    </row>
    <row r="19" spans="1:11" ht="12.75" customHeight="1" thickTop="1" thickBot="1" x14ac:dyDescent="0.25">
      <c r="A19" s="2296" t="s">
        <v>385</v>
      </c>
      <c r="B19" s="2297"/>
      <c r="C19" s="1733"/>
      <c r="D19" s="1664"/>
      <c r="E19" s="1733"/>
      <c r="F19" s="1732">
        <f>SUM(C19+D19)-E19</f>
        <v>0</v>
      </c>
    </row>
    <row r="20" spans="1:11" ht="12.75" customHeight="1" thickTop="1" thickBot="1" x14ac:dyDescent="0.25">
      <c r="A20" s="2296" t="s">
        <v>445</v>
      </c>
      <c r="B20" s="2297"/>
      <c r="C20" s="1733"/>
      <c r="D20" s="1664"/>
      <c r="E20" s="1733"/>
      <c r="F20" s="1732">
        <f>SUM(C20+D20)-E20</f>
        <v>0</v>
      </c>
    </row>
    <row r="21" spans="1:11" ht="14.25" thickTop="1" thickBot="1" x14ac:dyDescent="0.25">
      <c r="A21" s="2301" t="s">
        <v>628</v>
      </c>
      <c r="B21" s="2302"/>
      <c r="C21" s="1732">
        <f>SUM(C17:C20)</f>
        <v>0</v>
      </c>
      <c r="D21" s="1732">
        <f>SUM(D17:D20)</f>
        <v>0</v>
      </c>
      <c r="E21" s="1732">
        <f>SUM(E17:E20)</f>
        <v>0</v>
      </c>
      <c r="F21" s="1732">
        <f>SUM(F17:F20)</f>
        <v>0</v>
      </c>
      <c r="G21" s="473"/>
    </row>
    <row r="22" spans="1:11" ht="15.75" customHeight="1" thickTop="1" x14ac:dyDescent="0.2">
      <c r="A22" s="2303" t="s">
        <v>1103</v>
      </c>
      <c r="B22" s="2304"/>
      <c r="C22" s="2298"/>
      <c r="D22" s="2299"/>
      <c r="E22" s="2299"/>
      <c r="F22" s="2300"/>
    </row>
    <row r="23" spans="1:11" ht="13.5" thickBot="1" x14ac:dyDescent="0.25">
      <c r="A23" s="2305" t="s">
        <v>629</v>
      </c>
      <c r="B23" s="2306"/>
      <c r="C23" s="1656"/>
      <c r="D23" s="1656"/>
      <c r="E23" s="1656"/>
      <c r="F23" s="1732">
        <f>SUM(C23+D23)-E23</f>
        <v>0</v>
      </c>
      <c r="G23" s="473"/>
    </row>
    <row r="24" spans="1:11" ht="15.75" customHeight="1" thickTop="1" x14ac:dyDescent="0.2">
      <c r="A24" s="2303" t="s">
        <v>2003</v>
      </c>
      <c r="B24" s="2304"/>
      <c r="C24" s="2298"/>
      <c r="D24" s="2299"/>
      <c r="E24" s="2299"/>
      <c r="F24" s="2300"/>
    </row>
    <row r="25" spans="1:11" ht="13.5" thickBot="1" x14ac:dyDescent="0.25">
      <c r="A25" s="2305" t="s">
        <v>2004</v>
      </c>
      <c r="B25" s="2306"/>
      <c r="C25" s="1656"/>
      <c r="D25" s="1656"/>
      <c r="E25" s="1656"/>
      <c r="F25" s="1732">
        <f>SUM(C25+D25)-E25</f>
        <v>0</v>
      </c>
      <c r="G25" s="473"/>
    </row>
    <row r="26" spans="1:11" ht="15.75" customHeight="1" thickTop="1" x14ac:dyDescent="0.2">
      <c r="A26" s="2309" t="s">
        <v>652</v>
      </c>
      <c r="B26" s="2304"/>
      <c r="C26" s="589"/>
      <c r="D26" s="589"/>
      <c r="E26" s="589"/>
      <c r="F26" s="590"/>
    </row>
    <row r="27" spans="1:11" ht="13.5" thickBot="1" x14ac:dyDescent="0.25">
      <c r="A27" s="2301" t="s">
        <v>1061</v>
      </c>
      <c r="B27" s="2302"/>
      <c r="C27" s="1664"/>
      <c r="D27" s="1664"/>
      <c r="E27" s="1664"/>
      <c r="F27" s="1732">
        <f>SUM(C27+D27)-E27</f>
        <v>0</v>
      </c>
      <c r="G27" s="473"/>
    </row>
    <row r="28" spans="1:11" ht="7.5" customHeight="1" thickTop="1" x14ac:dyDescent="0.2">
      <c r="A28" s="489"/>
    </row>
    <row r="29" spans="1:11" ht="23.25" customHeight="1" x14ac:dyDescent="0.2">
      <c r="A29" s="2307" t="s">
        <v>578</v>
      </c>
      <c r="B29" s="230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37683</v>
      </c>
      <c r="C31" s="1734">
        <v>1375000</v>
      </c>
      <c r="D31" s="1735">
        <v>1</v>
      </c>
      <c r="E31" s="1734">
        <v>209096</v>
      </c>
      <c r="F31" s="1734"/>
      <c r="G31" s="1734"/>
      <c r="H31" s="1734">
        <v>78098</v>
      </c>
      <c r="I31" s="1736">
        <f>((E31+F31)-H31)+G31</f>
        <v>130998</v>
      </c>
      <c r="J31" s="1734">
        <v>130998</v>
      </c>
      <c r="K31" s="596"/>
    </row>
    <row r="32" spans="1:11" ht="12" customHeight="1" x14ac:dyDescent="0.2">
      <c r="A32" s="594" t="s">
        <v>2067</v>
      </c>
      <c r="B32" s="595">
        <v>40444</v>
      </c>
      <c r="C32" s="1734">
        <v>1000000</v>
      </c>
      <c r="D32" s="1735">
        <v>6</v>
      </c>
      <c r="E32" s="1734">
        <v>1000000</v>
      </c>
      <c r="F32" s="1734"/>
      <c r="G32" s="1734"/>
      <c r="H32" s="1734"/>
      <c r="I32" s="1736">
        <f>((E32+F32)-H32)+G32</f>
        <v>1000000</v>
      </c>
      <c r="J32" s="1734">
        <v>1000000</v>
      </c>
      <c r="K32" s="596"/>
    </row>
    <row r="33" spans="1:11" ht="12" customHeight="1" x14ac:dyDescent="0.2">
      <c r="A33" s="594" t="s">
        <v>2068</v>
      </c>
      <c r="B33" s="595">
        <v>40597</v>
      </c>
      <c r="C33" s="1734">
        <v>415000</v>
      </c>
      <c r="D33" s="1735">
        <v>6</v>
      </c>
      <c r="E33" s="1734">
        <v>415000</v>
      </c>
      <c r="F33" s="1734"/>
      <c r="G33" s="1734"/>
      <c r="H33" s="1734"/>
      <c r="I33" s="1736">
        <f t="shared" ref="I33:I48" si="1">((E33+F33)-H33)+G33</f>
        <v>415000</v>
      </c>
      <c r="J33" s="1734">
        <v>415000</v>
      </c>
      <c r="K33" s="596"/>
    </row>
    <row r="34" spans="1:11" ht="12" customHeight="1" x14ac:dyDescent="0.2">
      <c r="A34" s="594" t="s">
        <v>2069</v>
      </c>
      <c r="B34" s="595">
        <v>40960</v>
      </c>
      <c r="C34" s="1734">
        <v>8100000</v>
      </c>
      <c r="D34" s="1735">
        <v>3</v>
      </c>
      <c r="E34" s="1734">
        <v>7460000</v>
      </c>
      <c r="F34" s="1734"/>
      <c r="G34" s="1734"/>
      <c r="H34" s="1734">
        <v>340000</v>
      </c>
      <c r="I34" s="1736">
        <f t="shared" si="1"/>
        <v>7120000</v>
      </c>
      <c r="J34" s="1734">
        <v>7120000</v>
      </c>
      <c r="K34" s="597"/>
    </row>
    <row r="35" spans="1:11" ht="12" customHeight="1" x14ac:dyDescent="0.2">
      <c r="A35" s="594" t="s">
        <v>2070</v>
      </c>
      <c r="B35" s="595">
        <v>42018</v>
      </c>
      <c r="C35" s="1737">
        <v>4910000</v>
      </c>
      <c r="D35" s="1735">
        <v>3</v>
      </c>
      <c r="E35" s="1737">
        <v>4910000</v>
      </c>
      <c r="F35" s="1737"/>
      <c r="G35" s="1737"/>
      <c r="H35" s="1737"/>
      <c r="I35" s="1736">
        <f t="shared" si="1"/>
        <v>4910000</v>
      </c>
      <c r="J35" s="1737">
        <v>4910000</v>
      </c>
      <c r="K35" s="597"/>
    </row>
    <row r="36" spans="1:11" ht="12" customHeight="1" x14ac:dyDescent="0.2">
      <c r="A36" s="594" t="s">
        <v>2071</v>
      </c>
      <c r="B36" s="595">
        <v>42948</v>
      </c>
      <c r="C36" s="1734">
        <v>6895000</v>
      </c>
      <c r="D36" s="1735">
        <v>3</v>
      </c>
      <c r="E36" s="1734">
        <v>6715000</v>
      </c>
      <c r="F36" s="1734"/>
      <c r="G36" s="1734"/>
      <c r="H36" s="1734"/>
      <c r="I36" s="1736">
        <f t="shared" si="1"/>
        <v>6715000</v>
      </c>
      <c r="J36" s="1734">
        <v>6715000</v>
      </c>
      <c r="K36" s="598"/>
    </row>
    <row r="37" spans="1:11" ht="12" customHeight="1" x14ac:dyDescent="0.2">
      <c r="A37" s="594" t="s">
        <v>2072</v>
      </c>
      <c r="B37" s="595">
        <v>43313</v>
      </c>
      <c r="C37" s="1574">
        <v>7465000</v>
      </c>
      <c r="D37" s="1738">
        <v>3</v>
      </c>
      <c r="E37" s="1574">
        <v>7465000</v>
      </c>
      <c r="F37" s="1574"/>
      <c r="G37" s="1574"/>
      <c r="H37" s="1574">
        <v>650000</v>
      </c>
      <c r="I37" s="1736">
        <f t="shared" si="1"/>
        <v>6815000</v>
      </c>
      <c r="J37" s="1574">
        <v>5279467</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30160000</v>
      </c>
      <c r="D49" s="1742"/>
      <c r="E49" s="1736">
        <f t="shared" ref="E49:J49" si="2">SUM(E31:E48)</f>
        <v>28174096</v>
      </c>
      <c r="F49" s="1736">
        <f t="shared" si="2"/>
        <v>0</v>
      </c>
      <c r="G49" s="1736">
        <f t="shared" si="2"/>
        <v>0</v>
      </c>
      <c r="H49" s="1736">
        <f t="shared" si="2"/>
        <v>1068098</v>
      </c>
      <c r="I49" s="1736">
        <f t="shared" si="2"/>
        <v>27105998</v>
      </c>
      <c r="J49" s="1736">
        <f t="shared" si="2"/>
        <v>25570465</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0" t="s">
        <v>580</v>
      </c>
      <c r="C52" s="2291"/>
      <c r="D52" s="2291"/>
      <c r="E52" s="603" t="s">
        <v>840</v>
      </c>
      <c r="F52" s="2292"/>
      <c r="G52" s="2293"/>
      <c r="H52" s="596"/>
      <c r="I52" s="596"/>
      <c r="J52" s="600"/>
    </row>
    <row r="53" spans="1:11" ht="11.25" customHeight="1" x14ac:dyDescent="0.2">
      <c r="A53" s="604" t="s">
        <v>907</v>
      </c>
      <c r="B53" s="605" t="s">
        <v>945</v>
      </c>
      <c r="C53" s="600"/>
      <c r="D53" s="597"/>
      <c r="E53" s="603" t="s">
        <v>494</v>
      </c>
      <c r="F53" s="2294"/>
      <c r="G53" s="2295"/>
      <c r="H53" s="596"/>
      <c r="I53" s="596"/>
      <c r="J53" s="600"/>
    </row>
    <row r="54" spans="1:11" ht="11.25" customHeight="1" x14ac:dyDescent="0.2">
      <c r="A54" s="606" t="s">
        <v>908</v>
      </c>
      <c r="B54" s="601" t="s">
        <v>946</v>
      </c>
      <c r="C54" s="600"/>
      <c r="D54" s="597"/>
      <c r="E54" s="603" t="s">
        <v>495</v>
      </c>
      <c r="F54" s="2294"/>
      <c r="G54" s="229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4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9" t="s">
        <v>851</v>
      </c>
      <c r="B1" s="2320"/>
      <c r="C1" s="2320"/>
      <c r="D1" s="2320"/>
      <c r="E1" s="2320"/>
      <c r="F1" s="2320"/>
      <c r="G1" s="2321"/>
      <c r="H1" s="1298"/>
      <c r="I1" s="614"/>
      <c r="J1" s="400"/>
    </row>
    <row r="2" spans="1:11" ht="26.25" x14ac:dyDescent="0.2">
      <c r="A2" s="2338" t="s">
        <v>1658</v>
      </c>
      <c r="B2" s="2339"/>
      <c r="C2" s="2339"/>
      <c r="D2" s="2339"/>
      <c r="E2" s="2340"/>
      <c r="F2" s="615" t="s">
        <v>898</v>
      </c>
      <c r="G2" s="616" t="s">
        <v>1655</v>
      </c>
      <c r="H2" s="616" t="s">
        <v>407</v>
      </c>
      <c r="I2" s="616" t="s">
        <v>1148</v>
      </c>
      <c r="J2" s="616" t="s">
        <v>1786</v>
      </c>
      <c r="K2" s="616" t="s">
        <v>137</v>
      </c>
    </row>
    <row r="3" spans="1:11" x14ac:dyDescent="0.2">
      <c r="A3" s="2341" t="str">
        <f>"Cash Basis Fund Balance as of July 1, "&amp;'AFR20'!E2-1</f>
        <v>Cash Basis Fund Balance as of July 1, 2019</v>
      </c>
      <c r="B3" s="2342"/>
      <c r="C3" s="2342"/>
      <c r="D3" s="2342"/>
      <c r="E3" s="2343"/>
      <c r="F3" s="617"/>
      <c r="G3" s="1744"/>
      <c r="H3" s="1744"/>
      <c r="I3" s="1744"/>
      <c r="J3" s="1745"/>
      <c r="K3" s="1745"/>
    </row>
    <row r="4" spans="1:11" x14ac:dyDescent="0.2">
      <c r="A4" s="2344" t="s">
        <v>366</v>
      </c>
      <c r="B4" s="2345"/>
      <c r="C4" s="2345"/>
      <c r="D4" s="2345"/>
      <c r="E4" s="2291"/>
      <c r="F4" s="620"/>
      <c r="G4" s="1746"/>
      <c r="H4" s="1747"/>
      <c r="I4" s="1746"/>
      <c r="J4" s="1748"/>
      <c r="K4" s="1748"/>
    </row>
    <row r="5" spans="1:11" x14ac:dyDescent="0.2">
      <c r="A5" s="2322" t="s">
        <v>1060</v>
      </c>
      <c r="B5" s="2323"/>
      <c r="C5" s="2323"/>
      <c r="D5" s="2323"/>
      <c r="E5" s="2324"/>
      <c r="F5" s="622" t="s">
        <v>843</v>
      </c>
      <c r="G5" s="1749"/>
      <c r="H5" s="1744">
        <v>32525</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2800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12489</v>
      </c>
    </row>
    <row r="10" spans="1:11" x14ac:dyDescent="0.2">
      <c r="A10" s="2322" t="s">
        <v>1787</v>
      </c>
      <c r="B10" s="2323"/>
      <c r="C10" s="2323"/>
      <c r="D10" s="2323"/>
      <c r="E10" s="2325"/>
      <c r="F10" s="633" t="s">
        <v>857</v>
      </c>
      <c r="G10" s="1753"/>
      <c r="H10" s="1754"/>
      <c r="I10" s="1744"/>
      <c r="J10" s="1745"/>
      <c r="K10" s="1745"/>
    </row>
    <row r="11" spans="1:11" x14ac:dyDescent="0.2">
      <c r="A11" s="2322" t="s">
        <v>159</v>
      </c>
      <c r="B11" s="2323"/>
      <c r="C11" s="2323"/>
      <c r="D11" s="2323"/>
      <c r="E11" s="2324"/>
      <c r="F11" s="622" t="s">
        <v>847</v>
      </c>
      <c r="G11" s="1749"/>
      <c r="H11" s="1744"/>
      <c r="I11" s="1744"/>
      <c r="J11" s="1745"/>
      <c r="K11" s="1751"/>
    </row>
    <row r="12" spans="1:11" ht="13.5" thickBot="1" x14ac:dyDescent="0.25">
      <c r="A12" s="2349" t="s">
        <v>899</v>
      </c>
      <c r="B12" s="2350"/>
      <c r="C12" s="2350"/>
      <c r="D12" s="2350"/>
      <c r="E12" s="2351"/>
      <c r="F12" s="1433"/>
      <c r="G12" s="1755">
        <f>SUM(G5:G11)</f>
        <v>0</v>
      </c>
      <c r="H12" s="1755">
        <f>SUM(H5:H11)</f>
        <v>32525</v>
      </c>
      <c r="I12" s="1755">
        <f>SUM(I5:I11)</f>
        <v>0</v>
      </c>
      <c r="J12" s="1755">
        <f>SUM(J5:J11)</f>
        <v>0</v>
      </c>
      <c r="K12" s="1755">
        <f>SUM(K5:K11)</f>
        <v>15289</v>
      </c>
    </row>
    <row r="13" spans="1:11" ht="13.5" thickTop="1" x14ac:dyDescent="0.2">
      <c r="A13" s="2346" t="s">
        <v>367</v>
      </c>
      <c r="B13" s="2347"/>
      <c r="C13" s="2347"/>
      <c r="D13" s="2347"/>
      <c r="E13" s="2348"/>
      <c r="F13" s="634"/>
      <c r="G13" s="1756"/>
      <c r="H13" s="1757"/>
      <c r="I13" s="1758"/>
      <c r="J13" s="1758"/>
      <c r="K13" s="1758"/>
    </row>
    <row r="14" spans="1:11" x14ac:dyDescent="0.2">
      <c r="A14" s="2329" t="s">
        <v>453</v>
      </c>
      <c r="B14" s="2329"/>
      <c r="C14" s="2329"/>
      <c r="D14" s="2329"/>
      <c r="E14" s="2330"/>
      <c r="F14" s="635" t="s">
        <v>849</v>
      </c>
      <c r="G14" s="1753"/>
      <c r="H14" s="1744">
        <v>32525</v>
      </c>
      <c r="I14" s="1749"/>
      <c r="J14" s="1751"/>
      <c r="K14" s="1745">
        <v>15289</v>
      </c>
    </row>
    <row r="15" spans="1:11" x14ac:dyDescent="0.2">
      <c r="A15" s="2323" t="s">
        <v>4</v>
      </c>
      <c r="B15" s="2323"/>
      <c r="C15" s="2323"/>
      <c r="D15" s="2323"/>
      <c r="E15" s="2324"/>
      <c r="F15" s="635" t="s">
        <v>850</v>
      </c>
      <c r="G15" s="1749"/>
      <c r="H15" s="1744"/>
      <c r="I15" s="1744"/>
      <c r="J15" s="1745"/>
      <c r="K15" s="1745"/>
    </row>
    <row r="16" spans="1:11" x14ac:dyDescent="0.2">
      <c r="A16" s="2323" t="s">
        <v>295</v>
      </c>
      <c r="B16" s="2323"/>
      <c r="C16" s="2323"/>
      <c r="D16" s="2323"/>
      <c r="E16" s="2324"/>
      <c r="F16" s="635" t="s">
        <v>917</v>
      </c>
      <c r="G16" s="1750"/>
      <c r="H16" s="1746"/>
      <c r="I16" s="1746"/>
      <c r="J16" s="1748"/>
      <c r="K16" s="1748"/>
    </row>
    <row r="17" spans="1:15" x14ac:dyDescent="0.2">
      <c r="A17" s="2356" t="s">
        <v>929</v>
      </c>
      <c r="B17" s="2356"/>
      <c r="C17" s="2356"/>
      <c r="D17" s="2356"/>
      <c r="E17" s="2357"/>
      <c r="F17" s="636"/>
      <c r="G17" s="1759"/>
      <c r="H17" s="1760"/>
      <c r="I17" s="1760"/>
      <c r="J17" s="1761"/>
      <c r="K17" s="1762"/>
    </row>
    <row r="18" spans="1:15" x14ac:dyDescent="0.2">
      <c r="A18" s="2333" t="s">
        <v>365</v>
      </c>
      <c r="B18" s="2334"/>
      <c r="C18" s="2334"/>
      <c r="D18" s="2334"/>
      <c r="E18" s="2335"/>
      <c r="F18" s="635" t="s">
        <v>926</v>
      </c>
      <c r="G18" s="1753"/>
      <c r="H18" s="1753"/>
      <c r="I18" s="1753"/>
      <c r="J18" s="1745"/>
      <c r="K18" s="1763"/>
    </row>
    <row r="19" spans="1:15" ht="21.75" customHeight="1" x14ac:dyDescent="0.2">
      <c r="A19" s="2331" t="s">
        <v>1783</v>
      </c>
      <c r="B19" s="2331"/>
      <c r="C19" s="2331"/>
      <c r="D19" s="2331"/>
      <c r="E19" s="2332"/>
      <c r="F19" s="635" t="s">
        <v>927</v>
      </c>
      <c r="G19" s="1753"/>
      <c r="H19" s="1753"/>
      <c r="I19" s="1753"/>
      <c r="J19" s="1745"/>
      <c r="K19" s="1763"/>
    </row>
    <row r="20" spans="1:15" x14ac:dyDescent="0.2">
      <c r="A20" s="2333" t="s">
        <v>1788</v>
      </c>
      <c r="B20" s="2334"/>
      <c r="C20" s="2334"/>
      <c r="D20" s="2334"/>
      <c r="E20" s="2335"/>
      <c r="F20" s="635" t="s">
        <v>928</v>
      </c>
      <c r="G20" s="1753"/>
      <c r="H20" s="1753"/>
      <c r="I20" s="1753"/>
      <c r="J20" s="1745"/>
      <c r="K20" s="1763"/>
    </row>
    <row r="21" spans="1:15" ht="13.5" thickBot="1" x14ac:dyDescent="0.25">
      <c r="A21" s="2352" t="s">
        <v>633</v>
      </c>
      <c r="B21" s="2352"/>
      <c r="C21" s="2352"/>
      <c r="D21" s="2352"/>
      <c r="E21" s="2352"/>
      <c r="F21" s="1434"/>
      <c r="G21" s="1760"/>
      <c r="H21" s="1764"/>
      <c r="I21" s="1764"/>
      <c r="J21" s="1765">
        <f>SUM(J18:J20)</f>
        <v>0</v>
      </c>
      <c r="K21" s="1761"/>
    </row>
    <row r="22" spans="1:15" ht="13.5" thickTop="1" x14ac:dyDescent="0.2">
      <c r="A22" s="2323" t="s">
        <v>1789</v>
      </c>
      <c r="B22" s="2323"/>
      <c r="C22" s="2323"/>
      <c r="D22" s="2323"/>
      <c r="E22" s="2324"/>
      <c r="F22" s="635" t="s">
        <v>857</v>
      </c>
      <c r="G22" s="1753"/>
      <c r="H22" s="1744"/>
      <c r="I22" s="1744"/>
      <c r="J22" s="1766"/>
      <c r="K22" s="1745"/>
    </row>
    <row r="23" spans="1:15" ht="13.5" thickBot="1" x14ac:dyDescent="0.25">
      <c r="A23" s="2353" t="s">
        <v>900</v>
      </c>
      <c r="B23" s="2352"/>
      <c r="C23" s="2352"/>
      <c r="D23" s="2352"/>
      <c r="E23" s="2352"/>
      <c r="F23" s="1436"/>
      <c r="G23" s="1755">
        <f>SUM(G14:G16,G21,G22)</f>
        <v>0</v>
      </c>
      <c r="H23" s="1755">
        <f>SUM(H14:H16,H21,H22)</f>
        <v>32525</v>
      </c>
      <c r="I23" s="1755">
        <f>SUM(I14:I16,I21,I22)</f>
        <v>0</v>
      </c>
      <c r="J23" s="1755">
        <f>SUM(J14:J16,J21,J22)</f>
        <v>0</v>
      </c>
      <c r="K23" s="1755">
        <f>SUM(K14:K16,K21,K22)</f>
        <v>15289</v>
      </c>
      <c r="M23" s="1846"/>
      <c r="N23" s="1846"/>
      <c r="O23" s="1846"/>
    </row>
    <row r="24" spans="1:15" ht="14.25" thickTop="1" thickBot="1" x14ac:dyDescent="0.25">
      <c r="A24" s="2354" t="str">
        <f>"Ending Cash Basis Fund Balance as of June 30, "&amp;'AFR20'!E2</f>
        <v>Ending Cash Basis Fund Balance as of June 30, 2020</v>
      </c>
      <c r="B24" s="2355"/>
      <c r="C24" s="2355"/>
      <c r="D24" s="2355"/>
      <c r="E24" s="235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6"/>
      <c r="I31" s="2327"/>
      <c r="J31" s="2327"/>
      <c r="K31" s="2327"/>
    </row>
    <row r="32" spans="1:15" x14ac:dyDescent="0.2">
      <c r="A32" s="649"/>
      <c r="B32" s="232"/>
      <c r="C32" s="232"/>
      <c r="D32" s="232"/>
      <c r="E32" s="645"/>
      <c r="F32" s="651" t="s">
        <v>537</v>
      </c>
      <c r="G32" s="618"/>
      <c r="H32" s="2328"/>
      <c r="I32" s="2327"/>
      <c r="J32" s="2327"/>
      <c r="K32" s="2327"/>
    </row>
    <row r="33" spans="1:11" ht="1.5" customHeight="1" x14ac:dyDescent="0.2">
      <c r="A33" s="652" t="s">
        <v>1159</v>
      </c>
      <c r="B33" s="341"/>
      <c r="C33" s="341"/>
      <c r="D33" s="341"/>
      <c r="E33" s="341"/>
      <c r="F33" s="341"/>
      <c r="G33" s="653"/>
      <c r="H33" s="2328"/>
      <c r="I33" s="2327"/>
      <c r="J33" s="2327"/>
      <c r="K33" s="2327"/>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3"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0" t="s">
        <v>1872</v>
      </c>
      <c r="B1" s="2361"/>
      <c r="C1" s="2362"/>
      <c r="D1" s="666"/>
      <c r="E1" s="667"/>
      <c r="F1" s="667"/>
      <c r="G1" s="668"/>
      <c r="H1" s="669"/>
      <c r="I1" s="670"/>
      <c r="J1" s="2358"/>
      <c r="K1" s="2359"/>
      <c r="L1" s="2359"/>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1594964</v>
      </c>
      <c r="D5" s="1770"/>
      <c r="E5" s="1770"/>
      <c r="F5" s="1765">
        <f>(C5+D5)-E5</f>
        <v>1594964</v>
      </c>
      <c r="G5" s="676"/>
      <c r="H5" s="680"/>
      <c r="I5" s="680"/>
      <c r="J5" s="680"/>
      <c r="K5" s="637"/>
      <c r="L5" s="1442">
        <f>F5-K5</f>
        <v>1594964</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63692545</v>
      </c>
      <c r="D8" s="1771">
        <v>48697</v>
      </c>
      <c r="E8" s="1771"/>
      <c r="F8" s="1765">
        <f>(C8+D8)-E8</f>
        <v>63741242</v>
      </c>
      <c r="G8" s="681">
        <v>50</v>
      </c>
      <c r="H8" s="619">
        <v>32336552</v>
      </c>
      <c r="I8" s="619">
        <v>1052520</v>
      </c>
      <c r="J8" s="619"/>
      <c r="K8" s="1442">
        <f>(H8+I8)-J8</f>
        <v>33389072</v>
      </c>
      <c r="L8" s="1442">
        <f>F8-K8</f>
        <v>30352170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5071724</v>
      </c>
      <c r="D12" s="1771">
        <v>35043</v>
      </c>
      <c r="E12" s="1771"/>
      <c r="F12" s="1765">
        <f>(C12+D12)-E12</f>
        <v>5106767</v>
      </c>
      <c r="G12" s="681">
        <v>10</v>
      </c>
      <c r="H12" s="619">
        <v>4856785</v>
      </c>
      <c r="I12" s="619">
        <v>76108</v>
      </c>
      <c r="J12" s="619"/>
      <c r="K12" s="1442">
        <f>(H12+I12)-J12</f>
        <v>4932893</v>
      </c>
      <c r="L12" s="1442">
        <f>F12-K12</f>
        <v>173874</v>
      </c>
    </row>
    <row r="13" spans="1:14" ht="14.25" thickTop="1" thickBot="1" x14ac:dyDescent="0.25">
      <c r="A13" s="684" t="s">
        <v>1112</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70359233</v>
      </c>
      <c r="D16" s="1765">
        <f>SUM(D3,D5:D6,D8:D10,D12:D15)</f>
        <v>83740</v>
      </c>
      <c r="E16" s="1765">
        <f>SUM(E3,E5:E6,E8:E10,E12:E15)</f>
        <v>0</v>
      </c>
      <c r="F16" s="1765">
        <f>SUM(F3,F5:F6,F8:F10,F12:F15)</f>
        <v>70442973</v>
      </c>
      <c r="G16" s="681"/>
      <c r="H16" s="1435">
        <f>SUM(H3,H6,H8:H10,H12:H14,)</f>
        <v>37193337</v>
      </c>
      <c r="I16" s="1435">
        <f>SUM(I3,I6,I8:I10,I12:I14,)</f>
        <v>1128628</v>
      </c>
      <c r="J16" s="1435">
        <f>SUM(J3,J6,J8:J10,J12:J14,)</f>
        <v>0</v>
      </c>
      <c r="K16" s="1435">
        <f>(H16+I16)-J16</f>
        <v>38321965</v>
      </c>
      <c r="L16" s="1435">
        <f>F16-K16</f>
        <v>32121008</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1128628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8" colorId="8" zoomScale="110" zoomScaleNormal="110" workbookViewId="0">
      <selection activeCell="F172" sqref="F17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6" t="str">
        <f>"ESTIMATED OPERATING EXPENSE PER PUPIL (OEPP)/PER CAPITA TUITION CHARGE (PCTC) COMPUTATIONS ("&amp;'AFR20'!E2-1&amp;" - "&amp;'AFR20'!E2&amp;")"</f>
        <v>ESTIMATED OPERATING EXPENSE PER PUPIL (OEPP)/PER CAPITA TUITION CHARGE (PCTC) COMPUTATIONS (2019 - 2020)</v>
      </c>
      <c r="B1" s="2367"/>
      <c r="C1" s="2367"/>
      <c r="D1" s="2367"/>
      <c r="E1" s="2367"/>
      <c r="F1" s="2368"/>
      <c r="G1" s="691"/>
      <c r="I1" s="701"/>
    </row>
    <row r="2" spans="1:9" ht="15" customHeight="1" thickBot="1" x14ac:dyDescent="0.25">
      <c r="A2" s="2369" t="s">
        <v>474</v>
      </c>
      <c r="B2" s="2370"/>
      <c r="C2" s="2370"/>
      <c r="D2" s="2370"/>
      <c r="E2" s="2370"/>
      <c r="F2" s="237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2"/>
      <c r="B5" s="2373"/>
      <c r="C5" s="2373"/>
      <c r="D5" s="2373"/>
      <c r="E5" s="2373"/>
      <c r="F5" s="2373"/>
    </row>
    <row r="6" spans="1:9" ht="13.5" customHeight="1" thickBot="1" x14ac:dyDescent="0.25">
      <c r="A6" s="2363" t="s">
        <v>1095</v>
      </c>
      <c r="B6" s="2364"/>
      <c r="C6" s="2364"/>
      <c r="D6" s="2364"/>
      <c r="E6" s="2364"/>
      <c r="F6" s="236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12812006</v>
      </c>
      <c r="G8" s="701"/>
    </row>
    <row r="9" spans="1:9" x14ac:dyDescent="0.2">
      <c r="A9" s="705" t="s">
        <v>457</v>
      </c>
      <c r="B9" s="706" t="s">
        <v>1845</v>
      </c>
      <c r="C9" s="707"/>
      <c r="D9" s="705" t="s">
        <v>498</v>
      </c>
      <c r="E9" s="704"/>
      <c r="F9" s="1775">
        <f>'Expenditures 15-22'!K151</f>
        <v>1980660</v>
      </c>
      <c r="G9" s="708"/>
    </row>
    <row r="10" spans="1:9" x14ac:dyDescent="0.2">
      <c r="A10" s="705" t="s">
        <v>496</v>
      </c>
      <c r="B10" s="706" t="s">
        <v>1846</v>
      </c>
      <c r="C10" s="707"/>
      <c r="D10" s="705" t="s">
        <v>498</v>
      </c>
      <c r="E10" s="704"/>
      <c r="F10" s="1775">
        <f>'Expenditures 15-22'!K174</f>
        <v>2445619</v>
      </c>
      <c r="G10" s="708"/>
    </row>
    <row r="11" spans="1:9" x14ac:dyDescent="0.2">
      <c r="A11" s="705" t="s">
        <v>458</v>
      </c>
      <c r="B11" s="706" t="s">
        <v>1847</v>
      </c>
      <c r="C11" s="707"/>
      <c r="D11" s="705" t="s">
        <v>498</v>
      </c>
      <c r="E11" s="704"/>
      <c r="F11" s="1775">
        <f>'Expenditures 15-22'!K210</f>
        <v>1530693</v>
      </c>
      <c r="G11" s="708"/>
    </row>
    <row r="12" spans="1:9" x14ac:dyDescent="0.2">
      <c r="A12" s="705" t="s">
        <v>459</v>
      </c>
      <c r="B12" s="706" t="s">
        <v>1848</v>
      </c>
      <c r="C12" s="707"/>
      <c r="D12" s="705" t="s">
        <v>498</v>
      </c>
      <c r="E12" s="704"/>
      <c r="F12" s="1775">
        <f>'Expenditures 15-22'!K295</f>
        <v>438340</v>
      </c>
      <c r="G12" s="708"/>
    </row>
    <row r="13" spans="1:9" x14ac:dyDescent="0.2">
      <c r="A13" s="705" t="s">
        <v>106</v>
      </c>
      <c r="B13" s="706" t="s">
        <v>1849</v>
      </c>
      <c r="C13" s="707"/>
      <c r="D13" s="705" t="s">
        <v>498</v>
      </c>
      <c r="E13" s="704"/>
      <c r="F13" s="1775">
        <f>'Expenditures 15-22'!K342</f>
        <v>0</v>
      </c>
      <c r="G13" s="709"/>
    </row>
    <row r="14" spans="1:9" ht="12" customHeight="1" thickBot="1" x14ac:dyDescent="0.25">
      <c r="A14" s="1443"/>
      <c r="B14" s="1444"/>
      <c r="C14" s="1445"/>
      <c r="D14" s="1446" t="s">
        <v>498</v>
      </c>
      <c r="E14" s="1447" t="s">
        <v>952</v>
      </c>
      <c r="F14" s="1776">
        <f>SUM(F8:F13)</f>
        <v>19207318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83625</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12450</v>
      </c>
      <c r="G52" s="701"/>
    </row>
    <row r="53" spans="1:7" x14ac:dyDescent="0.2">
      <c r="A53" s="705" t="s">
        <v>456</v>
      </c>
      <c r="B53" s="705" t="s">
        <v>1458</v>
      </c>
      <c r="C53" s="724">
        <f>'Expenditures 15-22'!B102</f>
        <v>4000</v>
      </c>
      <c r="D53" s="723" t="str">
        <f>'Expenditures 15-22'!A102</f>
        <v>Total Payments to Other Govt Units</v>
      </c>
      <c r="E53" s="704"/>
      <c r="F53" s="1782">
        <f>'Expenditures 15-22'!K102</f>
        <v>2804055</v>
      </c>
      <c r="G53" s="701"/>
    </row>
    <row r="54" spans="1:7" x14ac:dyDescent="0.2">
      <c r="A54" s="705" t="s">
        <v>456</v>
      </c>
      <c r="B54" s="705" t="s">
        <v>1459</v>
      </c>
      <c r="C54" s="724" t="s">
        <v>975</v>
      </c>
      <c r="D54" s="720" t="s">
        <v>1086</v>
      </c>
      <c r="E54" s="704"/>
      <c r="F54" s="1782">
        <f>'Expenditures 15-22'!G114</f>
        <v>131490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309887</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1068098</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0</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19018</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0</v>
      </c>
      <c r="G71" s="701"/>
    </row>
    <row r="72" spans="1:9" x14ac:dyDescent="0.2">
      <c r="A72" s="705" t="s">
        <v>459</v>
      </c>
      <c r="B72" s="705" t="s">
        <v>1864</v>
      </c>
      <c r="C72" s="721">
        <f>'Expenditures 15-22'!B280</f>
        <v>3000</v>
      </c>
      <c r="D72" s="712" t="s">
        <v>446</v>
      </c>
      <c r="E72" s="704"/>
      <c r="F72" s="1782">
        <f>'Expenditures 15-22'!K280</f>
        <v>31</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4428654</v>
      </c>
      <c r="G77" s="701"/>
    </row>
    <row r="78" spans="1:9" s="728" customFormat="1" ht="12" customHeight="1" thickTop="1" thickBot="1" x14ac:dyDescent="0.25">
      <c r="A78" s="1450"/>
      <c r="B78" s="1448"/>
      <c r="C78" s="1445"/>
      <c r="D78" s="1449" t="s">
        <v>2009</v>
      </c>
      <c r="E78" s="1447"/>
      <c r="F78" s="1788">
        <f>(F14-F77)</f>
        <v>14778664</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790.5</v>
      </c>
      <c r="G79" s="733"/>
      <c r="H79" s="705"/>
      <c r="I79" s="705"/>
    </row>
    <row r="80" spans="1:9" s="728" customFormat="1" ht="12" customHeight="1" thickBot="1" x14ac:dyDescent="0.25">
      <c r="A80" s="1452"/>
      <c r="B80" s="1448"/>
      <c r="C80" s="1445"/>
      <c r="D80" s="1449" t="s">
        <v>2010</v>
      </c>
      <c r="E80" s="1447" t="s">
        <v>952</v>
      </c>
      <c r="F80" s="1790">
        <f>IF(F79&gt;0,F78/F79," Complete Line 79")</f>
        <v>18695.337128399748</v>
      </c>
      <c r="G80" s="705"/>
    </row>
    <row r="81" spans="1:7" s="728" customFormat="1" ht="8.25" customHeight="1" thickTop="1" x14ac:dyDescent="0.2">
      <c r="A81" s="734"/>
      <c r="B81" s="705"/>
      <c r="C81" s="707"/>
      <c r="D81" s="735"/>
      <c r="E81" s="704"/>
      <c r="F81" s="1791"/>
      <c r="G81" s="705"/>
    </row>
    <row r="82" spans="1:7" s="728" customFormat="1" ht="12" thickBot="1" x14ac:dyDescent="0.25">
      <c r="A82" s="2363" t="s">
        <v>1096</v>
      </c>
      <c r="B82" s="2364"/>
      <c r="C82" s="2364"/>
      <c r="D82" s="2364"/>
      <c r="E82" s="2364"/>
      <c r="F82" s="236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243769</v>
      </c>
      <c r="G95" s="745"/>
    </row>
    <row r="96" spans="1:7" x14ac:dyDescent="0.2">
      <c r="A96" s="741" t="s">
        <v>139</v>
      </c>
      <c r="B96" s="741" t="s">
        <v>174</v>
      </c>
      <c r="C96" s="743">
        <v>1700</v>
      </c>
      <c r="D96" s="751" t="str">
        <f>'Revenues 9-14'!A82</f>
        <v>Total District/School Activity Income</v>
      </c>
      <c r="E96" s="739"/>
      <c r="F96" s="1793">
        <f>SUM('Revenues 9-14'!C82,'Revenues 9-14'!D82)</f>
        <v>41141</v>
      </c>
      <c r="G96" s="745"/>
    </row>
    <row r="97" spans="1:7" x14ac:dyDescent="0.2">
      <c r="A97" s="741" t="s">
        <v>456</v>
      </c>
      <c r="B97" s="741" t="s">
        <v>175</v>
      </c>
      <c r="C97" s="743">
        <f>'Revenues 9-14'!B84</f>
        <v>1811</v>
      </c>
      <c r="D97" s="744" t="str">
        <f>'Revenues 9-14'!A84</f>
        <v>Rentals - Regular Textbooks</v>
      </c>
      <c r="E97" s="739"/>
      <c r="F97" s="1793">
        <f>'Revenues 9-14'!C84</f>
        <v>69570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107279</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119981</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22202</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3202</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12489</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823787</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0</v>
      </c>
      <c r="G121" s="763"/>
    </row>
    <row r="122" spans="1:7" x14ac:dyDescent="0.2">
      <c r="A122" s="760" t="s">
        <v>497</v>
      </c>
      <c r="B122" s="760" t="s">
        <v>1923</v>
      </c>
      <c r="C122" s="761">
        <f>'Revenues 9-14'!B168</f>
        <v>3999</v>
      </c>
      <c r="D122" s="762" t="s">
        <v>540</v>
      </c>
      <c r="E122" s="764"/>
      <c r="F122" s="1793">
        <f>SUM('Revenues 9-14'!C168:G168,'Revenues 9-14'!J168)</f>
        <v>50000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246697</v>
      </c>
      <c r="G126" s="763"/>
    </row>
    <row r="127" spans="1:7" x14ac:dyDescent="0.2">
      <c r="A127" s="760" t="s">
        <v>663</v>
      </c>
      <c r="B127" s="760" t="s">
        <v>1928</v>
      </c>
      <c r="C127" s="765">
        <v>4300</v>
      </c>
      <c r="D127" s="766" t="str">
        <f>'Revenues 9-14'!A204</f>
        <v>Total Title I</v>
      </c>
      <c r="E127" s="739"/>
      <c r="F127" s="1793">
        <f>SUM('Revenues 9-14'!C204,'Revenues 9-14'!D204,'Revenues 9-14'!F204,'Revenues 9-14'!G204)</f>
        <v>324292</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18364</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61368</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0</v>
      </c>
      <c r="G172" s="760"/>
    </row>
    <row r="173" spans="1:7" x14ac:dyDescent="0.2">
      <c r="A173" s="1529" t="s">
        <v>659</v>
      </c>
      <c r="B173" s="1530" t="s">
        <v>1882</v>
      </c>
      <c r="C173" s="1531">
        <v>3300</v>
      </c>
      <c r="D173" s="1532" t="s">
        <v>1885</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2144141</v>
      </c>
    </row>
    <row r="176" spans="1:7" ht="12" customHeight="1" x14ac:dyDescent="0.2">
      <c r="A176" s="1443"/>
      <c r="B176" s="1453"/>
      <c r="C176" s="1454"/>
      <c r="D176" s="1455" t="s">
        <v>2011</v>
      </c>
      <c r="E176" s="1456"/>
      <c r="F176" s="1793">
        <f>'PCTC-OEPP 27-28'!F78-F175</f>
        <v>12634523</v>
      </c>
    </row>
    <row r="177" spans="1:9" ht="12" customHeight="1" x14ac:dyDescent="0.2">
      <c r="A177" s="1443"/>
      <c r="B177" s="1453"/>
      <c r="C177" s="1454"/>
      <c r="D177" s="1455" t="s">
        <v>1791</v>
      </c>
      <c r="E177" s="1456"/>
      <c r="F177" s="1793">
        <f>'Cap Outlay Deprec 26'!I18</f>
        <v>1128628</v>
      </c>
    </row>
    <row r="178" spans="1:9" ht="12" customHeight="1" x14ac:dyDescent="0.2">
      <c r="A178" s="1443"/>
      <c r="B178" s="1453"/>
      <c r="C178" s="1454"/>
      <c r="D178" s="1455" t="s">
        <v>2012</v>
      </c>
      <c r="E178" s="1456"/>
      <c r="F178" s="1793">
        <f>F176+F177</f>
        <v>13763151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790.5</v>
      </c>
      <c r="G179" s="763"/>
      <c r="I179" s="701"/>
    </row>
    <row r="180" spans="1:9" ht="12" customHeight="1" thickBot="1" x14ac:dyDescent="0.25">
      <c r="A180" s="1443"/>
      <c r="B180" s="1457"/>
      <c r="C180" s="1454"/>
      <c r="D180" s="1455" t="s">
        <v>2014</v>
      </c>
      <c r="E180" s="1456" t="s">
        <v>1528</v>
      </c>
      <c r="F180" s="1798">
        <f>F178/F179</f>
        <v>17410.690702087286</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topLeftCell="A16" zoomScaleNormal="100" workbookViewId="0">
      <selection activeCell="B20" sqref="B20"/>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77" t="s">
        <v>1792</v>
      </c>
      <c r="B4" s="2378"/>
      <c r="C4" s="2378"/>
      <c r="D4" s="2378"/>
      <c r="E4" s="2378"/>
      <c r="F4" s="2379"/>
    </row>
    <row r="5" spans="1:6" x14ac:dyDescent="0.25">
      <c r="A5" s="2380"/>
      <c r="B5" s="2381"/>
      <c r="C5" s="2381"/>
      <c r="D5" s="2381"/>
      <c r="E5" s="2381"/>
      <c r="F5" s="2382"/>
    </row>
    <row r="6" spans="1:6" ht="18.75" x14ac:dyDescent="0.25">
      <c r="A6" s="1867" t="s">
        <v>1793</v>
      </c>
      <c r="B6" s="1868"/>
      <c r="C6" s="1869"/>
      <c r="D6" s="1869"/>
      <c r="E6" s="1869"/>
      <c r="F6" s="1870"/>
    </row>
    <row r="7" spans="1:6" ht="47.25" customHeight="1" x14ac:dyDescent="0.25">
      <c r="A7" s="2383" t="s">
        <v>1982</v>
      </c>
      <c r="B7" s="2384"/>
      <c r="C7" s="2384"/>
      <c r="D7" s="2384"/>
      <c r="E7" s="2384"/>
      <c r="F7" s="2385"/>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6" t="s">
        <v>1978</v>
      </c>
      <c r="B10" s="2387"/>
      <c r="C10" s="2387"/>
      <c r="D10" s="2387"/>
      <c r="E10" s="2387"/>
      <c r="F10" s="2388"/>
    </row>
    <row r="11" spans="1:6" ht="33" customHeight="1" x14ac:dyDescent="0.25">
      <c r="A11" s="2383" t="s">
        <v>1983</v>
      </c>
      <c r="B11" s="2384"/>
      <c r="C11" s="2384"/>
      <c r="D11" s="2384"/>
      <c r="E11" s="2384"/>
      <c r="F11" s="2385"/>
    </row>
    <row r="12" spans="1:6" ht="15" customHeight="1" x14ac:dyDescent="0.25">
      <c r="A12" s="1873" t="s">
        <v>1979</v>
      </c>
      <c r="B12" s="1874"/>
      <c r="C12" s="1875"/>
      <c r="D12" s="1875"/>
      <c r="E12" s="1875"/>
      <c r="F12" s="1876"/>
    </row>
    <row r="13" spans="1:6" ht="17.25" customHeight="1" x14ac:dyDescent="0.25">
      <c r="A13" s="2383" t="s">
        <v>1980</v>
      </c>
      <c r="B13" s="2384"/>
      <c r="C13" s="2384"/>
      <c r="D13" s="2384"/>
      <c r="E13" s="2384"/>
      <c r="F13" s="2385"/>
    </row>
    <row r="14" spans="1:6" ht="15" customHeight="1" x14ac:dyDescent="0.25">
      <c r="A14" s="1873" t="s">
        <v>1797</v>
      </c>
      <c r="B14" s="1874"/>
      <c r="C14" s="1875"/>
      <c r="D14" s="1875"/>
      <c r="E14" s="1875"/>
      <c r="F14" s="1876"/>
    </row>
    <row r="15" spans="1:6" ht="32.25" customHeight="1" x14ac:dyDescent="0.25">
      <c r="A15" s="237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5"/>
      <c r="C15" s="2375"/>
      <c r="D15" s="2375"/>
      <c r="E15" s="2375"/>
      <c r="F15" s="2376"/>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6" t="s">
        <v>2089</v>
      </c>
      <c r="B18" s="1908">
        <v>202540300</v>
      </c>
      <c r="C18" s="2035" t="s">
        <v>2084</v>
      </c>
      <c r="D18" s="1886">
        <v>16277</v>
      </c>
      <c r="E18" s="1906">
        <f t="shared" ref="E18:E81" si="0">IF(D18&lt;25000,D18,"25,000")</f>
        <v>16277</v>
      </c>
      <c r="F18" s="1906" t="str">
        <f t="shared" ref="F18:F81" si="1">IF(D18&gt;=25000,(D18-E18),"0")</f>
        <v>0</v>
      </c>
      <c r="G18" s="1887"/>
    </row>
    <row r="19" spans="1:7" x14ac:dyDescent="0.25">
      <c r="A19" s="2036" t="s">
        <v>2089</v>
      </c>
      <c r="B19" s="1908">
        <v>202540300</v>
      </c>
      <c r="C19" s="2035" t="s">
        <v>2085</v>
      </c>
      <c r="D19" s="1886">
        <v>49008</v>
      </c>
      <c r="E19" s="1906" t="str">
        <f t="shared" si="0"/>
        <v>25,000</v>
      </c>
      <c r="F19" s="1906">
        <f t="shared" si="1"/>
        <v>24008</v>
      </c>
    </row>
    <row r="20" spans="1:7" x14ac:dyDescent="0.25">
      <c r="A20" s="2036" t="s">
        <v>2090</v>
      </c>
      <c r="B20" s="1908">
        <v>102520300</v>
      </c>
      <c r="C20" s="2035" t="s">
        <v>2086</v>
      </c>
      <c r="D20" s="1886">
        <v>8129</v>
      </c>
      <c r="E20" s="1906">
        <f t="shared" si="0"/>
        <v>8129</v>
      </c>
      <c r="F20" s="1906" t="str">
        <f t="shared" si="1"/>
        <v>0</v>
      </c>
    </row>
    <row r="21" spans="1:7" x14ac:dyDescent="0.25">
      <c r="A21" s="2036" t="s">
        <v>2089</v>
      </c>
      <c r="B21" s="1908">
        <v>202540300</v>
      </c>
      <c r="C21" s="2035" t="s">
        <v>2087</v>
      </c>
      <c r="D21" s="1886">
        <v>67461</v>
      </c>
      <c r="E21" s="1906" t="str">
        <f t="shared" si="0"/>
        <v>25,000</v>
      </c>
      <c r="F21" s="1906">
        <f t="shared" si="1"/>
        <v>42461</v>
      </c>
    </row>
    <row r="22" spans="1:7" x14ac:dyDescent="0.25">
      <c r="A22" s="2036" t="s">
        <v>2091</v>
      </c>
      <c r="B22" s="1908">
        <v>402550300</v>
      </c>
      <c r="C22" s="2035" t="s">
        <v>2088</v>
      </c>
      <c r="D22" s="1886">
        <v>54950</v>
      </c>
      <c r="E22" s="1906" t="str">
        <f t="shared" si="0"/>
        <v>25,000</v>
      </c>
      <c r="F22" s="1906">
        <f t="shared" si="1"/>
        <v>29950</v>
      </c>
    </row>
    <row r="23" spans="1:7" x14ac:dyDescent="0.25">
      <c r="A23" s="2036" t="s">
        <v>2093</v>
      </c>
      <c r="B23" s="1908">
        <v>402550300</v>
      </c>
      <c r="C23" s="2035" t="s">
        <v>2088</v>
      </c>
      <c r="D23" s="1886">
        <v>73743</v>
      </c>
      <c r="E23" s="1906" t="str">
        <f t="shared" si="0"/>
        <v>25,000</v>
      </c>
      <c r="F23" s="1906">
        <f t="shared" si="1"/>
        <v>48743</v>
      </c>
    </row>
    <row r="24" spans="1:7" x14ac:dyDescent="0.25">
      <c r="A24" s="2036" t="s">
        <v>2092</v>
      </c>
      <c r="B24" s="1908">
        <v>402550300</v>
      </c>
      <c r="C24" s="2035" t="s">
        <v>2088</v>
      </c>
      <c r="D24" s="1886">
        <v>747411</v>
      </c>
      <c r="E24" s="1906" t="str">
        <f t="shared" si="0"/>
        <v>25,000</v>
      </c>
      <c r="F24" s="1906">
        <f t="shared" si="1"/>
        <v>722411</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1016979</v>
      </c>
      <c r="E142" s="1893">
        <f>SUM(E18:E141)</f>
        <v>24406</v>
      </c>
      <c r="F142" s="1894">
        <f>SUM(F18:F141)</f>
        <v>867573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9" t="s">
        <v>1660</v>
      </c>
      <c r="B5" s="2390"/>
      <c r="C5" s="2390"/>
      <c r="D5" s="2390"/>
      <c r="E5" s="2390"/>
      <c r="F5" s="2390"/>
      <c r="G5" s="2391"/>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v>679032</v>
      </c>
      <c r="F10" s="805"/>
      <c r="G10" s="806"/>
      <c r="H10" s="157"/>
      <c r="I10" s="157"/>
    </row>
    <row r="11" spans="1:13" s="542" customFormat="1" ht="22.5" customHeight="1" x14ac:dyDescent="0.2">
      <c r="A11" s="239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5"/>
      <c r="C11" s="2395"/>
      <c r="D11" s="2396"/>
      <c r="E11" s="1801">
        <v>41180</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6014365</v>
      </c>
      <c r="F19" s="1802"/>
      <c r="G19" s="1804">
        <f>'Expenditures 15-22'!K33-SUM('Expenditures 15-22'!G33,'Expenditures 15-22'!I33)+'Expenditures 15-22'!D229</f>
        <v>6014365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297902</v>
      </c>
      <c r="F21" s="1805"/>
      <c r="G21" s="1808">
        <f>'Expenditures 15-22'!K42-SUM('Expenditures 15-22'!G42,'Expenditures 15-22'!I42)+'Expenditures 15-22'!K120-SUM('Expenditures 15-22'!G120,'Expenditures 15-22'!I120)+'Expenditures 15-22'!K180-SUM('Expenditures 15-22'!G180,'Expenditures 15-22'!I180)+'Expenditures 15-22'!D238</f>
        <v>297902</v>
      </c>
      <c r="H21" s="817"/>
      <c r="I21" s="157"/>
    </row>
    <row r="22" spans="1:9" s="542" customFormat="1" ht="12" customHeight="1" x14ac:dyDescent="0.2">
      <c r="A22" s="824" t="s">
        <v>560</v>
      </c>
      <c r="B22" s="825"/>
      <c r="C22" s="823">
        <v>2200</v>
      </c>
      <c r="D22" s="1805"/>
      <c r="E22" s="1807">
        <f>'Expenditures 15-22'!K47-SUM('Expenditures 15-22'!G47,'Expenditures 15-22'!I47)+'Expenditures 15-22'!D243</f>
        <v>795775</v>
      </c>
      <c r="F22" s="1805"/>
      <c r="G22" s="1808">
        <f>'Expenditures 15-22'!K47-SUM('Expenditures 15-22'!G47,'Expenditures 15-22'!I47)+'Expenditures 15-22'!D243</f>
        <v>795775</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314273</v>
      </c>
      <c r="F23" s="1805"/>
      <c r="G23" s="1807">
        <f>'Expenditures 15-22'!K53-SUM('Expenditures 15-22'!G53,'Expenditures 15-22'!I53)+'Expenditures 15-22'!D257+'Expenditures 15-22'!K330-SUM('Expenditures 15-22'!G330,'Expenditures 15-22'!I330)</f>
        <v>314273</v>
      </c>
      <c r="H23" s="817"/>
      <c r="I23" s="157"/>
    </row>
    <row r="24" spans="1:9" s="542" customFormat="1" ht="12" customHeight="1" x14ac:dyDescent="0.2">
      <c r="A24" s="824" t="s">
        <v>562</v>
      </c>
      <c r="B24" s="825"/>
      <c r="C24" s="823">
        <v>2400</v>
      </c>
      <c r="D24" s="1805"/>
      <c r="E24" s="1807">
        <f>'Expenditures 15-22'!K57-SUM('Expenditures 15-22'!G57,'Expenditures 15-22'!I57)+'Expenditures 15-22'!D261</f>
        <v>1100404</v>
      </c>
      <c r="F24" s="1805"/>
      <c r="G24" s="1808">
        <f>'Expenditures 15-22'!K57-SUM('Expenditures 15-22'!G57,'Expenditures 15-22'!I57)+'Expenditures 15-22'!D261</f>
        <v>1100404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107112</v>
      </c>
      <c r="E26" s="1807">
        <f>'Expenditures 15-22'!K122-SUM('Expenditures 15-22'!G122,'Expenditures 15-22'!I122)+E7</f>
        <v>0</v>
      </c>
      <c r="F26" s="1807">
        <f>'Expenditures 15-22'!K59-SUM('Expenditures 15-22'!G59,'Expenditures 15-22'!I59)+'Expenditures 15-22'!D263-E7</f>
        <v>107112</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309955</v>
      </c>
      <c r="E27" s="1807">
        <f>E8</f>
        <v>0</v>
      </c>
      <c r="F27" s="1807">
        <f>'Expenditures 15-22'!K60-SUM('Expenditures 15-22'!G60,'Expenditures 15-22'!I60)+'Expenditures 15-22'!D264-E8</f>
        <v>309955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2163700</v>
      </c>
      <c r="F28" s="1809">
        <f>'Expenditures 15-22'!K61-SUM('Expenditures 15-22'!G61,'Expenditures 15-22'!I61)+'Expenditures 15-22'!K124-SUM('Expenditures 15-22'!G124,'Expenditures 15-22'!I124)+'Expenditures 15-22'!D266-E9</f>
        <v>2163700</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1530693</v>
      </c>
      <c r="F29" s="1805"/>
      <c r="G29" s="1808">
        <f>'Expenditures 15-22'!K62-SUM('Expenditures 15-22'!G62,'Expenditures 15-22'!I62)+'Expenditures 15-22'!K125-SUM('Expenditures 15-22'!G125,'Expenditures 15-22'!I125)+'Expenditures 15-22'!K182-SUM('Expenditures 15-22'!G182,'Expenditures 15-22'!I182)+'Expenditures 15-22'!D267</f>
        <v>1530693</v>
      </c>
      <c r="H29" s="815"/>
    </row>
    <row r="30" spans="1:9" ht="12" customHeight="1" x14ac:dyDescent="0.2">
      <c r="A30" s="824" t="s">
        <v>100</v>
      </c>
      <c r="B30" s="827"/>
      <c r="C30" s="823">
        <v>2560</v>
      </c>
      <c r="D30" s="1805"/>
      <c r="E30" s="1807">
        <f>'Expenditures 15-22'!K63-SUM('Expenditures 15-22'!G63,'Expenditures 15-22'!I63)+'Expenditures 15-22'!D268-E10</f>
        <v>50833</v>
      </c>
      <c r="F30" s="1805"/>
      <c r="G30" s="1807">
        <f>'Expenditures 15-22'!K63-SUM('Expenditures 15-22'!G63,'Expenditures 15-22'!I63)+'Expenditures 15-22'!D268-E10</f>
        <v>50833</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71958</v>
      </c>
      <c r="F38" s="1805"/>
      <c r="G38" s="1807">
        <f>'Expenditures 15-22'!K73-SUM('Expenditures 15-22'!G73,'Expenditures 15-22'!I73)+'Expenditures 15-22'!K128-SUM('Expenditures 15-22'!G128,'Expenditures 15-22'!I128)+'Expenditures 15-22'!K183-SUM('Expenditures 15-22'!G183,'Expenditures 15-22'!I183)+'Expenditures 15-22'!D278</f>
        <v>71958</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12481</v>
      </c>
      <c r="F39" s="1805"/>
      <c r="G39" s="1807">
        <f>'Expenditures 15-22'!K75-SUM('Expenditures 15-22'!G75,'Expenditures 15-22'!I75)+'Expenditures 15-22'!K130-SUM('Expenditures 15-22'!G130,'Expenditures 15-22'!I130)+'Expenditures 15-22'!K185-SUM('Expenditures 15-22'!G185,'Expenditures 15-22'!I185)+'Expenditures 15-22'!D280</f>
        <v>12481</v>
      </c>
    </row>
    <row r="40" spans="1:7" ht="12" customHeight="1" x14ac:dyDescent="0.2">
      <c r="A40" s="820" t="s">
        <v>1795</v>
      </c>
      <c r="B40" s="821"/>
      <c r="C40" s="823"/>
      <c r="D40" s="1805"/>
      <c r="E40" s="1809">
        <f>-'Contracts Paid in CY 29'!F142</f>
        <v>-867573</v>
      </c>
      <c r="F40" s="1805"/>
      <c r="G40" s="1809">
        <f>-'Contracts Paid in CY 29'!F142</f>
        <v>-867573</v>
      </c>
    </row>
    <row r="41" spans="1:7" ht="12" customHeight="1" x14ac:dyDescent="0.2">
      <c r="A41" s="828" t="s">
        <v>155</v>
      </c>
      <c r="B41" s="829"/>
      <c r="C41" s="830"/>
      <c r="D41" s="1809">
        <f>SUM(D19:D39)</f>
        <v>417067</v>
      </c>
      <c r="E41" s="1809">
        <f>SUM(E19:E40)</f>
        <v>11484811</v>
      </c>
      <c r="F41" s="1809">
        <f>SUM(F19:F39)</f>
        <v>2580767</v>
      </c>
      <c r="G41" s="1809">
        <f>SUM(G19:G40)</f>
        <v>9321111</v>
      </c>
    </row>
    <row r="42" spans="1:7" x14ac:dyDescent="0.2">
      <c r="A42" s="817"/>
      <c r="B42" s="157"/>
      <c r="C42" s="831"/>
      <c r="D42" s="2392" t="s">
        <v>519</v>
      </c>
      <c r="E42" s="2393"/>
      <c r="F42" s="832" t="s">
        <v>520</v>
      </c>
      <c r="G42" s="833"/>
    </row>
    <row r="43" spans="1:7" ht="12" customHeight="1" x14ac:dyDescent="0.2">
      <c r="A43" s="817"/>
      <c r="B43" s="157"/>
      <c r="C43" s="831"/>
      <c r="D43" s="1458" t="s">
        <v>470</v>
      </c>
      <c r="E43" s="1810">
        <f>D41</f>
        <v>417067</v>
      </c>
      <c r="F43" s="1458" t="s">
        <v>470</v>
      </c>
      <c r="G43" s="1810">
        <f>F41</f>
        <v>2580767</v>
      </c>
    </row>
    <row r="44" spans="1:7" ht="12" customHeight="1" x14ac:dyDescent="0.2">
      <c r="A44" s="817"/>
      <c r="B44" s="157"/>
      <c r="C44" s="831"/>
      <c r="D44" s="1458" t="s">
        <v>471</v>
      </c>
      <c r="E44" s="1810">
        <f>E41</f>
        <v>11484811</v>
      </c>
      <c r="F44" s="1458" t="s">
        <v>471</v>
      </c>
      <c r="G44" s="1810">
        <f>G41</f>
        <v>9321111</v>
      </c>
    </row>
    <row r="45" spans="1:7" ht="12" customHeight="1" x14ac:dyDescent="0.2">
      <c r="A45" s="817"/>
      <c r="B45" s="157"/>
      <c r="C45" s="157"/>
      <c r="D45" s="1459" t="s">
        <v>999</v>
      </c>
      <c r="E45" s="1811">
        <f>(E43/E44)</f>
        <v>3.6314659422780227E-2</v>
      </c>
      <c r="F45" s="1459" t="s">
        <v>999</v>
      </c>
      <c r="G45" s="1811">
        <f>(G43/G44)</f>
        <v>0.27687332550808591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activeCell="K21" sqref="K2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1" t="s">
        <v>1363</v>
      </c>
      <c r="B1" s="2411"/>
      <c r="C1" s="2411"/>
      <c r="D1" s="2411"/>
      <c r="E1" s="2411"/>
      <c r="F1" s="2411"/>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2" t="s">
        <v>1529</v>
      </c>
      <c r="B5" s="2413"/>
      <c r="C5" s="2414"/>
      <c r="D5" s="2414"/>
      <c r="E5" s="2414"/>
      <c r="F5" s="2414"/>
      <c r="G5" s="1507"/>
      <c r="L5" s="1507"/>
      <c r="M5" s="1855"/>
      <c r="N5" s="1855"/>
      <c r="O5" s="1855"/>
    </row>
    <row r="6" spans="1:15" ht="12" customHeight="1" x14ac:dyDescent="0.25">
      <c r="A6" s="1480"/>
      <c r="B6" s="1481"/>
      <c r="C6" s="2415" t="str">
        <f>COVER!A17</f>
        <v xml:space="preserve">  Wilmington CUSD 209U</v>
      </c>
      <c r="D6" s="2415"/>
      <c r="E6" s="2415"/>
      <c r="F6" s="1482"/>
      <c r="G6" s="1507"/>
      <c r="L6" s="1507"/>
      <c r="M6" s="1855"/>
      <c r="N6" s="1855"/>
      <c r="O6" s="1855"/>
    </row>
    <row r="7" spans="1:15" ht="11.25" customHeight="1" thickBot="1" x14ac:dyDescent="0.3">
      <c r="A7" s="1480"/>
      <c r="B7" s="1481"/>
      <c r="C7" s="2416" t="str">
        <f>COVER!A13</f>
        <v xml:space="preserve">56099209U26  </v>
      </c>
      <c r="D7" s="2416"/>
      <c r="E7" s="2416"/>
      <c r="F7" s="1482"/>
      <c r="G7" s="1507"/>
      <c r="L7" s="1507"/>
      <c r="M7" s="1855"/>
      <c r="N7" s="1855"/>
      <c r="O7" s="1855"/>
    </row>
    <row r="8" spans="1:15" ht="25.5" customHeight="1" thickBot="1" x14ac:dyDescent="0.25">
      <c r="A8" s="1519" t="s">
        <v>1871</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2048</v>
      </c>
      <c r="D11" s="1495" t="s">
        <v>2048</v>
      </c>
      <c r="E11" s="1496"/>
      <c r="F11" s="1497" t="s">
        <v>2073</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2048</v>
      </c>
      <c r="D13" s="1495" t="s">
        <v>2048</v>
      </c>
      <c r="E13" s="1498"/>
      <c r="F13" s="1497" t="s">
        <v>2073</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2048</v>
      </c>
      <c r="D14" s="1495" t="s">
        <v>2048</v>
      </c>
      <c r="E14" s="1498"/>
      <c r="F14" s="1497" t="s">
        <v>2074</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2048</v>
      </c>
      <c r="D19" s="1495" t="s">
        <v>2048</v>
      </c>
      <c r="E19" s="1498"/>
      <c r="F19" s="1497" t="s">
        <v>2075</v>
      </c>
      <c r="G19" s="1507"/>
      <c r="H19" s="1507">
        <f t="shared" si="0"/>
        <v>5</v>
      </c>
      <c r="I19" s="1507">
        <f t="shared" si="1"/>
        <v>5</v>
      </c>
      <c r="J19" s="1507">
        <f t="shared" si="2"/>
        <v>0</v>
      </c>
      <c r="L19" s="1507"/>
      <c r="M19" s="1855"/>
      <c r="N19" s="1855"/>
      <c r="O19" s="1855"/>
    </row>
    <row r="20" spans="1:15" ht="12" customHeight="1" x14ac:dyDescent="0.2">
      <c r="A20" s="1493" t="s">
        <v>1511</v>
      </c>
      <c r="B20" s="1494"/>
      <c r="C20" s="1495" t="s">
        <v>2048</v>
      </c>
      <c r="D20" s="1495" t="s">
        <v>2048</v>
      </c>
      <c r="E20" s="1498"/>
      <c r="F20" s="1497" t="s">
        <v>2076</v>
      </c>
      <c r="G20" s="1507"/>
      <c r="H20" s="1507">
        <f t="shared" si="0"/>
        <v>5</v>
      </c>
      <c r="I20" s="1507">
        <f t="shared" si="1"/>
        <v>5</v>
      </c>
      <c r="J20" s="1507">
        <f t="shared" si="2"/>
        <v>0</v>
      </c>
      <c r="L20" s="1507"/>
      <c r="M20" s="1855"/>
      <c r="N20" s="1855"/>
      <c r="O20" s="1855"/>
    </row>
    <row r="21" spans="1:15" ht="12" customHeight="1" x14ac:dyDescent="0.2">
      <c r="A21" s="1493" t="s">
        <v>1512</v>
      </c>
      <c r="B21" s="1494"/>
      <c r="C21" s="1495" t="s">
        <v>2048</v>
      </c>
      <c r="D21" s="1495" t="s">
        <v>2048</v>
      </c>
      <c r="E21" s="1498"/>
      <c r="F21" s="1497" t="s">
        <v>2077</v>
      </c>
      <c r="G21" s="1507"/>
      <c r="H21" s="1507">
        <f t="shared" si="0"/>
        <v>5</v>
      </c>
      <c r="I21" s="1507">
        <f t="shared" si="1"/>
        <v>5</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2048</v>
      </c>
      <c r="D24" s="1495" t="s">
        <v>2048</v>
      </c>
      <c r="E24" s="1498"/>
      <c r="F24" s="1497" t="s">
        <v>2078</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2048</v>
      </c>
      <c r="D25" s="1495" t="s">
        <v>2048</v>
      </c>
      <c r="E25" s="1498"/>
      <c r="F25" s="1497" t="s">
        <v>2073</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2048</v>
      </c>
      <c r="D26" s="1495" t="s">
        <v>2048</v>
      </c>
      <c r="E26" s="1498"/>
      <c r="F26" s="1497" t="s">
        <v>2079</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t="s">
        <v>2048</v>
      </c>
      <c r="D28" s="1495" t="s">
        <v>2048</v>
      </c>
      <c r="E28" s="1498"/>
      <c r="F28" s="1497" t="s">
        <v>2080</v>
      </c>
      <c r="G28" s="1507"/>
      <c r="H28" s="1507">
        <f t="shared" si="0"/>
        <v>5</v>
      </c>
      <c r="I28" s="1507">
        <f t="shared" si="1"/>
        <v>5</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2048</v>
      </c>
      <c r="D30" s="1495" t="s">
        <v>2048</v>
      </c>
      <c r="E30" s="1498"/>
      <c r="F30" s="1497" t="s">
        <v>2081</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2048</v>
      </c>
      <c r="D31" s="1495" t="s">
        <v>2048</v>
      </c>
      <c r="E31" s="1498"/>
      <c r="F31" s="1497" t="s">
        <v>2082</v>
      </c>
      <c r="G31" s="1507"/>
      <c r="H31" s="1507">
        <f t="shared" si="0"/>
        <v>5</v>
      </c>
      <c r="I31" s="1507">
        <f t="shared" si="1"/>
        <v>5</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t="s">
        <v>2048</v>
      </c>
      <c r="D33" s="1495" t="s">
        <v>2048</v>
      </c>
      <c r="E33" s="1498"/>
      <c r="F33" s="1497" t="s">
        <v>2083</v>
      </c>
      <c r="G33" s="1507"/>
      <c r="H33" s="1507">
        <f t="shared" si="0"/>
        <v>5</v>
      </c>
      <c r="I33" s="1507">
        <f t="shared" si="1"/>
        <v>5</v>
      </c>
      <c r="J33" s="1507">
        <f t="shared" si="2"/>
        <v>0</v>
      </c>
      <c r="L33" s="1507"/>
      <c r="M33" s="1855"/>
      <c r="N33" s="1855"/>
      <c r="O33" s="1855"/>
    </row>
    <row r="34" spans="1:15" ht="12" customHeight="1" x14ac:dyDescent="0.25">
      <c r="A34" s="1499"/>
      <c r="B34" s="1499"/>
      <c r="C34" s="1499"/>
      <c r="D34" s="1499"/>
      <c r="E34" s="1499"/>
      <c r="F34" s="1499"/>
      <c r="G34" s="1507"/>
      <c r="H34" s="1507">
        <f>SUM(H11:H32)</f>
        <v>60</v>
      </c>
      <c r="I34" s="1507">
        <f>SUM(I11:I32)</f>
        <v>60</v>
      </c>
      <c r="J34" s="1507">
        <f>SUM(J11:J32)</f>
        <v>0</v>
      </c>
      <c r="K34" s="1507">
        <f>SUM(H34:J34)</f>
        <v>120</v>
      </c>
      <c r="L34" s="1507"/>
      <c r="M34" s="1855"/>
      <c r="N34" s="1855"/>
      <c r="O34" s="1855"/>
    </row>
    <row r="35" spans="1:15" ht="12" customHeight="1" x14ac:dyDescent="0.2">
      <c r="A35" s="1500" t="s">
        <v>1376</v>
      </c>
      <c r="B35" s="1501"/>
      <c r="C35" s="2417"/>
      <c r="D35" s="2417"/>
      <c r="E35" s="2417"/>
      <c r="F35" s="2418"/>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03"/>
      <c r="B38" s="2404"/>
      <c r="C38" s="2404"/>
      <c r="D38" s="2404"/>
      <c r="E38" s="2404"/>
      <c r="F38" s="2405"/>
    </row>
    <row r="39" spans="1:15" ht="4.5" hidden="1" customHeight="1" x14ac:dyDescent="0.2">
      <c r="A39" s="1502"/>
      <c r="B39" s="1502"/>
      <c r="C39" s="1502"/>
      <c r="D39" s="1502"/>
      <c r="E39" s="1502"/>
      <c r="F39" s="1502"/>
    </row>
    <row r="40" spans="1:15" s="1499" customFormat="1" ht="12" customHeight="1" x14ac:dyDescent="0.25">
      <c r="A40" s="1503" t="s">
        <v>1375</v>
      </c>
      <c r="B40" s="1504"/>
      <c r="C40" s="2406"/>
      <c r="D40" s="2406"/>
      <c r="E40" s="2406"/>
      <c r="F40" s="2407"/>
      <c r="H40" s="1508"/>
      <c r="I40" s="1508"/>
      <c r="J40" s="1508"/>
      <c r="K40" s="1508"/>
    </row>
    <row r="41" spans="1:15" s="1499" customFormat="1" ht="12" customHeight="1" x14ac:dyDescent="0.25">
      <c r="A41" s="2408"/>
      <c r="B41" s="2409"/>
      <c r="C41" s="2409"/>
      <c r="D41" s="2409"/>
      <c r="E41" s="2409"/>
      <c r="F41" s="2410"/>
      <c r="H41" s="1508"/>
      <c r="I41" s="1508"/>
      <c r="J41" s="1508"/>
      <c r="K41" s="1508"/>
    </row>
    <row r="42" spans="1:15" s="1499" customFormat="1" ht="12" customHeight="1" x14ac:dyDescent="0.25">
      <c r="A42" s="2408"/>
      <c r="B42" s="2409"/>
      <c r="C42" s="2409"/>
      <c r="D42" s="2409"/>
      <c r="E42" s="2409"/>
      <c r="F42" s="2410"/>
      <c r="H42" s="1508"/>
      <c r="I42" s="1508"/>
      <c r="J42" s="1508"/>
      <c r="K42" s="1508"/>
    </row>
    <row r="43" spans="1:15" s="1499" customFormat="1" ht="15" x14ac:dyDescent="0.25">
      <c r="A43" s="2397"/>
      <c r="B43" s="2398"/>
      <c r="C43" s="2398"/>
      <c r="D43" s="2398"/>
      <c r="E43" s="2398"/>
      <c r="F43" s="2399"/>
      <c r="H43" s="1508"/>
      <c r="I43" s="1508"/>
      <c r="J43" s="1508"/>
      <c r="K43" s="1508"/>
    </row>
    <row r="44" spans="1:15" s="1499" customFormat="1" ht="12" hidden="1" customHeight="1" x14ac:dyDescent="0.25">
      <c r="A44" s="2397"/>
      <c r="B44" s="2398"/>
      <c r="C44" s="2398"/>
      <c r="D44" s="2398"/>
      <c r="E44" s="2398"/>
      <c r="F44" s="2399"/>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election activeCell="I16" sqref="I16"/>
    </sheetView>
  </sheetViews>
  <sheetFormatPr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1999</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37" t="str">
        <f>COVER!A17</f>
        <v xml:space="preserve">  Wilmington CUSD 209U</v>
      </c>
      <c r="K6" s="2437"/>
      <c r="L6" s="2451"/>
      <c r="M6" s="838"/>
      <c r="N6" s="1998"/>
    </row>
    <row r="7" spans="1:14" x14ac:dyDescent="0.2">
      <c r="A7" s="2452" t="s">
        <v>864</v>
      </c>
      <c r="B7" s="2453"/>
      <c r="C7" s="2453"/>
      <c r="D7" s="2453"/>
      <c r="E7" s="2454"/>
      <c r="F7" s="839"/>
      <c r="G7" s="838"/>
      <c r="H7" s="838"/>
      <c r="I7" s="1924" t="s">
        <v>369</v>
      </c>
      <c r="J7" s="2439" t="str">
        <f>COVER!A13</f>
        <v xml:space="preserve">56099209U26  </v>
      </c>
      <c r="K7" s="2439"/>
      <c r="L7" s="2439"/>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2015</v>
      </c>
      <c r="F9" s="1857"/>
      <c r="G9" s="1857"/>
      <c r="H9" s="1857"/>
      <c r="I9" s="1929" t="s">
        <v>2016</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55" t="s">
        <v>478</v>
      </c>
      <c r="B11" s="2456"/>
      <c r="C11" s="2457"/>
      <c r="D11" s="1937" t="s">
        <v>866</v>
      </c>
      <c r="E11" s="1937" t="s">
        <v>64</v>
      </c>
      <c r="F11" s="1937" t="s">
        <v>6</v>
      </c>
      <c r="G11" s="1938" t="s">
        <v>2017</v>
      </c>
      <c r="H11" s="1939" t="s">
        <v>155</v>
      </c>
      <c r="I11" s="1937" t="s">
        <v>64</v>
      </c>
      <c r="J11" s="1937" t="s">
        <v>6</v>
      </c>
      <c r="K11" s="1938" t="s">
        <v>1998</v>
      </c>
      <c r="L11" s="1939" t="s">
        <v>155</v>
      </c>
      <c r="M11" s="838"/>
      <c r="N11" s="1998"/>
    </row>
    <row r="12" spans="1:14" x14ac:dyDescent="0.2">
      <c r="A12" s="2003">
        <v>1</v>
      </c>
      <c r="B12" s="1940" t="s">
        <v>813</v>
      </c>
      <c r="C12" s="842"/>
      <c r="D12" s="1941">
        <v>2320</v>
      </c>
      <c r="E12" s="1944">
        <f>'Expenditures 15-22'!K50</f>
        <v>110913</v>
      </c>
      <c r="F12" s="1942"/>
      <c r="G12" s="1968">
        <f>G68</f>
        <v>0</v>
      </c>
      <c r="H12" s="1944">
        <f t="shared" ref="H12:H18" si="0">SUM(E12:G12)</f>
        <v>110913</v>
      </c>
      <c r="I12" s="1943">
        <v>110800</v>
      </c>
      <c r="J12" s="1942"/>
      <c r="K12" s="1943"/>
      <c r="L12" s="1944">
        <f t="shared" ref="L12:L18" si="1">SUM(I12:K12)</f>
        <v>110800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105795</v>
      </c>
      <c r="F15" s="1944">
        <f>'Expenditures 15-22'!K122</f>
        <v>0</v>
      </c>
      <c r="G15" s="1968">
        <f>J68</f>
        <v>0</v>
      </c>
      <c r="H15" s="1944">
        <f t="shared" si="0"/>
        <v>105795</v>
      </c>
      <c r="I15" s="1943">
        <v>111100</v>
      </c>
      <c r="J15" s="1943"/>
      <c r="K15" s="1943"/>
      <c r="L15" s="1944">
        <f t="shared" si="1"/>
        <v>111100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58" t="s">
        <v>7</v>
      </c>
      <c r="C18" s="2459"/>
      <c r="D18" s="2460"/>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216708</v>
      </c>
      <c r="F19" s="1950">
        <f t="shared" si="2"/>
        <v>0</v>
      </c>
      <c r="G19" s="1950">
        <f t="shared" ref="G19" si="3">SUM(G12:G17)-G18</f>
        <v>0</v>
      </c>
      <c r="H19" s="1950">
        <f t="shared" si="2"/>
        <v>216708</v>
      </c>
      <c r="I19" s="1950">
        <f t="shared" si="2"/>
        <v>221900</v>
      </c>
      <c r="J19" s="1950">
        <f t="shared" si="2"/>
        <v>0</v>
      </c>
      <c r="K19" s="1950">
        <f t="shared" si="2"/>
        <v>0</v>
      </c>
      <c r="L19" s="1950">
        <f t="shared" si="2"/>
        <v>221900</v>
      </c>
      <c r="M19" s="838"/>
      <c r="N19" s="1998"/>
    </row>
    <row r="20" spans="1:14" ht="13.5" thickTop="1" x14ac:dyDescent="0.2">
      <c r="A20" s="2003">
        <v>9</v>
      </c>
      <c r="B20" s="2461" t="s">
        <v>2018</v>
      </c>
      <c r="C20" s="2461"/>
      <c r="D20" s="2462"/>
      <c r="E20" s="1951"/>
      <c r="F20" s="1951"/>
      <c r="G20" s="1951"/>
      <c r="H20" s="1951"/>
      <c r="I20" s="1951"/>
      <c r="J20" s="1951"/>
      <c r="K20" s="1951"/>
      <c r="L20" s="1952">
        <f>IF(AND(H19&gt;0,L19&gt;0),(((L19-H19)/H19)),"Enter Budget Data")</f>
        <v>2.3958506377244955E-2</v>
      </c>
      <c r="M20" s="838"/>
      <c r="N20" s="1998"/>
    </row>
    <row r="21" spans="1:14" x14ac:dyDescent="0.2">
      <c r="A21" s="2005" t="s">
        <v>194</v>
      </c>
      <c r="B21" s="2006" t="s">
        <v>2043</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2019</v>
      </c>
      <c r="B24" s="2010"/>
      <c r="C24" s="2011"/>
      <c r="D24" s="2011"/>
      <c r="E24" s="2011"/>
      <c r="F24" s="2011"/>
      <c r="G24" s="2011"/>
      <c r="H24" s="2011"/>
      <c r="I24" s="2011"/>
      <c r="J24" s="2011"/>
      <c r="K24" s="2011"/>
      <c r="L24" s="838"/>
      <c r="M24" s="838"/>
      <c r="N24" s="1998"/>
    </row>
    <row r="25" spans="1:14" x14ac:dyDescent="0.2">
      <c r="A25" s="2009" t="s">
        <v>2020</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3"/>
      <c r="D27" s="2463"/>
      <c r="E27" s="843"/>
      <c r="F27" s="2464"/>
      <c r="G27" s="2464"/>
      <c r="H27" s="2464"/>
      <c r="I27" s="838"/>
      <c r="J27" s="838"/>
      <c r="K27" s="838"/>
      <c r="L27" s="838"/>
      <c r="M27" s="838"/>
      <c r="N27" s="1998"/>
    </row>
    <row r="28" spans="1:14" x14ac:dyDescent="0.2">
      <c r="A28" s="1997"/>
      <c r="B28" s="2007"/>
      <c r="C28" s="1957" t="s">
        <v>1026</v>
      </c>
      <c r="D28" s="844"/>
      <c r="E28" s="1958"/>
      <c r="F28" s="2465" t="s">
        <v>1492</v>
      </c>
      <c r="G28" s="2465"/>
      <c r="H28" s="2465"/>
      <c r="I28" s="838"/>
      <c r="J28" s="838"/>
      <c r="K28" s="838"/>
      <c r="L28" s="838"/>
      <c r="M28" s="838"/>
      <c r="N28" s="1998"/>
    </row>
    <row r="29" spans="1:14" x14ac:dyDescent="0.2">
      <c r="A29" s="1997"/>
      <c r="B29" s="2007"/>
      <c r="C29" s="2466"/>
      <c r="D29" s="2466"/>
      <c r="E29" s="845"/>
      <c r="F29" s="2466"/>
      <c r="G29" s="2466"/>
      <c r="H29" s="2466"/>
      <c r="I29" s="838"/>
      <c r="J29" s="838"/>
      <c r="K29" s="838"/>
      <c r="L29" s="838"/>
      <c r="M29" s="838"/>
      <c r="N29" s="1998"/>
    </row>
    <row r="30" spans="1:14" x14ac:dyDescent="0.2">
      <c r="A30" s="1997"/>
      <c r="B30" s="2007"/>
      <c r="C30" s="1960" t="s">
        <v>1544</v>
      </c>
      <c r="D30" s="838"/>
      <c r="E30" s="1959"/>
      <c r="F30" s="2450" t="s">
        <v>1493</v>
      </c>
      <c r="G30" s="2450"/>
      <c r="H30" s="2450"/>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7" t="s">
        <v>2021</v>
      </c>
      <c r="D34" s="2428"/>
      <c r="E34" s="2428"/>
      <c r="F34" s="2428"/>
      <c r="G34" s="2428"/>
      <c r="H34" s="2428"/>
      <c r="I34" s="2428"/>
      <c r="J34" s="2428"/>
      <c r="K34" s="2016"/>
      <c r="L34" s="838"/>
      <c r="M34" s="838"/>
      <c r="N34" s="1998"/>
    </row>
    <row r="35" spans="1:14" x14ac:dyDescent="0.2">
      <c r="A35" s="1997"/>
      <c r="B35" s="838"/>
      <c r="C35" s="2428"/>
      <c r="D35" s="2428"/>
      <c r="E35" s="2428"/>
      <c r="F35" s="2428"/>
      <c r="G35" s="2428"/>
      <c r="H35" s="2428"/>
      <c r="I35" s="2428"/>
      <c r="J35" s="2428"/>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7" t="s">
        <v>2022</v>
      </c>
      <c r="D37" s="2428"/>
      <c r="E37" s="2428"/>
      <c r="F37" s="2428"/>
      <c r="G37" s="2428"/>
      <c r="H37" s="2428"/>
      <c r="I37" s="2428"/>
      <c r="J37" s="2428"/>
      <c r="K37" s="2016"/>
      <c r="L37" s="2018"/>
      <c r="M37" s="838"/>
      <c r="N37" s="1998"/>
    </row>
    <row r="38" spans="1:14" x14ac:dyDescent="0.2">
      <c r="A38" s="1997"/>
      <c r="B38" s="838"/>
      <c r="C38" s="2428"/>
      <c r="D38" s="2428"/>
      <c r="E38" s="2428"/>
      <c r="F38" s="2428"/>
      <c r="G38" s="2428"/>
      <c r="H38" s="2428"/>
      <c r="I38" s="2428"/>
      <c r="J38" s="2428"/>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29" t="s">
        <v>2023</v>
      </c>
      <c r="D40" s="2430"/>
      <c r="E40" s="2430"/>
      <c r="F40" s="2430"/>
      <c r="G40" s="2430"/>
      <c r="H40" s="2430"/>
      <c r="I40" s="2430"/>
      <c r="J40" s="2430"/>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1" t="s">
        <v>2024</v>
      </c>
      <c r="B43" s="2432"/>
      <c r="C43" s="2432"/>
      <c r="D43" s="2432"/>
      <c r="E43" s="2432"/>
      <c r="F43" s="2432"/>
      <c r="G43" s="2432"/>
      <c r="H43" s="2432"/>
      <c r="I43" s="2432"/>
      <c r="J43" s="2432"/>
      <c r="K43" s="2432"/>
      <c r="L43" s="2432"/>
      <c r="M43" s="2432"/>
      <c r="N43" s="2433"/>
    </row>
    <row r="44" spans="1:14" x14ac:dyDescent="0.2">
      <c r="A44" s="1982"/>
      <c r="B44" s="1983"/>
      <c r="C44" s="1983"/>
      <c r="D44" s="1983"/>
      <c r="E44" s="1983"/>
      <c r="F44" s="1983"/>
      <c r="G44" s="1983"/>
      <c r="H44" s="1983"/>
      <c r="I44" s="1983"/>
      <c r="J44" s="1983"/>
      <c r="K44" s="1983"/>
      <c r="L44" s="1983"/>
      <c r="M44" s="1983"/>
      <c r="N44" s="1984"/>
    </row>
    <row r="45" spans="1:14" x14ac:dyDescent="0.2">
      <c r="A45" s="1982" t="s">
        <v>2025</v>
      </c>
      <c r="B45" s="1983"/>
      <c r="C45" s="1983"/>
      <c r="D45" s="1983"/>
      <c r="E45" s="1983"/>
      <c r="F45" s="1983"/>
      <c r="G45" s="1983"/>
      <c r="H45" s="1983"/>
      <c r="I45" s="1983"/>
      <c r="J45" s="1983"/>
      <c r="K45" s="1983"/>
      <c r="L45" s="1983"/>
      <c r="M45" s="1983"/>
      <c r="N45" s="1984"/>
    </row>
    <row r="46" spans="1:14" x14ac:dyDescent="0.2">
      <c r="A46" s="2434" t="s">
        <v>2026</v>
      </c>
      <c r="B46" s="2435"/>
      <c r="C46" s="2435"/>
      <c r="D46" s="2435"/>
      <c r="E46" s="2435"/>
      <c r="F46" s="2435"/>
      <c r="G46" s="2435"/>
      <c r="H46" s="2435"/>
      <c r="I46" s="2435"/>
      <c r="J46" s="2435"/>
      <c r="K46" s="2435"/>
      <c r="L46" s="2435"/>
      <c r="M46" s="2435"/>
      <c r="N46" s="2436"/>
    </row>
    <row r="47" spans="1:14" x14ac:dyDescent="0.2">
      <c r="A47" s="2434"/>
      <c r="B47" s="2435"/>
      <c r="C47" s="2435"/>
      <c r="D47" s="2435"/>
      <c r="E47" s="2435"/>
      <c r="F47" s="2435"/>
      <c r="G47" s="2435"/>
      <c r="H47" s="2435"/>
      <c r="I47" s="2435"/>
      <c r="J47" s="2435"/>
      <c r="K47" s="2435"/>
      <c r="L47" s="2435"/>
      <c r="M47" s="2435"/>
      <c r="N47" s="2436"/>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2042</v>
      </c>
      <c r="B49" s="2024"/>
      <c r="C49" s="2024"/>
      <c r="D49" s="2025"/>
      <c r="E49" s="2025"/>
      <c r="F49" s="2025"/>
      <c r="G49" s="2025"/>
      <c r="H49" s="2025"/>
      <c r="I49" s="2025"/>
      <c r="J49" s="2025"/>
      <c r="K49" s="2025"/>
      <c r="L49" s="2025"/>
      <c r="M49" s="2025"/>
      <c r="N49" s="2026"/>
    </row>
    <row r="50" spans="1:14" ht="15" x14ac:dyDescent="0.25">
      <c r="A50" s="2028" t="s">
        <v>2041</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37" t="str">
        <f>J6</f>
        <v xml:space="preserve">  Wilmington CUSD 209U</v>
      </c>
      <c r="M52" s="2437"/>
      <c r="N52" s="2438"/>
    </row>
    <row r="53" spans="1:14" x14ac:dyDescent="0.2">
      <c r="A53" s="1982"/>
      <c r="B53" s="1983"/>
      <c r="C53" s="1983"/>
      <c r="D53" s="1983"/>
      <c r="E53" s="1983"/>
      <c r="F53" s="1983"/>
      <c r="G53" s="1983"/>
      <c r="H53" s="1983"/>
      <c r="I53" s="1983"/>
      <c r="J53" s="1983"/>
      <c r="K53" s="1924" t="s">
        <v>369</v>
      </c>
      <c r="L53" s="2439" t="str">
        <f>J7</f>
        <v xml:space="preserve">56099209U26  </v>
      </c>
      <c r="M53" s="2439"/>
      <c r="N53" s="2440"/>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1"/>
      <c r="B55" s="2442"/>
      <c r="C55" s="2442"/>
      <c r="D55" s="1970"/>
      <c r="E55" s="1970"/>
      <c r="F55" s="1970"/>
      <c r="G55" s="2443" t="s">
        <v>2027</v>
      </c>
      <c r="H55" s="2443"/>
      <c r="I55" s="2443"/>
      <c r="J55" s="2443"/>
      <c r="K55" s="2443"/>
      <c r="L55" s="2443"/>
      <c r="M55" s="2443"/>
      <c r="N55" s="2444"/>
    </row>
    <row r="56" spans="1:14" ht="63.75" x14ac:dyDescent="0.2">
      <c r="A56" s="2445" t="s">
        <v>2028</v>
      </c>
      <c r="B56" s="2446"/>
      <c r="C56" s="2447"/>
      <c r="D56" s="1964" t="s">
        <v>2029</v>
      </c>
      <c r="E56" s="1964" t="s">
        <v>2030</v>
      </c>
      <c r="F56" s="1971"/>
      <c r="G56" s="1964" t="s">
        <v>2031</v>
      </c>
      <c r="H56" s="1964" t="s">
        <v>2032</v>
      </c>
      <c r="I56" s="1964" t="s">
        <v>2033</v>
      </c>
      <c r="J56" s="1964" t="s">
        <v>2034</v>
      </c>
      <c r="K56" s="1964" t="s">
        <v>2035</v>
      </c>
      <c r="L56" s="1964" t="s">
        <v>2036</v>
      </c>
      <c r="M56" s="1964" t="s">
        <v>2037</v>
      </c>
      <c r="N56" s="1965" t="s">
        <v>2044</v>
      </c>
    </row>
    <row r="57" spans="1:14" ht="24.75" customHeight="1" x14ac:dyDescent="0.2">
      <c r="A57" s="2448" t="s">
        <v>296</v>
      </c>
      <c r="B57" s="2449"/>
      <c r="C57" s="2449"/>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5" t="s">
        <v>2038</v>
      </c>
      <c r="B58" s="2426"/>
      <c r="C58" s="2426"/>
      <c r="D58" s="1967">
        <v>2362</v>
      </c>
      <c r="E58" s="1977">
        <f>'Expenditures 15-22'!K320</f>
        <v>0</v>
      </c>
      <c r="F58" s="1972"/>
      <c r="G58" s="2031"/>
      <c r="H58" s="2032"/>
      <c r="I58" s="2032"/>
      <c r="J58" s="2032"/>
      <c r="K58" s="2032"/>
      <c r="L58" s="2032"/>
      <c r="M58" s="2032"/>
      <c r="N58" s="1975">
        <f>IF((SUM(G58:M58))=E58,SUM(G58:M58),"Column N does not agree with Column E")</f>
        <v>0</v>
      </c>
    </row>
    <row r="59" spans="1:14" ht="24.75" customHeight="1" x14ac:dyDescent="0.2">
      <c r="A59" s="2419" t="s">
        <v>297</v>
      </c>
      <c r="B59" s="2420"/>
      <c r="C59" s="2420"/>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19" t="s">
        <v>236</v>
      </c>
      <c r="B60" s="2420"/>
      <c r="C60" s="2420"/>
      <c r="D60" s="1967">
        <v>2364</v>
      </c>
      <c r="E60" s="1977">
        <f>'Expenditures 15-22'!K322</f>
        <v>0</v>
      </c>
      <c r="F60" s="1972"/>
      <c r="G60" s="2031"/>
      <c r="H60" s="2032"/>
      <c r="I60" s="2032"/>
      <c r="J60" s="2032"/>
      <c r="K60" s="2032"/>
      <c r="L60" s="2032"/>
      <c r="M60" s="2032"/>
      <c r="N60" s="1975">
        <f t="shared" ref="N60:N67" si="4">IF((SUM(G60:M60))=E60,SUM(G60:M60),"Column N does not agree with Column E")</f>
        <v>0</v>
      </c>
    </row>
    <row r="61" spans="1:14" ht="24.75" customHeight="1" x14ac:dyDescent="0.2">
      <c r="A61" s="2419" t="s">
        <v>697</v>
      </c>
      <c r="B61" s="2420"/>
      <c r="C61" s="2420"/>
      <c r="D61" s="1967">
        <v>2365</v>
      </c>
      <c r="E61" s="1977">
        <f>'Expenditures 15-22'!K323</f>
        <v>0</v>
      </c>
      <c r="F61" s="1972"/>
      <c r="G61" s="2031"/>
      <c r="H61" s="2032"/>
      <c r="I61" s="2032"/>
      <c r="J61" s="2032"/>
      <c r="K61" s="2032"/>
      <c r="L61" s="2032"/>
      <c r="M61" s="2032"/>
      <c r="N61" s="1975">
        <f t="shared" si="4"/>
        <v>0</v>
      </c>
    </row>
    <row r="62" spans="1:14" ht="24" customHeight="1" x14ac:dyDescent="0.2">
      <c r="A62" s="2419" t="s">
        <v>237</v>
      </c>
      <c r="B62" s="2420"/>
      <c r="C62" s="2420"/>
      <c r="D62" s="1967">
        <v>2366</v>
      </c>
      <c r="E62" s="1977">
        <f>'Expenditures 15-22'!K324</f>
        <v>0</v>
      </c>
      <c r="F62" s="1972"/>
      <c r="G62" s="2031"/>
      <c r="H62" s="2032"/>
      <c r="I62" s="2032"/>
      <c r="J62" s="2032"/>
      <c r="K62" s="2032"/>
      <c r="L62" s="2032"/>
      <c r="M62" s="2032"/>
      <c r="N62" s="1975">
        <f t="shared" si="4"/>
        <v>0</v>
      </c>
    </row>
    <row r="63" spans="1:14" ht="24" customHeight="1" x14ac:dyDescent="0.2">
      <c r="A63" s="2425" t="s">
        <v>1022</v>
      </c>
      <c r="B63" s="2426"/>
      <c r="C63" s="2426"/>
      <c r="D63" s="1967">
        <v>2367</v>
      </c>
      <c r="E63" s="1977">
        <f>'Expenditures 15-22'!K325</f>
        <v>0</v>
      </c>
      <c r="F63" s="1972"/>
      <c r="G63" s="2031"/>
      <c r="H63" s="2032"/>
      <c r="I63" s="2032"/>
      <c r="J63" s="2032"/>
      <c r="K63" s="2032"/>
      <c r="L63" s="2032"/>
      <c r="M63" s="2032"/>
      <c r="N63" s="1975">
        <f t="shared" si="4"/>
        <v>0</v>
      </c>
    </row>
    <row r="64" spans="1:14" ht="24" customHeight="1" x14ac:dyDescent="0.2">
      <c r="A64" s="2419" t="s">
        <v>1023</v>
      </c>
      <c r="B64" s="2420"/>
      <c r="C64" s="2420"/>
      <c r="D64" s="1967">
        <v>2368</v>
      </c>
      <c r="E64" s="1977">
        <f>'Expenditures 15-22'!K326</f>
        <v>0</v>
      </c>
      <c r="F64" s="1972"/>
      <c r="G64" s="2031"/>
      <c r="H64" s="2032"/>
      <c r="I64" s="2032"/>
      <c r="J64" s="2032"/>
      <c r="K64" s="2032"/>
      <c r="L64" s="2032"/>
      <c r="M64" s="2032"/>
      <c r="N64" s="1975">
        <f t="shared" si="4"/>
        <v>0</v>
      </c>
    </row>
    <row r="65" spans="1:14" ht="24" customHeight="1" x14ac:dyDescent="0.2">
      <c r="A65" s="2419" t="s">
        <v>965</v>
      </c>
      <c r="B65" s="2420"/>
      <c r="C65" s="2420"/>
      <c r="D65" s="1967">
        <v>2369</v>
      </c>
      <c r="E65" s="1977">
        <f>'Expenditures 15-22'!K327</f>
        <v>0</v>
      </c>
      <c r="F65" s="1972"/>
      <c r="G65" s="2031"/>
      <c r="H65" s="2032"/>
      <c r="I65" s="2032"/>
      <c r="J65" s="2032"/>
      <c r="K65" s="2032"/>
      <c r="L65" s="2032"/>
      <c r="M65" s="2032"/>
      <c r="N65" s="1975">
        <f t="shared" si="4"/>
        <v>0</v>
      </c>
    </row>
    <row r="66" spans="1:14" ht="24" customHeight="1" x14ac:dyDescent="0.2">
      <c r="A66" s="2419" t="s">
        <v>469</v>
      </c>
      <c r="B66" s="2420"/>
      <c r="C66" s="2420"/>
      <c r="D66" s="1967">
        <v>2371</v>
      </c>
      <c r="E66" s="1977">
        <f>'Expenditures 15-22'!K328</f>
        <v>0</v>
      </c>
      <c r="F66" s="1972"/>
      <c r="G66" s="2031"/>
      <c r="H66" s="2032"/>
      <c r="I66" s="2032"/>
      <c r="J66" s="2032"/>
      <c r="K66" s="2032"/>
      <c r="L66" s="2032"/>
      <c r="M66" s="2032"/>
      <c r="N66" s="1975">
        <f t="shared" si="4"/>
        <v>0</v>
      </c>
    </row>
    <row r="67" spans="1:14" ht="24.75" customHeight="1" x14ac:dyDescent="0.2">
      <c r="A67" s="2421" t="s">
        <v>2039</v>
      </c>
      <c r="B67" s="2422"/>
      <c r="C67" s="2422"/>
      <c r="D67" s="1969">
        <v>2372</v>
      </c>
      <c r="E67" s="1978">
        <f>'Expenditures 15-22'!K329</f>
        <v>0</v>
      </c>
      <c r="F67" s="1972"/>
      <c r="G67" s="2033"/>
      <c r="H67" s="2034"/>
      <c r="I67" s="2034"/>
      <c r="J67" s="2034"/>
      <c r="K67" s="2034"/>
      <c r="L67" s="2034"/>
      <c r="M67" s="2034"/>
      <c r="N67" s="1975">
        <f t="shared" si="4"/>
        <v>0</v>
      </c>
    </row>
    <row r="68" spans="1:14" x14ac:dyDescent="0.2">
      <c r="A68" s="2423" t="s">
        <v>1151</v>
      </c>
      <c r="B68" s="2424"/>
      <c r="C68" s="2424"/>
      <c r="D68" s="1970"/>
      <c r="E68" s="1974">
        <f>SUM(E57:E67)</f>
        <v>0</v>
      </c>
      <c r="F68" s="1973"/>
      <c r="G68" s="1974">
        <f t="shared" ref="G68:N68" si="5">SUM(G57:G67)</f>
        <v>0</v>
      </c>
      <c r="H68" s="1974">
        <f t="shared" si="5"/>
        <v>0</v>
      </c>
      <c r="I68" s="1974">
        <f t="shared" si="5"/>
        <v>0</v>
      </c>
      <c r="J68" s="1974">
        <f t="shared" si="5"/>
        <v>0</v>
      </c>
      <c r="K68" s="1974">
        <f t="shared" si="5"/>
        <v>0</v>
      </c>
      <c r="L68" s="1974">
        <f t="shared" si="5"/>
        <v>0</v>
      </c>
      <c r="M68" s="1974">
        <f t="shared" si="5"/>
        <v>0</v>
      </c>
      <c r="N68" s="1988">
        <f t="shared" si="5"/>
        <v>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2040</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2094</v>
      </c>
    </row>
    <row r="6" spans="1:2" x14ac:dyDescent="0.2">
      <c r="A6" s="847">
        <v>2</v>
      </c>
      <c r="B6" s="307" t="s">
        <v>2095</v>
      </c>
    </row>
    <row r="7" spans="1:2" x14ac:dyDescent="0.2">
      <c r="A7" s="847">
        <v>3</v>
      </c>
      <c r="B7" s="307" t="s">
        <v>2096</v>
      </c>
    </row>
    <row r="8" spans="1:2" x14ac:dyDescent="0.2">
      <c r="A8" s="847">
        <v>4</v>
      </c>
      <c r="B8" s="307" t="s">
        <v>2097</v>
      </c>
    </row>
    <row r="9" spans="1:2" x14ac:dyDescent="0.2">
      <c r="A9" s="847">
        <v>5</v>
      </c>
      <c r="B9" s="307" t="s">
        <v>2098</v>
      </c>
    </row>
    <row r="10" spans="1:2" x14ac:dyDescent="0.2">
      <c r="A10" s="847">
        <v>6</v>
      </c>
      <c r="B10" s="307" t="s">
        <v>2099</v>
      </c>
    </row>
    <row r="11" spans="1:2" x14ac:dyDescent="0.2">
      <c r="A11" s="847">
        <v>7</v>
      </c>
      <c r="B11" s="307" t="s">
        <v>2100</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Wilmington CUSD 209U</v>
      </c>
    </row>
    <row r="65" spans="2:2" x14ac:dyDescent="0.2">
      <c r="B65" s="849" t="str">
        <f>COVER!A13</f>
        <v xml:space="preserve">56099209U26  </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A13" sqref="A13"/>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67" t="s">
        <v>1665</v>
      </c>
      <c r="B18" s="246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1669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53"/>
      <c r="H2" s="853"/>
    </row>
    <row r="3" spans="1:8" ht="57" customHeight="1" x14ac:dyDescent="0.2">
      <c r="A3" s="2481" t="s">
        <v>1969</v>
      </c>
      <c r="B3" s="2482"/>
      <c r="C3" s="2482"/>
      <c r="D3" s="2482"/>
      <c r="E3" s="2482"/>
      <c r="F3" s="2483"/>
      <c r="G3" s="853"/>
      <c r="H3" s="853"/>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53"/>
      <c r="H4" s="853"/>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53"/>
      <c r="H5" s="853"/>
    </row>
    <row r="6" spans="1:8" s="854" customFormat="1" ht="41.25" customHeight="1" x14ac:dyDescent="0.2">
      <c r="A6" s="2484" t="s">
        <v>1670</v>
      </c>
      <c r="B6" s="2485"/>
      <c r="C6" s="2485"/>
      <c r="D6" s="2485"/>
      <c r="E6" s="2485"/>
      <c r="F6" s="248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12651361</v>
      </c>
      <c r="C8" s="1813">
        <f>'Acct Summary 7-8'!D8</f>
        <v>1916947</v>
      </c>
      <c r="D8" s="1813">
        <f>'Acct Summary 7-8'!F8</f>
        <v>1216844</v>
      </c>
      <c r="E8" s="1813">
        <f>'Acct Summary 7-8'!I8</f>
        <v>53020</v>
      </c>
      <c r="F8" s="1813">
        <f>SUM(B8:E8)</f>
        <v>15838172</v>
      </c>
    </row>
    <row r="9" spans="1:8" s="858" customFormat="1" ht="14.25" customHeight="1" thickBot="1" x14ac:dyDescent="0.25">
      <c r="A9" s="857" t="s">
        <v>1353</v>
      </c>
      <c r="B9" s="1814">
        <f>'Acct Summary 7-8'!C17</f>
        <v>12812006</v>
      </c>
      <c r="C9" s="1814">
        <f>'Acct Summary 7-8'!D17</f>
        <v>1980660</v>
      </c>
      <c r="D9" s="1814">
        <f>'Acct Summary 7-8'!F17</f>
        <v>1530693</v>
      </c>
      <c r="E9" s="1813"/>
      <c r="F9" s="1813">
        <f>SUM(B9:E9)</f>
        <v>16323359</v>
      </c>
    </row>
    <row r="10" spans="1:8" s="858" customFormat="1" ht="14.25" thickTop="1" thickBot="1" x14ac:dyDescent="0.25">
      <c r="A10" s="859" t="s">
        <v>1354</v>
      </c>
      <c r="B10" s="1815">
        <f>(B8-B9)</f>
        <v>-160645</v>
      </c>
      <c r="C10" s="1815">
        <f>(C8-C9)</f>
        <v>-63713</v>
      </c>
      <c r="D10" s="1815">
        <f>(D8-D9)</f>
        <v>-313849</v>
      </c>
      <c r="E10" s="1814">
        <f>(E8-E9)</f>
        <v>53020</v>
      </c>
      <c r="F10" s="1816">
        <f>SUM(F8-F9)</f>
        <v>-485187</v>
      </c>
    </row>
    <row r="11" spans="1:8" s="858" customFormat="1" ht="14.25" thickTop="1" thickBot="1" x14ac:dyDescent="0.25">
      <c r="A11" s="860" t="s">
        <v>1900</v>
      </c>
      <c r="B11" s="1817">
        <f>'Acct Summary 7-8'!C81</f>
        <v>11518891</v>
      </c>
      <c r="C11" s="1817">
        <f>'Acct Summary 7-8'!D81</f>
        <v>1163016</v>
      </c>
      <c r="D11" s="1817">
        <f>'Acct Summary 7-8'!F81</f>
        <v>1110419</v>
      </c>
      <c r="E11" s="1817">
        <f>'Acct Summary 7-8'!I81</f>
        <v>1812728</v>
      </c>
      <c r="F11" s="1818">
        <f>SUM(B11:E11)</f>
        <v>15605054</v>
      </c>
    </row>
    <row r="12" spans="1:8" ht="16.5" customHeight="1" thickTop="1" x14ac:dyDescent="0.2">
      <c r="A12" s="861"/>
      <c r="B12" s="862"/>
      <c r="C12" s="2472" t="str">
        <f>IF(AND(F10&lt;0,F11&gt;=0,ABS(F10*3)&gt;ABS(F11)),A16,IF(AND(F10&lt;0,F11&gt;0,ABS(F10*3)&lt;=ABS(F11)),A17,IF(AND(F10&lt;0,F11&lt;0),A16,IF(F11=0,A19,A18))))</f>
        <v>Unbalanced -  however, a deficit reduction plan is not required at this time.</v>
      </c>
      <c r="D12" s="2473"/>
      <c r="E12" s="2473"/>
      <c r="F12" s="2474"/>
    </row>
    <row r="13" spans="1:8" ht="19.5" customHeight="1" x14ac:dyDescent="0.2">
      <c r="A13" s="863"/>
      <c r="B13" s="864"/>
      <c r="C13" s="2472"/>
      <c r="D13" s="2473"/>
      <c r="E13" s="2473"/>
      <c r="F13" s="2474"/>
      <c r="H13" s="853"/>
    </row>
    <row r="14" spans="1:8" ht="19.5" customHeight="1" x14ac:dyDescent="0.2">
      <c r="A14" s="863"/>
      <c r="B14" s="864"/>
      <c r="C14" s="2472"/>
      <c r="D14" s="2473"/>
      <c r="E14" s="2473"/>
      <c r="F14" s="2474"/>
      <c r="H14" s="853"/>
    </row>
    <row r="15" spans="1:8" ht="17.25" customHeight="1" x14ac:dyDescent="0.2">
      <c r="A15" s="863"/>
      <c r="B15" s="864"/>
      <c r="C15" s="2475"/>
      <c r="D15" s="2476"/>
      <c r="E15" s="2476"/>
      <c r="F15" s="2477"/>
      <c r="H15" s="853"/>
    </row>
    <row r="16" spans="1:8" s="288" customFormat="1" ht="51.75" hidden="1" customHeight="1" x14ac:dyDescent="0.2">
      <c r="A16" s="2471" t="s">
        <v>1666</v>
      </c>
      <c r="B16" s="2471"/>
      <c r="C16" s="2471"/>
      <c r="D16" s="2471"/>
      <c r="E16" s="247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3" t="s">
        <v>660</v>
      </c>
      <c r="B3" s="2494"/>
      <c r="C3" s="2494"/>
      <c r="D3" s="2495"/>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4" t="s">
        <v>1487</v>
      </c>
      <c r="D7" s="2505"/>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6" t="s">
        <v>1001</v>
      </c>
      <c r="B15" s="2497"/>
      <c r="C15" s="2497"/>
      <c r="D15" s="2498"/>
    </row>
    <row r="16" spans="1:4" s="542" customFormat="1" ht="24" customHeight="1" x14ac:dyDescent="0.2">
      <c r="A16" s="2499" t="s">
        <v>658</v>
      </c>
      <c r="B16" s="2500"/>
      <c r="C16" s="2500"/>
      <c r="D16" s="2501"/>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8" t="s">
        <v>311</v>
      </c>
      <c r="D21" s="2509"/>
    </row>
    <row r="22" spans="1:10" ht="12.75" x14ac:dyDescent="0.2">
      <c r="A22" s="918"/>
      <c r="B22" s="919">
        <v>2</v>
      </c>
      <c r="C22" s="2506" t="s">
        <v>1507</v>
      </c>
      <c r="D22" s="250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0" t="s">
        <v>533</v>
      </c>
      <c r="D43" s="251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2" t="s">
        <v>779</v>
      </c>
      <c r="D56" s="250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2" t="s">
        <v>1674</v>
      </c>
      <c r="D70" s="250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t="str">
        <f>COVER!A13</f>
        <v xml:space="preserve">56099209U26  </v>
      </c>
      <c r="E2" s="1542">
        <v>2020</v>
      </c>
      <c r="F2" s="1542">
        <v>1</v>
      </c>
      <c r="G2" s="1899">
        <v>101000300</v>
      </c>
    </row>
    <row r="3" spans="1:7" ht="15" x14ac:dyDescent="0.25">
      <c r="A3" t="s">
        <v>950</v>
      </c>
      <c r="B3" s="135" t="str">
        <f>COVER!A15</f>
        <v>Will</v>
      </c>
      <c r="E3" s="1830" t="s">
        <v>1968</v>
      </c>
      <c r="F3" s="1830" t="s">
        <v>1967</v>
      </c>
      <c r="G3" s="1899">
        <v>101000400</v>
      </c>
    </row>
    <row r="4" spans="1:7" ht="15" x14ac:dyDescent="0.25">
      <c r="A4" t="s">
        <v>1000</v>
      </c>
      <c r="B4" s="135" t="str">
        <f>COVER!A17</f>
        <v xml:space="preserve">  Wilmington CUSD 209U</v>
      </c>
      <c r="E4" s="1828">
        <v>44119</v>
      </c>
      <c r="F4" s="1829">
        <v>44151</v>
      </c>
      <c r="G4" s="1899">
        <v>101000600</v>
      </c>
    </row>
    <row r="5" spans="1:7" ht="15" x14ac:dyDescent="0.25">
      <c r="A5" t="s">
        <v>699</v>
      </c>
      <c r="B5" s="135" t="str">
        <f>COVER!A38</f>
        <v>Dr. Matt Swick</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066-005100</v>
      </c>
      <c r="G15" s="1899">
        <v>402100400</v>
      </c>
    </row>
    <row r="16" spans="1:7" ht="15" x14ac:dyDescent="0.25">
      <c r="A16" t="s">
        <v>419</v>
      </c>
      <c r="B16" s="135" t="str">
        <f>COVER!T13</f>
        <v>Mack &amp; Associates, P.C.</v>
      </c>
      <c r="G16" s="1899">
        <v>402100600</v>
      </c>
    </row>
    <row r="17" spans="1:7" ht="15" x14ac:dyDescent="0.25">
      <c r="A17" t="s">
        <v>878</v>
      </c>
      <c r="B17" s="135" t="str">
        <f>COVER!T15</f>
        <v>Tawnya Mack, CPA</v>
      </c>
      <c r="G17" s="1899">
        <v>402100800</v>
      </c>
    </row>
    <row r="18" spans="1:7" ht="15" x14ac:dyDescent="0.25">
      <c r="A18" t="s">
        <v>1140</v>
      </c>
      <c r="B18" s="135" t="str">
        <f>COVER!T17</f>
        <v>116 E. Washington St., Suite One</v>
      </c>
      <c r="G18" s="1899">
        <v>102200300</v>
      </c>
    </row>
    <row r="19" spans="1:7" ht="15" x14ac:dyDescent="0.25">
      <c r="A19" t="s">
        <v>880</v>
      </c>
      <c r="B19" s="135" t="str">
        <f>COVER!T25</f>
        <v>tmack@mackcpas.com</v>
      </c>
      <c r="G19" s="1899">
        <v>102200400</v>
      </c>
    </row>
    <row r="20" spans="1:7" ht="15" x14ac:dyDescent="0.25">
      <c r="A20" t="s">
        <v>881</v>
      </c>
      <c r="B20" s="135" t="str">
        <f>COVER!T19</f>
        <v xml:space="preserve">Morris </v>
      </c>
      <c r="G20" s="1899">
        <v>102200600</v>
      </c>
    </row>
    <row r="21" spans="1:7" ht="15" x14ac:dyDescent="0.25">
      <c r="A21" t="s">
        <v>476</v>
      </c>
      <c r="B21" s="135" t="str">
        <f>COVER!X19</f>
        <v>IL</v>
      </c>
      <c r="G21" s="1899">
        <v>102200800</v>
      </c>
    </row>
    <row r="22" spans="1:7" ht="15" x14ac:dyDescent="0.25">
      <c r="A22" t="s">
        <v>882</v>
      </c>
      <c r="B22" s="135">
        <f>COVER!Z19</f>
        <v>60450</v>
      </c>
      <c r="G22" s="1899">
        <v>102300300</v>
      </c>
    </row>
    <row r="23" spans="1:7" ht="15" x14ac:dyDescent="0.25">
      <c r="A23" t="s">
        <v>1142</v>
      </c>
      <c r="B23" s="135" t="str">
        <f>COVER!T21</f>
        <v>815-942-3306</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11518891</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10692608</v>
      </c>
      <c r="D92" s="2" t="str">
        <f t="shared" si="0"/>
        <v>Error?</v>
      </c>
      <c r="G92" s="1899">
        <v>102640600</v>
      </c>
    </row>
    <row r="93" spans="1:7" ht="15" x14ac:dyDescent="0.25">
      <c r="A93" s="5">
        <v>32</v>
      </c>
      <c r="B93" s="1832">
        <f>'Assets-Liab 5-6'!C41</f>
        <v>11518891</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1163016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946257</v>
      </c>
      <c r="D123" s="2" t="str">
        <f t="shared" si="0"/>
        <v>Error?</v>
      </c>
      <c r="G123" s="1899">
        <v>203000400</v>
      </c>
    </row>
    <row r="124" spans="1:7" ht="15" x14ac:dyDescent="0.25">
      <c r="A124" s="5">
        <v>63</v>
      </c>
      <c r="B124" s="1832">
        <f>'Assets-Liab 5-6'!D41</f>
        <v>1163016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1535533</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1535533</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1110419</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1110419</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586802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586802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1594964</v>
      </c>
      <c r="D273" s="2" t="str">
        <f t="shared" si="3"/>
        <v>Error?</v>
      </c>
    </row>
    <row r="274" spans="1:4" x14ac:dyDescent="0.2">
      <c r="A274" s="5">
        <v>213</v>
      </c>
      <c r="B274" s="1832">
        <f>'Assets-Liab 5-6'!M17</f>
        <v>30352170</v>
      </c>
      <c r="D274" s="2" t="str">
        <f t="shared" si="3"/>
        <v>Error?</v>
      </c>
    </row>
    <row r="275" spans="1:4" x14ac:dyDescent="0.2">
      <c r="A275" s="5">
        <v>214</v>
      </c>
      <c r="B275" s="1832">
        <f>'Assets-Liab 5-6'!M18</f>
        <v>0</v>
      </c>
      <c r="D275" s="2" t="str">
        <f t="shared" si="3"/>
        <v>Error?</v>
      </c>
    </row>
    <row r="276" spans="1:4" x14ac:dyDescent="0.2">
      <c r="A276" s="5">
        <v>215</v>
      </c>
      <c r="B276" s="1832">
        <f>'Assets-Liab 5-6'!M19</f>
        <v>173874</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32121008</v>
      </c>
      <c r="C279" s="2" t="s">
        <v>569</v>
      </c>
      <c r="D279" s="2" t="str">
        <f t="shared" si="3"/>
        <v>Error?</v>
      </c>
    </row>
    <row r="280" spans="1:4" x14ac:dyDescent="0.2">
      <c r="A280" s="5">
        <v>219</v>
      </c>
      <c r="B280" s="1832">
        <f>'Assets-Liab 5-6'!M40</f>
        <v>32121008</v>
      </c>
      <c r="D280" s="2" t="str">
        <f t="shared" si="3"/>
        <v>Error?</v>
      </c>
    </row>
    <row r="281" spans="1:4" x14ac:dyDescent="0.2">
      <c r="A281" s="5">
        <v>220</v>
      </c>
      <c r="B281" s="1832">
        <f>'Assets-Liab 5-6'!M41</f>
        <v>32121008</v>
      </c>
      <c r="C281" s="2" t="s">
        <v>569</v>
      </c>
      <c r="D281" s="2" t="str">
        <f t="shared" si="3"/>
        <v>Error?</v>
      </c>
    </row>
    <row r="282" spans="1:4" x14ac:dyDescent="0.2">
      <c r="A282" s="5">
        <v>221</v>
      </c>
      <c r="B282" s="1832">
        <f>'Assets-Liab 5-6'!N21</f>
        <v>1535533</v>
      </c>
      <c r="D282" s="2" t="str">
        <f t="shared" si="3"/>
        <v>Error?</v>
      </c>
    </row>
    <row r="283" spans="1:4" x14ac:dyDescent="0.2">
      <c r="A283" s="5">
        <v>222</v>
      </c>
      <c r="B283" s="1832">
        <f>'Assets-Liab 5-6'!N22</f>
        <v>25570465</v>
      </c>
      <c r="D283" s="2" t="str">
        <f t="shared" si="3"/>
        <v>Error?</v>
      </c>
    </row>
    <row r="284" spans="1:4" x14ac:dyDescent="0.2">
      <c r="A284" s="5">
        <v>223</v>
      </c>
      <c r="B284" s="1832">
        <f>'Assets-Liab 5-6'!N23</f>
        <v>27105998</v>
      </c>
      <c r="C284" s="2" t="s">
        <v>569</v>
      </c>
      <c r="D284" s="2" t="str">
        <f t="shared" si="3"/>
        <v>Error?</v>
      </c>
    </row>
    <row r="285" spans="1:4" x14ac:dyDescent="0.2">
      <c r="A285" s="5">
        <v>224</v>
      </c>
      <c r="B285" s="1832">
        <f>'Assets-Liab 5-6'!N36</f>
        <v>27105998</v>
      </c>
      <c r="D285" s="2" t="str">
        <f t="shared" si="3"/>
        <v>Error?</v>
      </c>
    </row>
    <row r="286" spans="1:4" x14ac:dyDescent="0.2">
      <c r="A286" s="10">
        <v>225</v>
      </c>
      <c r="B286" s="1832"/>
      <c r="D286" s="2" t="str">
        <f t="shared" si="3"/>
        <v>OK</v>
      </c>
    </row>
    <row r="287" spans="1:4" x14ac:dyDescent="0.2">
      <c r="A287" s="5">
        <v>226</v>
      </c>
      <c r="B287" s="1832">
        <f>'Assets-Liab 5-6'!N37</f>
        <v>27105998</v>
      </c>
      <c r="C287" s="2" t="s">
        <v>569</v>
      </c>
      <c r="D287" s="2" t="str">
        <f t="shared" si="3"/>
        <v>Error?</v>
      </c>
    </row>
    <row r="288" spans="1:4" x14ac:dyDescent="0.2">
      <c r="A288" s="5">
        <v>227</v>
      </c>
      <c r="B288" s="1832">
        <f>'Assets-Liab 5-6'!N41</f>
        <v>27105998</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14964</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3426970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56689</v>
      </c>
      <c r="D717" s="2" t="str">
        <f t="shared" si="10"/>
        <v>Error?</v>
      </c>
    </row>
    <row r="718" spans="1:4" x14ac:dyDescent="0.2">
      <c r="A718" s="5">
        <v>657</v>
      </c>
      <c r="B718" s="1832">
        <f>'Expenditures 15-22'!C14</f>
        <v>313422</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4049882</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138605</v>
      </c>
      <c r="D722" s="2" t="str">
        <f t="shared" si="10"/>
        <v>Error?</v>
      </c>
    </row>
    <row r="723" spans="1:4" x14ac:dyDescent="0.2">
      <c r="A723" s="5">
        <v>662</v>
      </c>
      <c r="B723" s="1832">
        <f>'Expenditures 15-22'!C38</f>
        <v>71882</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2537</v>
      </c>
      <c r="D726" s="2" t="str">
        <f t="shared" si="10"/>
        <v>Error?</v>
      </c>
    </row>
    <row r="727" spans="1:4" x14ac:dyDescent="0.2">
      <c r="A727" s="5">
        <v>666</v>
      </c>
      <c r="B727" s="1832">
        <f>'Expenditures 15-22'!C42</f>
        <v>213024</v>
      </c>
      <c r="C727" s="2" t="s">
        <v>569</v>
      </c>
      <c r="D727" s="2" t="str">
        <f t="shared" si="10"/>
        <v>Error?</v>
      </c>
    </row>
    <row r="728" spans="1:4" x14ac:dyDescent="0.2">
      <c r="A728" s="5">
        <v>667</v>
      </c>
      <c r="B728" s="1832">
        <f>'Expenditures 15-22'!C44</f>
        <v>138736</v>
      </c>
      <c r="D728" s="2" t="str">
        <f t="shared" si="10"/>
        <v>Error?</v>
      </c>
    </row>
    <row r="729" spans="1:4" x14ac:dyDescent="0.2">
      <c r="A729" s="5">
        <v>668</v>
      </c>
      <c r="B729" s="1832">
        <f>'Expenditures 15-22'!C45</f>
        <v>229823</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368559</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86076</v>
      </c>
      <c r="D733" s="2" t="str">
        <f t="shared" si="10"/>
        <v>Error?</v>
      </c>
    </row>
    <row r="734" spans="1:4" x14ac:dyDescent="0.2">
      <c r="A734" s="5">
        <v>673</v>
      </c>
      <c r="B734" s="1832">
        <f>'Expenditures 15-22'!C53</f>
        <v>86076</v>
      </c>
      <c r="C734" s="2" t="s">
        <v>569</v>
      </c>
      <c r="D734" s="2" t="str">
        <f t="shared" si="10"/>
        <v>Error?</v>
      </c>
    </row>
    <row r="735" spans="1:4" x14ac:dyDescent="0.2">
      <c r="A735" s="5">
        <v>674</v>
      </c>
      <c r="B735" s="1832">
        <f>'Expenditures 15-22'!C55</f>
        <v>780386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780386</v>
      </c>
      <c r="C737" s="2" t="s">
        <v>569</v>
      </c>
      <c r="D737" s="2" t="str">
        <f t="shared" si="10"/>
        <v>Error?</v>
      </c>
    </row>
    <row r="738" spans="1:4" x14ac:dyDescent="0.2">
      <c r="A738" s="5">
        <v>677</v>
      </c>
      <c r="B738" s="1832">
        <f>'Expenditures 15-22'!C59</f>
        <v>82647</v>
      </c>
      <c r="D738" s="2" t="str">
        <f t="shared" si="10"/>
        <v>Error?</v>
      </c>
    </row>
    <row r="739" spans="1:4" x14ac:dyDescent="0.2">
      <c r="A739" s="5">
        <v>678</v>
      </c>
      <c r="B739" s="1832">
        <f>'Expenditures 15-22'!C60</f>
        <v>186409</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303773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572829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2020874</v>
      </c>
      <c r="C755" s="2" t="s">
        <v>569</v>
      </c>
      <c r="D755" s="2" t="str">
        <f t="shared" si="10"/>
        <v>Error?</v>
      </c>
    </row>
    <row r="756" spans="1:4" x14ac:dyDescent="0.2">
      <c r="A756" s="5">
        <v>695</v>
      </c>
      <c r="B756" s="1832">
        <f>'Expenditures 15-22'!C75</f>
        <v>10036</v>
      </c>
      <c r="D756" s="2" t="str">
        <f t="shared" si="10"/>
        <v>Error?</v>
      </c>
    </row>
    <row r="757" spans="1:4" x14ac:dyDescent="0.2">
      <c r="A757" s="5">
        <v>696</v>
      </c>
      <c r="B757" s="1832">
        <f>'Expenditures 15-22'!C114</f>
        <v>6080792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953836</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13082</v>
      </c>
      <c r="D775" s="2" t="str">
        <f t="shared" si="11"/>
        <v>Error?</v>
      </c>
    </row>
    <row r="776" spans="1:4" x14ac:dyDescent="0.2">
      <c r="A776" s="5">
        <v>715</v>
      </c>
      <c r="B776" s="1832">
        <f>'Expenditures 15-22'!D14</f>
        <v>16582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1022225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29463</v>
      </c>
      <c r="D780" s="2" t="str">
        <f t="shared" si="11"/>
        <v>Error?</v>
      </c>
    </row>
    <row r="781" spans="1:4" x14ac:dyDescent="0.2">
      <c r="A781" s="5">
        <v>720</v>
      </c>
      <c r="B781" s="1832">
        <f>'Expenditures 15-22'!D38</f>
        <v>23863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53326</v>
      </c>
      <c r="C785" s="2" t="s">
        <v>569</v>
      </c>
      <c r="D785" s="2" t="str">
        <f t="shared" si="11"/>
        <v>Error?</v>
      </c>
    </row>
    <row r="786" spans="1:4" x14ac:dyDescent="0.2">
      <c r="A786" s="5">
        <v>725</v>
      </c>
      <c r="B786" s="1832">
        <f>'Expenditures 15-22'!D44</f>
        <v>43154</v>
      </c>
      <c r="D786" s="2" t="str">
        <f t="shared" si="11"/>
        <v>Error?</v>
      </c>
    </row>
    <row r="787" spans="1:4" x14ac:dyDescent="0.2">
      <c r="A787" s="5">
        <v>726</v>
      </c>
      <c r="B787" s="1832">
        <f>'Expenditures 15-22'!D45</f>
        <v>117413</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160567</v>
      </c>
      <c r="C789" s="2" t="s">
        <v>569</v>
      </c>
      <c r="D789" s="2" t="str">
        <f t="shared" si="11"/>
        <v>Error?</v>
      </c>
    </row>
    <row r="790" spans="1:4" x14ac:dyDescent="0.2">
      <c r="A790" s="5">
        <v>729</v>
      </c>
      <c r="B790" s="1832">
        <f>'Expenditures 15-22'!D49</f>
        <v>7351</v>
      </c>
      <c r="D790" s="2" t="str">
        <f t="shared" si="11"/>
        <v>Error?</v>
      </c>
    </row>
    <row r="791" spans="1:4" x14ac:dyDescent="0.2">
      <c r="A791" s="5">
        <v>730</v>
      </c>
      <c r="B791" s="1832">
        <f>'Expenditures 15-22'!D50</f>
        <v>23194</v>
      </c>
      <c r="D791" s="2" t="str">
        <f t="shared" si="11"/>
        <v>Error?</v>
      </c>
    </row>
    <row r="792" spans="1:4" x14ac:dyDescent="0.2">
      <c r="A792" s="5">
        <v>731</v>
      </c>
      <c r="B792" s="1832">
        <f>'Expenditures 15-22'!D53</f>
        <v>30545</v>
      </c>
      <c r="C792" s="2" t="s">
        <v>569</v>
      </c>
      <c r="D792" s="2" t="str">
        <f t="shared" si="11"/>
        <v>Error?</v>
      </c>
    </row>
    <row r="793" spans="1:4" x14ac:dyDescent="0.2">
      <c r="A793" s="5">
        <v>732</v>
      </c>
      <c r="B793" s="1832">
        <f>'Expenditures 15-22'!D55</f>
        <v>254856</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254856</v>
      </c>
      <c r="C795" s="2" t="s">
        <v>569</v>
      </c>
      <c r="D795" s="2" t="str">
        <f t="shared" si="11"/>
        <v>Error?</v>
      </c>
    </row>
    <row r="796" spans="1:4" x14ac:dyDescent="0.2">
      <c r="A796" s="5">
        <v>735</v>
      </c>
      <c r="B796" s="1832">
        <f>'Expenditures 15-22'!D59</f>
        <v>22808</v>
      </c>
      <c r="D796" s="2" t="str">
        <f t="shared" si="11"/>
        <v>Error?</v>
      </c>
    </row>
    <row r="797" spans="1:4" x14ac:dyDescent="0.2">
      <c r="A797" s="5">
        <v>736</v>
      </c>
      <c r="B797" s="1832">
        <f>'Expenditures 15-22'!D60</f>
        <v>55427</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41034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119269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66915</v>
      </c>
      <c r="D812" s="2" t="str">
        <f t="shared" si="11"/>
        <v>Error?</v>
      </c>
    </row>
    <row r="813" spans="1:4" x14ac:dyDescent="0.2">
      <c r="A813" s="5">
        <v>752</v>
      </c>
      <c r="B813" s="1832">
        <f>'Expenditures 15-22'!D74</f>
        <v>685478</v>
      </c>
      <c r="C813" s="2" t="s">
        <v>569</v>
      </c>
      <c r="D813" s="2" t="str">
        <f t="shared" si="11"/>
        <v>Error?</v>
      </c>
    </row>
    <row r="814" spans="1:4" x14ac:dyDescent="0.2">
      <c r="A814" s="5">
        <v>753</v>
      </c>
      <c r="B814" s="1832">
        <f>'Expenditures 15-22'!D75</f>
        <v>1909</v>
      </c>
      <c r="D814" s="2" t="str">
        <f t="shared" si="11"/>
        <v>Error?</v>
      </c>
    </row>
    <row r="815" spans="1:4" x14ac:dyDescent="0.2">
      <c r="A815" s="5">
        <v>754</v>
      </c>
      <c r="B815" s="1832">
        <f>'Expenditures 15-22'!D114</f>
        <v>1709612</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3160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2860</v>
      </c>
      <c r="D833" s="2" t="str">
        <f t="shared" si="12"/>
        <v>Error?</v>
      </c>
    </row>
    <row r="834" spans="1:4" x14ac:dyDescent="0.2">
      <c r="A834" s="5">
        <v>773</v>
      </c>
      <c r="B834" s="1832">
        <f>'Expenditures 15-22'!E14</f>
        <v>39685</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46467</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563</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3068</v>
      </c>
      <c r="D842" s="2" t="str">
        <f t="shared" si="12"/>
        <v>Error?</v>
      </c>
    </row>
    <row r="843" spans="1:4" x14ac:dyDescent="0.2">
      <c r="A843" s="5">
        <v>782</v>
      </c>
      <c r="B843" s="1832">
        <f>'Expenditures 15-22'!E42</f>
        <v>3631</v>
      </c>
      <c r="C843" s="2" t="s">
        <v>569</v>
      </c>
      <c r="D843" s="2" t="str">
        <f t="shared" si="12"/>
        <v>Error?</v>
      </c>
    </row>
    <row r="844" spans="1:4" x14ac:dyDescent="0.2">
      <c r="A844" s="5">
        <v>783</v>
      </c>
      <c r="B844" s="1832">
        <f>'Expenditures 15-22'!E44</f>
        <v>6406</v>
      </c>
      <c r="D844" s="2" t="str">
        <f t="shared" si="12"/>
        <v>Error?</v>
      </c>
    </row>
    <row r="845" spans="1:4" x14ac:dyDescent="0.2">
      <c r="A845" s="5">
        <v>784</v>
      </c>
      <c r="B845" s="1832">
        <f>'Expenditures 15-22'!E45</f>
        <v>58355</v>
      </c>
      <c r="D845" s="2" t="str">
        <f t="shared" si="12"/>
        <v>Error?</v>
      </c>
    </row>
    <row r="846" spans="1:4" x14ac:dyDescent="0.2">
      <c r="A846" s="5">
        <v>785</v>
      </c>
      <c r="B846" s="1832">
        <f>'Expenditures 15-22'!E46</f>
        <v>10683</v>
      </c>
      <c r="D846" s="2" t="str">
        <f t="shared" si="12"/>
        <v>Error?</v>
      </c>
    </row>
    <row r="847" spans="1:4" x14ac:dyDescent="0.2">
      <c r="A847" s="5">
        <v>786</v>
      </c>
      <c r="B847" s="1832">
        <f>'Expenditures 15-22'!E47</f>
        <v>75444</v>
      </c>
      <c r="C847" s="2" t="s">
        <v>569</v>
      </c>
      <c r="D847" s="2" t="str">
        <f t="shared" si="12"/>
        <v>Error?</v>
      </c>
    </row>
    <row r="848" spans="1:4" x14ac:dyDescent="0.2">
      <c r="A848" s="5">
        <v>787</v>
      </c>
      <c r="B848" s="1832">
        <f>'Expenditures 15-22'!E49</f>
        <v>87246</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87246</v>
      </c>
      <c r="C850" s="2" t="s">
        <v>569</v>
      </c>
      <c r="D850" s="2" t="str">
        <f t="shared" si="12"/>
        <v>Error?</v>
      </c>
    </row>
    <row r="851" spans="1:4" x14ac:dyDescent="0.2">
      <c r="A851" s="5">
        <v>790</v>
      </c>
      <c r="B851" s="1832">
        <f>'Expenditures 15-22'!E55</f>
        <v>4720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4720</v>
      </c>
      <c r="C853" s="2" t="s">
        <v>569</v>
      </c>
      <c r="D853" s="2" t="str">
        <f t="shared" si="12"/>
        <v>Error?</v>
      </c>
    </row>
    <row r="854" spans="1:4" x14ac:dyDescent="0.2">
      <c r="A854" s="5">
        <v>793</v>
      </c>
      <c r="B854" s="1832">
        <f>'Expenditures 15-22'!E59</f>
        <v>340</v>
      </c>
      <c r="D854" s="2" t="str">
        <f t="shared" si="12"/>
        <v>Error?</v>
      </c>
    </row>
    <row r="855" spans="1:4" x14ac:dyDescent="0.2">
      <c r="A855" s="5">
        <v>794</v>
      </c>
      <c r="B855" s="1832">
        <f>'Expenditures 15-22'!E60</f>
        <v>10986</v>
      </c>
      <c r="D855" s="2" t="str">
        <f t="shared" si="12"/>
        <v>Error?</v>
      </c>
    </row>
    <row r="856" spans="1:4" x14ac:dyDescent="0.2">
      <c r="A856" s="5">
        <v>795</v>
      </c>
      <c r="B856" s="1832">
        <f>'Expenditures 15-22'!E61</f>
        <v>10570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394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22290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193331</v>
      </c>
      <c r="C871" s="2" t="s">
        <v>569</v>
      </c>
      <c r="D871" s="2" t="str">
        <f t="shared" si="12"/>
        <v>Error?</v>
      </c>
    </row>
    <row r="872" spans="1:4" x14ac:dyDescent="0.2">
      <c r="A872" s="5">
        <v>811</v>
      </c>
      <c r="B872" s="1832">
        <f>'Expenditures 15-22'!E75</f>
        <v>505</v>
      </c>
      <c r="D872" s="2" t="str">
        <f t="shared" si="12"/>
        <v>Error?</v>
      </c>
    </row>
    <row r="873" spans="1:4" x14ac:dyDescent="0.2">
      <c r="A873" s="5">
        <v>812</v>
      </c>
      <c r="B873" s="1832">
        <f>'Expenditures 15-22'!E114</f>
        <v>2836093</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80543</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190809</v>
      </c>
      <c r="D891" s="2" t="str">
        <f t="shared" si="12"/>
        <v>Error?</v>
      </c>
    </row>
    <row r="892" spans="1:4" x14ac:dyDescent="0.2">
      <c r="A892" s="5">
        <v>831</v>
      </c>
      <c r="B892" s="1832">
        <f>'Expenditures 15-22'!F14</f>
        <v>37652</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389378</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815</v>
      </c>
      <c r="D896" s="2" t="str">
        <f t="shared" si="13"/>
        <v>Error?</v>
      </c>
    </row>
    <row r="897" spans="1:4" x14ac:dyDescent="0.2">
      <c r="A897" s="5">
        <v>836</v>
      </c>
      <c r="B897" s="1832">
        <f>'Expenditures 15-22'!F38</f>
        <v>2953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966</v>
      </c>
      <c r="D900" s="2" t="str">
        <f t="shared" si="13"/>
        <v>Error?</v>
      </c>
    </row>
    <row r="901" spans="1:4" x14ac:dyDescent="0.2">
      <c r="A901" s="5">
        <v>840</v>
      </c>
      <c r="B901" s="1832">
        <f>'Expenditures 15-22'!F42</f>
        <v>4734</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142583</v>
      </c>
      <c r="D903" s="2" t="str">
        <f t="shared" si="13"/>
        <v>Error?</v>
      </c>
    </row>
    <row r="904" spans="1:4" x14ac:dyDescent="0.2">
      <c r="A904" s="5">
        <v>843</v>
      </c>
      <c r="B904" s="1832">
        <f>'Expenditures 15-22'!F46</f>
        <v>1</v>
      </c>
      <c r="D904" s="2" t="str">
        <f t="shared" si="13"/>
        <v>Error?</v>
      </c>
    </row>
    <row r="905" spans="1:4" x14ac:dyDescent="0.2">
      <c r="A905" s="5">
        <v>844</v>
      </c>
      <c r="B905" s="1832">
        <f>'Expenditures 15-22'!F47</f>
        <v>142584</v>
      </c>
      <c r="C905" s="2" t="s">
        <v>569</v>
      </c>
      <c r="D905" s="2" t="str">
        <f t="shared" si="13"/>
        <v>Error?</v>
      </c>
    </row>
    <row r="906" spans="1:4" x14ac:dyDescent="0.2">
      <c r="A906" s="5">
        <v>845</v>
      </c>
      <c r="B906" s="1832">
        <f>'Expenditures 15-22'!F49</f>
        <v>16708</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16708</v>
      </c>
      <c r="C908" s="2" t="s">
        <v>569</v>
      </c>
      <c r="D908" s="2" t="str">
        <f t="shared" si="13"/>
        <v>Error?</v>
      </c>
    </row>
    <row r="909" spans="1:4" x14ac:dyDescent="0.2">
      <c r="A909" s="5">
        <v>848</v>
      </c>
      <c r="B909" s="1832">
        <f>'Expenditures 15-22'!F55</f>
        <v>3025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3025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15176</v>
      </c>
      <c r="D913" s="2" t="str">
        <f t="shared" si="13"/>
        <v>Error?</v>
      </c>
    </row>
    <row r="914" spans="1:4" x14ac:dyDescent="0.2">
      <c r="A914" s="5">
        <v>853</v>
      </c>
      <c r="B914" s="1832">
        <f>'Expenditures 15-22'!F61</f>
        <v>398139</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322353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735668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902719</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1292097</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1430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2070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91846</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91846</v>
      </c>
      <c r="C963" s="2" t="s">
        <v>569</v>
      </c>
      <c r="D963" s="2" t="str">
        <f t="shared" si="14"/>
        <v>Error?</v>
      </c>
    </row>
    <row r="964" spans="1:4" x14ac:dyDescent="0.2">
      <c r="A964" s="5">
        <v>903</v>
      </c>
      <c r="B964" s="1832">
        <f>'Expenditures 15-22'!G49</f>
        <v>29999</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29999</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7575</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7575</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129420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131490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1681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11781</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444634</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8122</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8122</v>
      </c>
      <c r="C1021" s="2" t="s">
        <v>569</v>
      </c>
      <c r="D1021" s="2" t="str">
        <f t="shared" si="14"/>
        <v>Error?</v>
      </c>
    </row>
    <row r="1022" spans="1:4" x14ac:dyDescent="0.2">
      <c r="A1022" s="5">
        <v>961</v>
      </c>
      <c r="B1022" s="1832">
        <f>'Expenditures 15-22'!H49</f>
        <v>90670</v>
      </c>
      <c r="D1022" s="2" t="str">
        <f t="shared" si="14"/>
        <v>Error?</v>
      </c>
    </row>
    <row r="1023" spans="1:4" x14ac:dyDescent="0.2">
      <c r="A1023" s="5">
        <v>962</v>
      </c>
      <c r="B1023" s="1832">
        <f>'Expenditures 15-22'!H50</f>
        <v>1643</v>
      </c>
      <c r="D1023" s="2" t="str">
        <f t="shared" ref="D1023:D1086" si="15">IF(ISBLANK(B1023),"OK",IF(A1023-B1023=0,"OK","Error?"))</f>
        <v>Error?</v>
      </c>
    </row>
    <row r="1024" spans="1:4" x14ac:dyDescent="0.2">
      <c r="A1024" s="5">
        <v>963</v>
      </c>
      <c r="B1024" s="1832">
        <f>'Expenditures 15-22'!H53</f>
        <v>92313</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3903</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3903</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104338</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208265</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757237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4466190</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264870</v>
      </c>
      <c r="C1105" s="2" t="s">
        <v>569</v>
      </c>
      <c r="D1105" s="2" t="str">
        <f t="shared" si="16"/>
        <v>Error?</v>
      </c>
    </row>
    <row r="1106" spans="1:4" x14ac:dyDescent="0.2">
      <c r="A1106" s="5">
        <v>1045</v>
      </c>
      <c r="B1106" s="1832">
        <f>'Expenditures 15-22'!K14</f>
        <v>419122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5954656</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168883</v>
      </c>
      <c r="C1110" s="2" t="s">
        <v>569</v>
      </c>
      <c r="D1110" s="2" t="str">
        <f t="shared" si="16"/>
        <v>Error?</v>
      </c>
    </row>
    <row r="1111" spans="1:4" x14ac:dyDescent="0.2">
      <c r="A1111" s="5">
        <v>1050</v>
      </c>
      <c r="B1111" s="1832">
        <f>'Expenditures 15-22'!K38</f>
        <v>99261</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6571</v>
      </c>
      <c r="C1114" s="2" t="s">
        <v>569</v>
      </c>
      <c r="D1114" s="2" t="str">
        <f t="shared" si="16"/>
        <v>Error?</v>
      </c>
    </row>
    <row r="1115" spans="1:4" x14ac:dyDescent="0.2">
      <c r="A1115" s="5">
        <v>1054</v>
      </c>
      <c r="B1115" s="1832">
        <f>'Expenditures 15-22'!K42</f>
        <v>274715</v>
      </c>
      <c r="C1115" s="2" t="s">
        <v>569</v>
      </c>
      <c r="D1115" s="2" t="str">
        <f t="shared" si="16"/>
        <v>Error?</v>
      </c>
    </row>
    <row r="1116" spans="1:4" x14ac:dyDescent="0.2">
      <c r="A1116" s="5">
        <v>1055</v>
      </c>
      <c r="B1116" s="1832">
        <f>'Expenditures 15-22'!K44</f>
        <v>196418</v>
      </c>
      <c r="C1116" s="2" t="s">
        <v>569</v>
      </c>
      <c r="D1116" s="2" t="str">
        <f t="shared" si="16"/>
        <v>Error?</v>
      </c>
    </row>
    <row r="1117" spans="1:4" x14ac:dyDescent="0.2">
      <c r="A1117" s="5">
        <v>1056</v>
      </c>
      <c r="B1117" s="1832">
        <f>'Expenditures 15-22'!K45</f>
        <v>640020</v>
      </c>
      <c r="C1117" s="2" t="s">
        <v>569</v>
      </c>
      <c r="D1117" s="2" t="str">
        <f t="shared" si="16"/>
        <v>Error?</v>
      </c>
    </row>
    <row r="1118" spans="1:4" x14ac:dyDescent="0.2">
      <c r="A1118" s="5">
        <v>1057</v>
      </c>
      <c r="B1118" s="1832">
        <f>'Expenditures 15-22'!K46</f>
        <v>10684</v>
      </c>
      <c r="C1118" s="2" t="s">
        <v>569</v>
      </c>
      <c r="D1118" s="2" t="str">
        <f t="shared" si="16"/>
        <v>Error?</v>
      </c>
    </row>
    <row r="1119" spans="1:4" x14ac:dyDescent="0.2">
      <c r="A1119" s="5">
        <v>1058</v>
      </c>
      <c r="B1119" s="1832">
        <f>'Expenditures 15-22'!K47</f>
        <v>847122</v>
      </c>
      <c r="C1119" s="2" t="s">
        <v>569</v>
      </c>
      <c r="D1119" s="2" t="str">
        <f t="shared" si="16"/>
        <v>Error?</v>
      </c>
    </row>
    <row r="1120" spans="1:4" x14ac:dyDescent="0.2">
      <c r="A1120" s="5">
        <v>1059</v>
      </c>
      <c r="B1120" s="1832">
        <f>'Expenditures 15-22'!K49</f>
        <v>231974</v>
      </c>
      <c r="C1120" s="2" t="s">
        <v>569</v>
      </c>
      <c r="D1120" s="2" t="str">
        <f t="shared" si="16"/>
        <v>Error?</v>
      </c>
    </row>
    <row r="1121" spans="1:4" x14ac:dyDescent="0.2">
      <c r="A1121" s="5">
        <v>1060</v>
      </c>
      <c r="B1121" s="1832">
        <f>'Expenditures 15-22'!K50</f>
        <v>110913</v>
      </c>
      <c r="C1121" s="2" t="s">
        <v>569</v>
      </c>
      <c r="D1121" s="2" t="str">
        <f t="shared" si="16"/>
        <v>Error?</v>
      </c>
    </row>
    <row r="1122" spans="1:4" x14ac:dyDescent="0.2">
      <c r="A1122" s="5">
        <v>1061</v>
      </c>
      <c r="B1122" s="1832">
        <f>'Expenditures 15-22'!K53</f>
        <v>342887</v>
      </c>
      <c r="C1122" s="2" t="s">
        <v>569</v>
      </c>
      <c r="D1122" s="2" t="str">
        <f t="shared" si="16"/>
        <v>Error?</v>
      </c>
    </row>
    <row r="1123" spans="1:4" x14ac:dyDescent="0.2">
      <c r="A1123" s="5">
        <v>1062</v>
      </c>
      <c r="B1123" s="1832">
        <f>'Expenditures 15-22'!K55</f>
        <v>1042987</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1042987</v>
      </c>
      <c r="C1125" s="2" t="s">
        <v>569</v>
      </c>
      <c r="D1125" s="2" t="str">
        <f t="shared" si="16"/>
        <v>Error?</v>
      </c>
    </row>
    <row r="1126" spans="1:4" x14ac:dyDescent="0.2">
      <c r="A1126" s="5">
        <v>1065</v>
      </c>
      <c r="B1126" s="1832">
        <f>'Expenditures 15-22'!K59</f>
        <v>105795</v>
      </c>
      <c r="C1126" s="2" t="s">
        <v>569</v>
      </c>
      <c r="D1126" s="2" t="str">
        <f t="shared" si="16"/>
        <v>Error?</v>
      </c>
    </row>
    <row r="1127" spans="1:4" x14ac:dyDescent="0.2">
      <c r="A1127" s="5">
        <v>1066</v>
      </c>
      <c r="B1127" s="1832">
        <f>'Expenditures 15-22'!K60</f>
        <v>267998</v>
      </c>
      <c r="C1127" s="2" t="s">
        <v>569</v>
      </c>
      <c r="D1127" s="2" t="str">
        <f t="shared" si="16"/>
        <v>Error?</v>
      </c>
    </row>
    <row r="1128" spans="1:4" x14ac:dyDescent="0.2">
      <c r="A1128" s="5">
        <v>1067</v>
      </c>
      <c r="B1128" s="1832">
        <f>'Expenditures 15-22'!K61</f>
        <v>408709</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679032</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1461534</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71600</v>
      </c>
      <c r="C1142" s="2" t="s">
        <v>569</v>
      </c>
      <c r="D1142" s="2" t="str">
        <f t="shared" si="16"/>
        <v>Error?</v>
      </c>
    </row>
    <row r="1143" spans="1:4" x14ac:dyDescent="0.2">
      <c r="A1143" s="5">
        <v>1082</v>
      </c>
      <c r="B1143" s="1832">
        <f>'Expenditures 15-22'!K74</f>
        <v>4040845</v>
      </c>
      <c r="C1143" s="2" t="s">
        <v>569</v>
      </c>
      <c r="D1143" s="2" t="str">
        <f t="shared" si="16"/>
        <v>Error?</v>
      </c>
    </row>
    <row r="1144" spans="1:4" x14ac:dyDescent="0.2">
      <c r="A1144" s="5">
        <v>1083</v>
      </c>
      <c r="B1144" s="1832">
        <f>'Expenditures 15-22'!K75</f>
        <v>12450</v>
      </c>
      <c r="C1144" s="2" t="s">
        <v>569</v>
      </c>
      <c r="D1144" s="2" t="str">
        <f t="shared" si="16"/>
        <v>Error?</v>
      </c>
    </row>
    <row r="1145" spans="1:4" x14ac:dyDescent="0.2">
      <c r="A1145" s="5">
        <v>1084</v>
      </c>
      <c r="B1145" s="1832">
        <f>'Expenditures 15-22'!K102</f>
        <v>2804055</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12812006</v>
      </c>
      <c r="C1152" s="2" t="s">
        <v>569</v>
      </c>
      <c r="D1152" s="2" t="str">
        <f t="shared" si="17"/>
        <v>Error?</v>
      </c>
    </row>
    <row r="1153" spans="1:4" x14ac:dyDescent="0.2">
      <c r="A1153" s="5">
        <v>1092</v>
      </c>
      <c r="B1153" s="1832">
        <f>'Expenditures 15-22'!K115</f>
        <v>-160645</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706629</v>
      </c>
      <c r="D1221" s="2" t="str">
        <f t="shared" si="18"/>
        <v>Error?</v>
      </c>
    </row>
    <row r="1222" spans="1:4" x14ac:dyDescent="0.2">
      <c r="A1222" s="10">
        <v>1161</v>
      </c>
      <c r="B1222" s="1832"/>
      <c r="D1222" s="2" t="str">
        <f t="shared" si="18"/>
        <v>OK</v>
      </c>
    </row>
    <row r="1223" spans="1:4" x14ac:dyDescent="0.2">
      <c r="A1223" s="5">
        <v>1162</v>
      </c>
      <c r="B1223" s="1832">
        <f>'Expenditures 15-22'!C127</f>
        <v>706629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706629</v>
      </c>
      <c r="C1225" s="2" t="s">
        <v>569</v>
      </c>
      <c r="D1225" s="2" t="str">
        <f t="shared" si="18"/>
        <v>Error?</v>
      </c>
    </row>
    <row r="1226" spans="1:4" x14ac:dyDescent="0.2">
      <c r="A1226" s="5">
        <v>1165</v>
      </c>
      <c r="B1226" s="1832">
        <f>'Expenditures 15-22'!C151</f>
        <v>706629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165870</v>
      </c>
      <c r="D1229" s="2" t="str">
        <f t="shared" si="18"/>
        <v>Error?</v>
      </c>
    </row>
    <row r="1230" spans="1:4" x14ac:dyDescent="0.2">
      <c r="A1230" s="10">
        <v>1169</v>
      </c>
      <c r="B1230" s="1832"/>
      <c r="D1230" s="2" t="str">
        <f t="shared" si="18"/>
        <v>OK</v>
      </c>
    </row>
    <row r="1231" spans="1:4" x14ac:dyDescent="0.2">
      <c r="A1231" s="5">
        <v>1170</v>
      </c>
      <c r="B1231" s="1832">
        <f>'Expenditures 15-22'!D127</f>
        <v>165870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165870</v>
      </c>
      <c r="C1233" s="2" t="s">
        <v>569</v>
      </c>
      <c r="D1233" s="2" t="str">
        <f t="shared" si="18"/>
        <v>Error?</v>
      </c>
    </row>
    <row r="1234" spans="1:4" x14ac:dyDescent="0.2">
      <c r="A1234" s="5">
        <v>1173</v>
      </c>
      <c r="B1234" s="1832">
        <f>'Expenditures 15-22'!D151</f>
        <v>165870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67784</v>
      </c>
      <c r="D1236" s="2" t="str">
        <f t="shared" si="18"/>
        <v>Error?</v>
      </c>
    </row>
    <row r="1237" spans="1:4" x14ac:dyDescent="0.2">
      <c r="A1237" s="5">
        <v>1176</v>
      </c>
      <c r="B1237" s="1832">
        <f>'Expenditures 15-22'!E124</f>
        <v>491052</v>
      </c>
      <c r="D1237" s="2" t="str">
        <f t="shared" si="18"/>
        <v>Error?</v>
      </c>
    </row>
    <row r="1238" spans="1:4" x14ac:dyDescent="0.2">
      <c r="A1238" s="10">
        <v>1177</v>
      </c>
      <c r="B1238" s="1832"/>
      <c r="D1238" s="2" t="str">
        <f t="shared" si="18"/>
        <v>OK</v>
      </c>
    </row>
    <row r="1239" spans="1:4" x14ac:dyDescent="0.2">
      <c r="A1239" s="5">
        <v>1178</v>
      </c>
      <c r="B1239" s="1832">
        <f>'Expenditures 15-22'!E127</f>
        <v>558836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558836</v>
      </c>
      <c r="C1241" s="2" t="s">
        <v>569</v>
      </c>
      <c r="D1241" s="2" t="str">
        <f t="shared" si="18"/>
        <v>Error?</v>
      </c>
    </row>
    <row r="1242" spans="1:4" x14ac:dyDescent="0.2">
      <c r="A1242" s="5">
        <v>1181</v>
      </c>
      <c r="B1242" s="1832">
        <f>'Expenditures 15-22'!E151</f>
        <v>558836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239438</v>
      </c>
      <c r="D1245" s="2" t="str">
        <f t="shared" si="18"/>
        <v>Error?</v>
      </c>
    </row>
    <row r="1246" spans="1:4" x14ac:dyDescent="0.2">
      <c r="A1246" s="10">
        <v>1185</v>
      </c>
      <c r="B1246" s="1832"/>
      <c r="D1246" s="2" t="str">
        <f t="shared" si="18"/>
        <v>OK</v>
      </c>
    </row>
    <row r="1247" spans="1:4" x14ac:dyDescent="0.2">
      <c r="A1247" s="5">
        <v>1186</v>
      </c>
      <c r="B1247" s="1832">
        <f>'Expenditures 15-22'!F127</f>
        <v>239438</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239438</v>
      </c>
      <c r="C1249" s="2" t="s">
        <v>569</v>
      </c>
      <c r="D1249" s="2" t="str">
        <f t="shared" si="18"/>
        <v>Error?</v>
      </c>
    </row>
    <row r="1250" spans="1:4" x14ac:dyDescent="0.2">
      <c r="A1250" s="5">
        <v>1189</v>
      </c>
      <c r="B1250" s="1832">
        <f>'Expenditures 15-22'!F151</f>
        <v>239438</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309887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309887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309887</v>
      </c>
      <c r="C1258" s="2" t="s">
        <v>569</v>
      </c>
      <c r="D1258" s="2" t="str">
        <f t="shared" si="18"/>
        <v>Error?</v>
      </c>
    </row>
    <row r="1259" spans="1:4" x14ac:dyDescent="0.2">
      <c r="A1259" s="5">
        <v>1198</v>
      </c>
      <c r="B1259" s="1832">
        <f>'Expenditures 15-22'!G151</f>
        <v>309887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67784</v>
      </c>
      <c r="C1275" s="2" t="s">
        <v>569</v>
      </c>
      <c r="D1275" s="2" t="str">
        <f t="shared" si="18"/>
        <v>Error?</v>
      </c>
    </row>
    <row r="1276" spans="1:4" x14ac:dyDescent="0.2">
      <c r="A1276" s="5">
        <v>1215</v>
      </c>
      <c r="B1276" s="1832">
        <f>'Expenditures 15-22'!K124</f>
        <v>1912876</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1980660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1980660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1980660</v>
      </c>
      <c r="C1288" s="2" t="s">
        <v>569</v>
      </c>
      <c r="D1288" s="2" t="str">
        <f t="shared" si="19"/>
        <v>Error?</v>
      </c>
    </row>
    <row r="1289" spans="1:4" x14ac:dyDescent="0.2">
      <c r="A1289" s="5">
        <v>1228</v>
      </c>
      <c r="B1289" s="1832">
        <f>'Expenditures 15-22'!K152</f>
        <v>-63713</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1374444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1068098</v>
      </c>
      <c r="D1315" s="2" t="str">
        <f t="shared" si="19"/>
        <v>Error?</v>
      </c>
    </row>
    <row r="1316" spans="1:4" x14ac:dyDescent="0.2">
      <c r="A1316" s="5">
        <v>1255</v>
      </c>
      <c r="B1316" s="1832">
        <f>'Expenditures 15-22'!H171</f>
        <v>3077</v>
      </c>
      <c r="D1316" s="2" t="str">
        <f t="shared" si="19"/>
        <v>Error?</v>
      </c>
    </row>
    <row r="1317" spans="1:4" x14ac:dyDescent="0.2">
      <c r="A1317" s="5">
        <v>1256</v>
      </c>
      <c r="B1317" s="1832">
        <f>'Expenditures 15-22'!H172</f>
        <v>2445619</v>
      </c>
      <c r="C1317" s="2" t="s">
        <v>569</v>
      </c>
      <c r="D1317" s="2" t="str">
        <f t="shared" si="19"/>
        <v>Error?</v>
      </c>
    </row>
    <row r="1318" spans="1:4" x14ac:dyDescent="0.2">
      <c r="A1318" s="5">
        <v>1257</v>
      </c>
      <c r="B1318" s="1832">
        <f>'Expenditures 15-22'!H174</f>
        <v>2445619</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1374444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1068098</v>
      </c>
      <c r="C1329" s="2" t="s">
        <v>569</v>
      </c>
      <c r="D1329" s="2" t="str">
        <f t="shared" si="19"/>
        <v>Error?</v>
      </c>
    </row>
    <row r="1330" spans="1:4" x14ac:dyDescent="0.2">
      <c r="A1330" s="5">
        <v>1269</v>
      </c>
      <c r="B1330" s="1832">
        <f>'Expenditures 15-22'!K171</f>
        <v>3077</v>
      </c>
      <c r="C1330" s="2" t="s">
        <v>569</v>
      </c>
      <c r="D1330" s="2" t="str">
        <f t="shared" si="19"/>
        <v>Error?</v>
      </c>
    </row>
    <row r="1331" spans="1:4" x14ac:dyDescent="0.2">
      <c r="A1331" s="5">
        <v>1270</v>
      </c>
      <c r="B1331" s="1832">
        <f>'Expenditures 15-22'!K172</f>
        <v>2445619</v>
      </c>
      <c r="C1331" s="2" t="s">
        <v>569</v>
      </c>
      <c r="D1331" s="2" t="str">
        <f t="shared" si="19"/>
        <v>Error?</v>
      </c>
    </row>
    <row r="1332" spans="1:4" x14ac:dyDescent="0.2">
      <c r="A1332" s="5">
        <v>1271</v>
      </c>
      <c r="B1332" s="1832">
        <f>'Expenditures 15-22'!K174</f>
        <v>2445619</v>
      </c>
      <c r="C1332" s="2" t="s">
        <v>569</v>
      </c>
      <c r="D1332" s="2" t="str">
        <f t="shared" si="19"/>
        <v>Error?</v>
      </c>
    </row>
    <row r="1333" spans="1:4" x14ac:dyDescent="0.2">
      <c r="A1333" s="5">
        <v>1272</v>
      </c>
      <c r="B1333" s="1832">
        <f>'Expenditures 15-22'!K175</f>
        <v>-47803</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1456950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1456950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1456950</v>
      </c>
      <c r="C1353" s="2" t="s">
        <v>569</v>
      </c>
      <c r="D1353" s="2" t="str">
        <f t="shared" si="20"/>
        <v>Error?</v>
      </c>
    </row>
    <row r="1354" spans="1:4" x14ac:dyDescent="0.2">
      <c r="A1354" s="5">
        <v>1293</v>
      </c>
      <c r="B1354" s="1832">
        <f>'Expenditures 15-22'!F182</f>
        <v>73743</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73743</v>
      </c>
      <c r="C1358" s="2" t="s">
        <v>569</v>
      </c>
      <c r="D1358" s="2" t="str">
        <f t="shared" si="20"/>
        <v>Error?</v>
      </c>
    </row>
    <row r="1359" spans="1:4" x14ac:dyDescent="0.2">
      <c r="A1359" s="5">
        <v>1298</v>
      </c>
      <c r="B1359" s="1832">
        <f>'Expenditures 15-22'!F210</f>
        <v>73743</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1530693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1530693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1530693</v>
      </c>
      <c r="C1388" s="2" t="s">
        <v>569</v>
      </c>
      <c r="D1388" s="2" t="str">
        <f t="shared" si="20"/>
        <v>Error?</v>
      </c>
    </row>
    <row r="1389" spans="1:4" x14ac:dyDescent="0.2">
      <c r="A1389" s="5">
        <v>1328</v>
      </c>
      <c r="B1389" s="1832">
        <f>'Expenditures 15-22'!K211</f>
        <v>-313849</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629</v>
      </c>
      <c r="D1407" s="2" t="str">
        <f t="shared" ref="D1407:D1470" si="21">IF(ISBLANK(B1407),"OK",IF(A1407-B1407=0,"OK","Error?"))</f>
        <v>Error?</v>
      </c>
    </row>
    <row r="1408" spans="1:4" x14ac:dyDescent="0.2">
      <c r="A1408" s="5">
        <v>1347</v>
      </c>
      <c r="B1408" s="1832">
        <f>'Expenditures 15-22'!D223</f>
        <v>8595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61779</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6998</v>
      </c>
      <c r="D1412" s="2" t="str">
        <f t="shared" si="21"/>
        <v>Error?</v>
      </c>
    </row>
    <row r="1413" spans="1:4" x14ac:dyDescent="0.2">
      <c r="A1413" s="5">
        <v>1352</v>
      </c>
      <c r="B1413" s="1832">
        <f>'Expenditures 15-22'!D234</f>
        <v>15995</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194</v>
      </c>
      <c r="D1416" s="2" t="str">
        <f t="shared" si="21"/>
        <v>Error?</v>
      </c>
    </row>
    <row r="1417" spans="1:4" x14ac:dyDescent="0.2">
      <c r="A1417" s="5">
        <v>1356</v>
      </c>
      <c r="B1417" s="1832">
        <f>'Expenditures 15-22'!D238</f>
        <v>23187</v>
      </c>
      <c r="C1417" s="2" t="s">
        <v>569</v>
      </c>
      <c r="D1417" s="2" t="str">
        <f t="shared" si="21"/>
        <v>Error?</v>
      </c>
    </row>
    <row r="1418" spans="1:4" x14ac:dyDescent="0.2">
      <c r="A1418" s="5">
        <v>1357</v>
      </c>
      <c r="B1418" s="1832">
        <f>'Expenditures 15-22'!D240</f>
        <v>2195</v>
      </c>
      <c r="D1418" s="2" t="str">
        <f t="shared" si="21"/>
        <v>Error?</v>
      </c>
    </row>
    <row r="1419" spans="1:4" x14ac:dyDescent="0.2">
      <c r="A1419" s="5">
        <v>1358</v>
      </c>
      <c r="B1419" s="1832">
        <f>'Expenditures 15-22'!D241</f>
        <v>38304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40499</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1385</v>
      </c>
      <c r="D1423" s="2" t="str">
        <f t="shared" si="21"/>
        <v>Error?</v>
      </c>
    </row>
    <row r="1424" spans="1:4" x14ac:dyDescent="0.2">
      <c r="A1424" s="5">
        <v>1363</v>
      </c>
      <c r="B1424" s="1832">
        <f>'Expenditures 15-22'!D257</f>
        <v>1385</v>
      </c>
      <c r="C1424" s="2" t="s">
        <v>569</v>
      </c>
      <c r="D1424" s="2" t="str">
        <f t="shared" si="21"/>
        <v>Error?</v>
      </c>
    </row>
    <row r="1425" spans="1:4" x14ac:dyDescent="0.2">
      <c r="A1425" s="5">
        <v>1364</v>
      </c>
      <c r="B1425" s="1832">
        <f>'Expenditures 15-22'!D259</f>
        <v>57417</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57417</v>
      </c>
      <c r="C1427" s="2" t="s">
        <v>569</v>
      </c>
      <c r="D1427" s="2" t="str">
        <f t="shared" si="21"/>
        <v>Error?</v>
      </c>
    </row>
    <row r="1428" spans="1:4" x14ac:dyDescent="0.2">
      <c r="A1428" s="5">
        <v>1367</v>
      </c>
      <c r="B1428" s="1832">
        <f>'Expenditures 15-22'!D263</f>
        <v>1317</v>
      </c>
      <c r="D1428" s="2" t="str">
        <f t="shared" si="21"/>
        <v>Error?</v>
      </c>
    </row>
    <row r="1429" spans="1:4" x14ac:dyDescent="0.2">
      <c r="A1429" s="5">
        <v>1368</v>
      </c>
      <c r="B1429" s="1832">
        <f>'Expenditures 15-22'!D264</f>
        <v>41957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152002</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58408</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253684</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358</v>
      </c>
      <c r="D1445" s="2" t="str">
        <f t="shared" si="21"/>
        <v>Error?</v>
      </c>
    </row>
    <row r="1446" spans="1:4" x14ac:dyDescent="0.2">
      <c r="A1446" s="5">
        <v>1385</v>
      </c>
      <c r="B1446" s="1832">
        <f>'Expenditures 15-22'!D279</f>
        <v>376530</v>
      </c>
      <c r="C1446" s="2" t="s">
        <v>569</v>
      </c>
      <c r="D1446" s="2" t="str">
        <f t="shared" si="21"/>
        <v>Error?</v>
      </c>
    </row>
    <row r="1447" spans="1:4" x14ac:dyDescent="0.2">
      <c r="A1447" s="5">
        <v>1386</v>
      </c>
      <c r="B1447" s="1832">
        <f>'Expenditures 15-22'!D280</f>
        <v>31</v>
      </c>
      <c r="D1447" s="2" t="str">
        <f t="shared" si="21"/>
        <v>Error?</v>
      </c>
    </row>
    <row r="1448" spans="1:4" x14ac:dyDescent="0.2">
      <c r="A1448" s="5">
        <v>1387</v>
      </c>
      <c r="B1448" s="1832">
        <f>'Expenditures 15-22'!D295</f>
        <v>438340</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629</v>
      </c>
      <c r="C1471" s="2" t="s">
        <v>569</v>
      </c>
      <c r="D1471" s="2" t="str">
        <f t="shared" ref="D1471:D1534" si="22">IF(ISBLANK(B1471),"OK",IF(A1471-B1471=0,"OK","Error?"))</f>
        <v>Error?</v>
      </c>
    </row>
    <row r="1472" spans="1:4" x14ac:dyDescent="0.2">
      <c r="A1472" s="5">
        <v>1411</v>
      </c>
      <c r="B1472" s="1832">
        <f>'Expenditures 15-22'!K223</f>
        <v>8595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61779</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6998</v>
      </c>
      <c r="C1476" s="2" t="s">
        <v>569</v>
      </c>
      <c r="D1476" s="2" t="str">
        <f t="shared" si="22"/>
        <v>Error?</v>
      </c>
    </row>
    <row r="1477" spans="1:4" x14ac:dyDescent="0.2">
      <c r="A1477" s="5">
        <v>1416</v>
      </c>
      <c r="B1477" s="1832">
        <f>'Expenditures 15-22'!K234</f>
        <v>15995</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194</v>
      </c>
      <c r="C1480" s="2" t="s">
        <v>569</v>
      </c>
      <c r="D1480" s="2" t="str">
        <f t="shared" si="22"/>
        <v>Error?</v>
      </c>
    </row>
    <row r="1481" spans="1:4" x14ac:dyDescent="0.2">
      <c r="A1481" s="5">
        <v>1420</v>
      </c>
      <c r="B1481" s="1832">
        <f>'Expenditures 15-22'!K238</f>
        <v>23187</v>
      </c>
      <c r="C1481" s="2" t="s">
        <v>569</v>
      </c>
      <c r="D1481" s="2" t="str">
        <f t="shared" si="22"/>
        <v>Error?</v>
      </c>
    </row>
    <row r="1482" spans="1:4" x14ac:dyDescent="0.2">
      <c r="A1482" s="5">
        <v>1421</v>
      </c>
      <c r="B1482" s="1832">
        <f>'Expenditures 15-22'!K240</f>
        <v>2195</v>
      </c>
      <c r="C1482" s="2" t="s">
        <v>569</v>
      </c>
      <c r="D1482" s="2" t="str">
        <f t="shared" si="22"/>
        <v>Error?</v>
      </c>
    </row>
    <row r="1483" spans="1:4" x14ac:dyDescent="0.2">
      <c r="A1483" s="5">
        <v>1422</v>
      </c>
      <c r="B1483" s="1832">
        <f>'Expenditures 15-22'!K241</f>
        <v>38304</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40499</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1385</v>
      </c>
      <c r="C1487" s="2" t="s">
        <v>569</v>
      </c>
      <c r="D1487" s="2" t="str">
        <f t="shared" si="22"/>
        <v>Error?</v>
      </c>
    </row>
    <row r="1488" spans="1:4" x14ac:dyDescent="0.2">
      <c r="A1488" s="5">
        <v>1427</v>
      </c>
      <c r="B1488" s="1832">
        <f>'Expenditures 15-22'!K257</f>
        <v>1385</v>
      </c>
      <c r="C1488" s="2" t="s">
        <v>569</v>
      </c>
      <c r="D1488" s="2" t="str">
        <f t="shared" si="22"/>
        <v>Error?</v>
      </c>
    </row>
    <row r="1489" spans="1:4" x14ac:dyDescent="0.2">
      <c r="A1489" s="5">
        <v>1428</v>
      </c>
      <c r="B1489" s="1832">
        <f>'Expenditures 15-22'!K259</f>
        <v>57417</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57417</v>
      </c>
      <c r="C1491" s="2" t="s">
        <v>569</v>
      </c>
      <c r="D1491" s="2" t="str">
        <f t="shared" si="22"/>
        <v>Error?</v>
      </c>
    </row>
    <row r="1492" spans="1:4" x14ac:dyDescent="0.2">
      <c r="A1492" s="5">
        <v>1431</v>
      </c>
      <c r="B1492" s="1832">
        <f>'Expenditures 15-22'!K263</f>
        <v>1317</v>
      </c>
      <c r="C1492" s="2" t="s">
        <v>569</v>
      </c>
      <c r="D1492" s="2" t="str">
        <f t="shared" si="22"/>
        <v>Error?</v>
      </c>
    </row>
    <row r="1493" spans="1:4" x14ac:dyDescent="0.2">
      <c r="A1493" s="5">
        <v>1432</v>
      </c>
      <c r="B1493" s="1832">
        <f>'Expenditures 15-22'!K264</f>
        <v>41957</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152002</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58408</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253684</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358</v>
      </c>
      <c r="C1509" s="2" t="s">
        <v>569</v>
      </c>
      <c r="D1509" s="2" t="str">
        <f t="shared" si="22"/>
        <v>Error?</v>
      </c>
    </row>
    <row r="1510" spans="1:4" x14ac:dyDescent="0.2">
      <c r="A1510" s="5">
        <v>1449</v>
      </c>
      <c r="B1510" s="1832">
        <f>'Expenditures 15-22'!K279</f>
        <v>376530</v>
      </c>
      <c r="C1510" s="2" t="s">
        <v>569</v>
      </c>
      <c r="D1510" s="2" t="str">
        <f t="shared" si="22"/>
        <v>Error?</v>
      </c>
    </row>
    <row r="1511" spans="1:4" x14ac:dyDescent="0.2">
      <c r="A1511" s="5">
        <v>1450</v>
      </c>
      <c r="B1511" s="1832">
        <f>'Expenditures 15-22'!K280</f>
        <v>31</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438340</v>
      </c>
      <c r="C1517" s="2" t="s">
        <v>569</v>
      </c>
      <c r="D1517" s="2" t="str">
        <f t="shared" si="22"/>
        <v>Error?</v>
      </c>
    </row>
    <row r="1518" spans="1:4" x14ac:dyDescent="0.2">
      <c r="A1518" s="5">
        <v>1457</v>
      </c>
      <c r="B1518" s="1832">
        <f>'Expenditures 15-22'!K296</f>
        <v>-85244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11664572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11518891</v>
      </c>
      <c r="C1630" s="2" t="s">
        <v>569</v>
      </c>
      <c r="D1630" s="2" t="str">
        <f t="shared" si="24"/>
        <v>Error?</v>
      </c>
    </row>
    <row r="1631" spans="1:4" x14ac:dyDescent="0.2">
      <c r="A1631" s="5">
        <v>1570</v>
      </c>
      <c r="B1631" s="1832">
        <f>'Acct Summary 7-8'!D79</f>
        <v>1226729</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1163016</v>
      </c>
      <c r="C1644" s="2" t="s">
        <v>569</v>
      </c>
      <c r="D1644" s="2" t="str">
        <f t="shared" si="24"/>
        <v>Error?</v>
      </c>
    </row>
    <row r="1645" spans="1:4" x14ac:dyDescent="0.2">
      <c r="A1645" s="5">
        <v>1584</v>
      </c>
      <c r="B1645" s="1832">
        <f>'Acct Summary 7-8'!E79</f>
        <v>1583336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1535533</v>
      </c>
      <c r="C1658" s="2" t="s">
        <v>569</v>
      </c>
      <c r="D1658" s="2" t="str">
        <f t="shared" si="24"/>
        <v>Error?</v>
      </c>
    </row>
    <row r="1659" spans="1:4" x14ac:dyDescent="0.2">
      <c r="A1659" s="5">
        <v>1598</v>
      </c>
      <c r="B1659" s="1832">
        <f>'Acct Summary 7-8'!F79</f>
        <v>1424268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1110419</v>
      </c>
      <c r="C1672" s="2" t="s">
        <v>569</v>
      </c>
      <c r="D1672" s="2" t="str">
        <f t="shared" si="25"/>
        <v>Error?</v>
      </c>
    </row>
    <row r="1673" spans="1:4" x14ac:dyDescent="0.2">
      <c r="A1673" s="5">
        <v>1612</v>
      </c>
      <c r="B1673" s="1832">
        <f>'Acct Summary 7-8'!G79</f>
        <v>672046</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586802</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6282733</v>
      </c>
      <c r="C1744" s="2" t="s">
        <v>569</v>
      </c>
      <c r="D1744" s="2" t="str">
        <f t="shared" si="26"/>
        <v>Error?</v>
      </c>
    </row>
    <row r="1745" spans="1:5" x14ac:dyDescent="0.2">
      <c r="A1745" s="5">
        <v>1684</v>
      </c>
      <c r="B1745" s="1832">
        <f>'Tax Sched 23'!B5</f>
        <v>920927</v>
      </c>
      <c r="C1745" s="2" t="s">
        <v>569</v>
      </c>
      <c r="D1745" s="2" t="str">
        <f t="shared" si="26"/>
        <v>Error?</v>
      </c>
    </row>
    <row r="1746" spans="1:5" x14ac:dyDescent="0.2">
      <c r="A1746" s="5">
        <v>1685</v>
      </c>
      <c r="B1746" s="1832">
        <f>'Tax Sched 23'!B6</f>
        <v>2387106</v>
      </c>
      <c r="C1746" s="2" t="s">
        <v>569</v>
      </c>
      <c r="D1746" s="2" t="str">
        <f t="shared" si="26"/>
        <v>Error?</v>
      </c>
    </row>
    <row r="1747" spans="1:5" x14ac:dyDescent="0.2">
      <c r="A1747" s="5">
        <v>1686</v>
      </c>
      <c r="B1747" s="1832">
        <f>'Tax Sched 23'!B7</f>
        <v>363384</v>
      </c>
      <c r="C1747" s="2" t="s">
        <v>569</v>
      </c>
      <c r="D1747" s="2" t="str">
        <f t="shared" si="26"/>
        <v>Error?</v>
      </c>
    </row>
    <row r="1748" spans="1:5" x14ac:dyDescent="0.2">
      <c r="A1748" s="5">
        <v>1687</v>
      </c>
      <c r="B1748" s="1832">
        <f>'Tax Sched 23'!B8</f>
        <v>110515</v>
      </c>
      <c r="C1748" s="2" t="s">
        <v>569</v>
      </c>
      <c r="D1748" s="2" t="str">
        <f t="shared" si="26"/>
        <v>Error?</v>
      </c>
    </row>
    <row r="1749" spans="1:5" x14ac:dyDescent="0.2">
      <c r="A1749" s="5">
        <v>1688</v>
      </c>
      <c r="B1749" s="1832">
        <f>'Tax Sched 23'!B10</f>
        <v>38056</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0</v>
      </c>
      <c r="C1752" s="2" t="s">
        <v>569</v>
      </c>
      <c r="D1752" s="2" t="str">
        <f t="shared" si="26"/>
        <v>Error?</v>
      </c>
    </row>
    <row r="1753" spans="1:5" x14ac:dyDescent="0.2">
      <c r="A1753" s="5">
        <v>1692</v>
      </c>
      <c r="B1753" s="1832">
        <f>'Tax Sched 23'!B12</f>
        <v>0</v>
      </c>
      <c r="C1753" s="2" t="s">
        <v>569</v>
      </c>
      <c r="D1753" s="2" t="str">
        <f t="shared" si="26"/>
        <v>Error?</v>
      </c>
    </row>
    <row r="1754" spans="1:5" x14ac:dyDescent="0.2">
      <c r="A1754" s="5">
        <v>1693</v>
      </c>
      <c r="B1754" s="1832">
        <f>'Tax Sched 23'!B14</f>
        <v>32525</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10286649</v>
      </c>
      <c r="C1759" s="2" t="s">
        <v>569</v>
      </c>
      <c r="D1759" s="2" t="str">
        <f t="shared" si="26"/>
        <v>Error?</v>
      </c>
    </row>
    <row r="1760" spans="1:5" x14ac:dyDescent="0.2">
      <c r="A1760" s="5">
        <v>1699</v>
      </c>
      <c r="B1760" s="1832">
        <f>'Tax Sched 23'!D4</f>
        <v>2827964</v>
      </c>
      <c r="C1760" s="2" t="s">
        <v>569</v>
      </c>
      <c r="D1760" s="2" t="str">
        <f t="shared" si="26"/>
        <v>Error?</v>
      </c>
    </row>
    <row r="1761" spans="1:7" x14ac:dyDescent="0.2">
      <c r="A1761" s="5">
        <v>1700</v>
      </c>
      <c r="B1761" s="1832">
        <f>'Tax Sched 23'!D5</f>
        <v>432578</v>
      </c>
      <c r="C1761" s="2" t="s">
        <v>569</v>
      </c>
      <c r="D1761" s="2" t="str">
        <f t="shared" si="26"/>
        <v>Error?</v>
      </c>
    </row>
    <row r="1762" spans="1:7" s="8" customFormat="1" x14ac:dyDescent="0.2">
      <c r="A1762" s="5">
        <v>1701</v>
      </c>
      <c r="B1762" s="1832">
        <f>'Tax Sched 23'!D6</f>
        <v>1134825</v>
      </c>
      <c r="C1762" s="2" t="s">
        <v>569</v>
      </c>
      <c r="D1762" s="2" t="str">
        <f t="shared" si="26"/>
        <v>Error?</v>
      </c>
      <c r="E1762" s="9"/>
      <c r="G1762"/>
    </row>
    <row r="1763" spans="1:7" x14ac:dyDescent="0.2">
      <c r="A1763" s="5">
        <v>1702</v>
      </c>
      <c r="B1763" s="1832">
        <f>'Tax Sched 23'!D7</f>
        <v>170704</v>
      </c>
      <c r="C1763" s="2" t="s">
        <v>569</v>
      </c>
      <c r="D1763" s="2" t="str">
        <f t="shared" si="26"/>
        <v>Error?</v>
      </c>
    </row>
    <row r="1764" spans="1:7" x14ac:dyDescent="0.2">
      <c r="A1764" s="5">
        <v>1703</v>
      </c>
      <c r="B1764" s="1832">
        <f>'Tax Sched 23'!D8</f>
        <v>97724</v>
      </c>
      <c r="C1764" s="2" t="s">
        <v>569</v>
      </c>
      <c r="D1764" s="2" t="str">
        <f t="shared" si="26"/>
        <v>Error?</v>
      </c>
    </row>
    <row r="1765" spans="1:7" x14ac:dyDescent="0.2">
      <c r="A1765" s="5">
        <v>1704</v>
      </c>
      <c r="B1765" s="1832">
        <f>'Tax Sched 23'!D10</f>
        <v>17847</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0</v>
      </c>
      <c r="C1768" s="2" t="s">
        <v>569</v>
      </c>
      <c r="D1768" s="2" t="str">
        <f t="shared" si="26"/>
        <v>Error?</v>
      </c>
    </row>
    <row r="1769" spans="1:7" x14ac:dyDescent="0.2">
      <c r="A1769" s="5">
        <v>1708</v>
      </c>
      <c r="B1769" s="1832">
        <f>'Tax Sched 23'!D12</f>
        <v>0</v>
      </c>
      <c r="C1769" s="2" t="s">
        <v>569</v>
      </c>
      <c r="D1769" s="2" t="str">
        <f t="shared" si="26"/>
        <v>Error?</v>
      </c>
    </row>
    <row r="1770" spans="1:7" x14ac:dyDescent="0.2">
      <c r="A1770" s="5">
        <v>1709</v>
      </c>
      <c r="B1770" s="1832">
        <f>'Tax Sched 23'!D14</f>
        <v>15252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4848166</v>
      </c>
      <c r="C1775" s="2" t="s">
        <v>569</v>
      </c>
      <c r="D1775" s="2" t="str">
        <f t="shared" si="26"/>
        <v>Error?</v>
      </c>
    </row>
    <row r="1776" spans="1:7" x14ac:dyDescent="0.2">
      <c r="A1776" s="5">
        <v>1715</v>
      </c>
      <c r="B1776" s="1832">
        <f>'Tax Sched 23'!C4</f>
        <v>3454769</v>
      </c>
      <c r="D1776" s="2" t="str">
        <f t="shared" si="26"/>
        <v>Error?</v>
      </c>
    </row>
    <row r="1777" spans="1:4" x14ac:dyDescent="0.2">
      <c r="A1777" s="5">
        <v>1716</v>
      </c>
      <c r="B1777" s="1832">
        <f>'Tax Sched 23'!C5</f>
        <v>488349</v>
      </c>
      <c r="D1777" s="2" t="str">
        <f t="shared" si="26"/>
        <v>Error?</v>
      </c>
    </row>
    <row r="1778" spans="1:4" x14ac:dyDescent="0.2">
      <c r="A1778" s="5">
        <v>1717</v>
      </c>
      <c r="B1778" s="1832">
        <f>'Tax Sched 23'!C6</f>
        <v>1252281</v>
      </c>
      <c r="D1778" s="2" t="str">
        <f t="shared" si="26"/>
        <v>Error?</v>
      </c>
    </row>
    <row r="1779" spans="1:4" x14ac:dyDescent="0.2">
      <c r="A1779" s="5">
        <v>1718</v>
      </c>
      <c r="B1779" s="1832">
        <f>'Tax Sched 23'!C7</f>
        <v>192680</v>
      </c>
      <c r="D1779" s="2" t="str">
        <f t="shared" si="26"/>
        <v>Error?</v>
      </c>
    </row>
    <row r="1780" spans="1:4" x14ac:dyDescent="0.2">
      <c r="A1780" s="5">
        <v>1719</v>
      </c>
      <c r="B1780" s="1832">
        <f>'Tax Sched 23'!C8</f>
        <v>12791</v>
      </c>
      <c r="D1780" s="2" t="str">
        <f t="shared" si="26"/>
        <v>Error?</v>
      </c>
    </row>
    <row r="1781" spans="1:4" x14ac:dyDescent="0.2">
      <c r="A1781" s="5">
        <v>1720</v>
      </c>
      <c r="B1781" s="1832">
        <f>'Tax Sched 23'!C10</f>
        <v>20209</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17273</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5438483</v>
      </c>
      <c r="C1791" s="2" t="s">
        <v>569</v>
      </c>
      <c r="D1791" s="2" t="str">
        <f t="shared" ref="D1791:D1854" si="27">IF(ISBLANK(B1791),"OK",IF(A1791-B1791=0,"OK","Error?"))</f>
        <v>Error?</v>
      </c>
    </row>
    <row r="1792" spans="1:4" x14ac:dyDescent="0.2">
      <c r="A1792" s="5">
        <v>1731</v>
      </c>
      <c r="B1792" s="1832">
        <f>'Tax Sched 23'!F4</f>
        <v>3294542</v>
      </c>
      <c r="C1792" s="2" t="s">
        <v>569</v>
      </c>
      <c r="D1792" s="2" t="str">
        <f t="shared" si="27"/>
        <v>Error?</v>
      </c>
    </row>
    <row r="1793" spans="1:4" x14ac:dyDescent="0.2">
      <c r="A1793" s="5">
        <v>1732</v>
      </c>
      <c r="B1793" s="1832">
        <f>'Tax Sched 23'!F5</f>
        <v>465698</v>
      </c>
      <c r="C1793" s="2" t="s">
        <v>569</v>
      </c>
      <c r="D1793" s="2" t="str">
        <f t="shared" si="27"/>
        <v>Error?</v>
      </c>
    </row>
    <row r="1794" spans="1:4" x14ac:dyDescent="0.2">
      <c r="A1794" s="5">
        <v>1733</v>
      </c>
      <c r="B1794" s="1832">
        <f>'Tax Sched 23'!F6</f>
        <v>1194197</v>
      </c>
      <c r="C1794" s="2" t="s">
        <v>569</v>
      </c>
      <c r="D1794" s="2" t="str">
        <f t="shared" si="27"/>
        <v>Error?</v>
      </c>
    </row>
    <row r="1795" spans="1:4" x14ac:dyDescent="0.2">
      <c r="A1795" s="5">
        <v>1734</v>
      </c>
      <c r="B1795" s="1832">
        <f>'Tax Sched 23'!F7</f>
        <v>183740</v>
      </c>
      <c r="C1795" s="2" t="s">
        <v>569</v>
      </c>
      <c r="D1795" s="2" t="str">
        <f t="shared" si="27"/>
        <v>Error?</v>
      </c>
    </row>
    <row r="1796" spans="1:4" x14ac:dyDescent="0.2">
      <c r="A1796" s="5">
        <v>1735</v>
      </c>
      <c r="B1796" s="1832">
        <f>'Tax Sched 23'!F8</f>
        <v>12204</v>
      </c>
      <c r="C1796" s="2" t="s">
        <v>569</v>
      </c>
      <c r="D1796" s="2" t="str">
        <f t="shared" si="27"/>
        <v>Error?</v>
      </c>
    </row>
    <row r="1797" spans="1:4" x14ac:dyDescent="0.2">
      <c r="A1797" s="5">
        <v>1736</v>
      </c>
      <c r="B1797" s="1832">
        <f>'Tax Sched 23'!F10</f>
        <v>19283</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0</v>
      </c>
      <c r="C1800" s="2" t="s">
        <v>569</v>
      </c>
      <c r="D1800" s="2" t="str">
        <f t="shared" si="27"/>
        <v>Error?</v>
      </c>
    </row>
    <row r="1801" spans="1:4" x14ac:dyDescent="0.2">
      <c r="A1801" s="5">
        <v>1740</v>
      </c>
      <c r="B1801" s="1832">
        <f>'Tax Sched 23'!F12</f>
        <v>0</v>
      </c>
      <c r="C1801" s="2" t="s">
        <v>569</v>
      </c>
      <c r="D1801" s="2" t="str">
        <f t="shared" si="27"/>
        <v>Error?</v>
      </c>
    </row>
    <row r="1802" spans="1:4" x14ac:dyDescent="0.2">
      <c r="A1802" s="5">
        <v>1741</v>
      </c>
      <c r="B1802" s="1832">
        <f>'Tax Sched 23'!F14</f>
        <v>16470</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5186253</v>
      </c>
      <c r="C1807" s="2" t="s">
        <v>569</v>
      </c>
      <c r="D1807" s="2" t="str">
        <f t="shared" si="27"/>
        <v>Error?</v>
      </c>
    </row>
    <row r="1808" spans="1:4" x14ac:dyDescent="0.2">
      <c r="A1808" s="5">
        <v>1747</v>
      </c>
      <c r="B1808" s="1832">
        <f>'Tax Sched 23'!E4</f>
        <v>6749311</v>
      </c>
      <c r="D1808" s="2" t="str">
        <f t="shared" si="27"/>
        <v>Error?</v>
      </c>
    </row>
    <row r="1809" spans="1:4" x14ac:dyDescent="0.2">
      <c r="A1809" s="5">
        <v>1748</v>
      </c>
      <c r="B1809" s="1832">
        <f>'Tax Sched 23'!E5</f>
        <v>954047</v>
      </c>
      <c r="D1809" s="2" t="str">
        <f t="shared" si="27"/>
        <v>Error?</v>
      </c>
    </row>
    <row r="1810" spans="1:4" x14ac:dyDescent="0.2">
      <c r="A1810" s="5">
        <v>1749</v>
      </c>
      <c r="B1810" s="1832">
        <f>'Tax Sched 23'!E6</f>
        <v>2446478</v>
      </c>
      <c r="D1810" s="2" t="str">
        <f t="shared" si="27"/>
        <v>Error?</v>
      </c>
    </row>
    <row r="1811" spans="1:4" x14ac:dyDescent="0.2">
      <c r="A1811" s="5">
        <v>1750</v>
      </c>
      <c r="B1811" s="1832">
        <f>'Tax Sched 23'!E7</f>
        <v>376420</v>
      </c>
      <c r="D1811" s="2" t="str">
        <f t="shared" si="27"/>
        <v>Error?</v>
      </c>
    </row>
    <row r="1812" spans="1:4" x14ac:dyDescent="0.2">
      <c r="A1812" s="5">
        <v>1751</v>
      </c>
      <c r="B1812" s="1832">
        <f>'Tax Sched 23'!E8</f>
        <v>24995</v>
      </c>
      <c r="D1812" s="2" t="str">
        <f t="shared" si="27"/>
        <v>Error?</v>
      </c>
    </row>
    <row r="1813" spans="1:4" x14ac:dyDescent="0.2">
      <c r="A1813" s="5">
        <v>1752</v>
      </c>
      <c r="B1813" s="1832">
        <f>'Tax Sched 23'!E10</f>
        <v>39492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33743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10624736</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28174096</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32525</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32525</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32525</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1594964</v>
      </c>
      <c r="D2008" s="2" t="str">
        <f t="shared" si="30"/>
        <v>Error?</v>
      </c>
    </row>
    <row r="2009" spans="1:4" x14ac:dyDescent="0.2">
      <c r="A2009" s="5">
        <v>1948</v>
      </c>
      <c r="B2009" s="1832">
        <f>'Cap Outlay Deprec 26'!C8</f>
        <v>63692545</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5071724</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70359233</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48697</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35043</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83740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1594964</v>
      </c>
      <c r="C2026" s="2" t="s">
        <v>569</v>
      </c>
      <c r="D2026" s="2" t="str">
        <f t="shared" si="30"/>
        <v>Error?</v>
      </c>
    </row>
    <row r="2027" spans="1:4" x14ac:dyDescent="0.2">
      <c r="A2027" s="5">
        <v>1966</v>
      </c>
      <c r="B2027" s="1832">
        <f>'Cap Outlay Deprec 26'!F8</f>
        <v>63741242</v>
      </c>
      <c r="C2027" s="2" t="s">
        <v>569</v>
      </c>
      <c r="D2027" s="2" t="str">
        <f t="shared" si="30"/>
        <v>Error?</v>
      </c>
    </row>
    <row r="2028" spans="1:4" x14ac:dyDescent="0.2">
      <c r="A2028" s="5">
        <v>1967</v>
      </c>
      <c r="B2028" s="1832">
        <f>'Cap Outlay Deprec 26'!F10</f>
        <v>0</v>
      </c>
      <c r="C2028" s="2" t="s">
        <v>569</v>
      </c>
      <c r="D2028" s="2" t="str">
        <f t="shared" si="30"/>
        <v>Error?</v>
      </c>
    </row>
    <row r="2029" spans="1:4" x14ac:dyDescent="0.2">
      <c r="A2029" s="5">
        <v>1968</v>
      </c>
      <c r="B2029" s="1832">
        <f>'Cap Outlay Deprec 26'!F12</f>
        <v>5106767</v>
      </c>
      <c r="C2029" s="2" t="s">
        <v>569</v>
      </c>
      <c r="D2029" s="2" t="str">
        <f t="shared" si="30"/>
        <v>Error?</v>
      </c>
    </row>
    <row r="2030" spans="1:4" x14ac:dyDescent="0.2">
      <c r="A2030" s="5">
        <v>1969</v>
      </c>
      <c r="B2030" s="1832">
        <f>'Cap Outlay Deprec 26'!F13</f>
        <v>0</v>
      </c>
      <c r="C2030" s="2" t="s">
        <v>569</v>
      </c>
      <c r="D2030" s="2" t="str">
        <f t="shared" si="30"/>
        <v>Error?</v>
      </c>
    </row>
    <row r="2031" spans="1:4" x14ac:dyDescent="0.2">
      <c r="A2031" s="5">
        <v>1970</v>
      </c>
      <c r="B2031" s="1832">
        <f>'Cap Outlay Deprec 26'!F16</f>
        <v>70442973</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32336552</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4856785</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37193337</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1052520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76108</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1128628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33389072</v>
      </c>
      <c r="C2051" s="2" t="s">
        <v>569</v>
      </c>
      <c r="D2051" s="2" t="str">
        <f t="shared" si="31"/>
        <v>Error?</v>
      </c>
    </row>
    <row r="2052" spans="1:4" x14ac:dyDescent="0.2">
      <c r="A2052" s="5">
        <v>1991</v>
      </c>
      <c r="B2052" s="1832">
        <f>'Cap Outlay Deprec 26'!K10</f>
        <v>0</v>
      </c>
      <c r="C2052" s="2" t="s">
        <v>569</v>
      </c>
      <c r="D2052" s="2" t="str">
        <f t="shared" si="31"/>
        <v>Error?</v>
      </c>
    </row>
    <row r="2053" spans="1:4" x14ac:dyDescent="0.2">
      <c r="A2053" s="5">
        <v>1992</v>
      </c>
      <c r="B2053" s="1832">
        <f>'Cap Outlay Deprec 26'!K12</f>
        <v>4932893</v>
      </c>
      <c r="C2053" s="2" t="s">
        <v>569</v>
      </c>
      <c r="D2053" s="2" t="str">
        <f t="shared" si="31"/>
        <v>Error?</v>
      </c>
    </row>
    <row r="2054" spans="1:4" x14ac:dyDescent="0.2">
      <c r="A2054" s="5">
        <v>1993</v>
      </c>
      <c r="B2054" s="1832">
        <f>'Cap Outlay Deprec 26'!K13</f>
        <v>0</v>
      </c>
      <c r="C2054" s="2" t="s">
        <v>569</v>
      </c>
      <c r="D2054" s="2" t="str">
        <f t="shared" si="31"/>
        <v>Error?</v>
      </c>
    </row>
    <row r="2055" spans="1:4" x14ac:dyDescent="0.2">
      <c r="A2055" s="5">
        <v>1994</v>
      </c>
      <c r="B2055" s="1832">
        <f>'Cap Outlay Deprec 26'!K16</f>
        <v>38321965</v>
      </c>
      <c r="C2055" s="2" t="s">
        <v>569</v>
      </c>
      <c r="D2055" s="2" t="str">
        <f t="shared" si="31"/>
        <v>Error?</v>
      </c>
    </row>
    <row r="2056" spans="1:4" x14ac:dyDescent="0.2">
      <c r="A2056" s="5">
        <v>1995</v>
      </c>
      <c r="B2056" s="1832">
        <f>'Cap Outlay Deprec 26'!L5</f>
        <v>1594964</v>
      </c>
      <c r="C2056" s="2" t="s">
        <v>569</v>
      </c>
      <c r="D2056" s="2" t="str">
        <f t="shared" si="31"/>
        <v>Error?</v>
      </c>
    </row>
    <row r="2057" spans="1:4" x14ac:dyDescent="0.2">
      <c r="A2057" s="5">
        <v>1996</v>
      </c>
      <c r="B2057" s="1832">
        <f>'Cap Outlay Deprec 26'!L8</f>
        <v>30352170</v>
      </c>
      <c r="C2057" s="2" t="s">
        <v>569</v>
      </c>
      <c r="D2057" s="2" t="str">
        <f t="shared" si="31"/>
        <v>Error?</v>
      </c>
    </row>
    <row r="2058" spans="1:4" x14ac:dyDescent="0.2">
      <c r="A2058" s="5">
        <v>1997</v>
      </c>
      <c r="B2058" s="1832">
        <f>'Cap Outlay Deprec 26'!L10</f>
        <v>0</v>
      </c>
      <c r="C2058" s="2" t="s">
        <v>569</v>
      </c>
      <c r="D2058" s="2" t="str">
        <f t="shared" si="31"/>
        <v>Error?</v>
      </c>
    </row>
    <row r="2059" spans="1:4" x14ac:dyDescent="0.2">
      <c r="A2059" s="5">
        <v>1998</v>
      </c>
      <c r="B2059" s="1832">
        <f>'Cap Outlay Deprec 26'!L12</f>
        <v>173874</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32121008</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2595790</v>
      </c>
      <c r="C2088" s="2" t="s">
        <v>569</v>
      </c>
      <c r="D2088" s="2" t="str">
        <f t="shared" si="31"/>
        <v>Error?</v>
      </c>
    </row>
    <row r="2089" spans="1:4" x14ac:dyDescent="0.2">
      <c r="A2089" s="5">
        <v>2028</v>
      </c>
      <c r="B2089" s="1832">
        <f>'Expenditures 15-22'!K92</f>
        <v>208265</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14964</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826283</v>
      </c>
      <c r="D2435" s="2" t="str">
        <f t="shared" si="37"/>
        <v>Error?</v>
      </c>
    </row>
    <row r="2436" spans="1:4" x14ac:dyDescent="0.2">
      <c r="A2436" s="10">
        <v>2375</v>
      </c>
      <c r="B2436" s="1832"/>
      <c r="D2436" s="2" t="str">
        <f t="shared" si="37"/>
        <v>OK</v>
      </c>
    </row>
    <row r="2437" spans="1:4" x14ac:dyDescent="0.2">
      <c r="A2437" s="5">
        <v>2376</v>
      </c>
      <c r="B2437" s="1832">
        <f>'Assets-Liab 5-6'!D38</f>
        <v>216759</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1110419</v>
      </c>
      <c r="D2475" s="2" t="str">
        <f t="shared" si="37"/>
        <v>Error?</v>
      </c>
    </row>
    <row r="2476" spans="1:4" x14ac:dyDescent="0.2">
      <c r="A2476" s="10">
        <v>2415</v>
      </c>
      <c r="B2476" s="1832"/>
      <c r="D2476" s="2" t="str">
        <f t="shared" si="37"/>
        <v>OK</v>
      </c>
    </row>
    <row r="2477" spans="1:4" x14ac:dyDescent="0.2">
      <c r="A2477" s="5">
        <v>2416</v>
      </c>
      <c r="B2477" s="1832">
        <f>'Assets-Liab 5-6'!G38</f>
        <v>586802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1535533</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7761587</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2817694</v>
      </c>
      <c r="C2553" s="2" t="s">
        <v>569</v>
      </c>
      <c r="D2553" s="2" t="str">
        <f t="shared" si="38"/>
        <v>Error?</v>
      </c>
    </row>
    <row r="2554" spans="1:4" x14ac:dyDescent="0.2">
      <c r="A2554" s="5">
        <v>2493</v>
      </c>
      <c r="B2554" s="1832">
        <f>'Acct Summary 7-8'!C7</f>
        <v>1998259</v>
      </c>
      <c r="C2554" s="2" t="s">
        <v>569</v>
      </c>
      <c r="D2554" s="2" t="str">
        <f t="shared" si="38"/>
        <v>Error?</v>
      </c>
    </row>
    <row r="2555" spans="1:4" x14ac:dyDescent="0.2">
      <c r="A2555" s="5">
        <v>2494</v>
      </c>
      <c r="B2555" s="1832">
        <f>'Acct Summary 7-8'!C8</f>
        <v>12651361</v>
      </c>
      <c r="C2555" s="2" t="s">
        <v>569</v>
      </c>
      <c r="D2555" s="2" t="str">
        <f t="shared" si="38"/>
        <v>Error?</v>
      </c>
    </row>
    <row r="2556" spans="1:4" x14ac:dyDescent="0.2">
      <c r="A2556" s="5">
        <v>2495</v>
      </c>
      <c r="B2556" s="1832">
        <f>'Acct Summary 7-8'!C12</f>
        <v>5954656</v>
      </c>
      <c r="C2556" s="2" t="s">
        <v>569</v>
      </c>
      <c r="D2556" s="2" t="str">
        <f t="shared" si="38"/>
        <v>Error?</v>
      </c>
    </row>
    <row r="2557" spans="1:4" x14ac:dyDescent="0.2">
      <c r="A2557" s="5">
        <v>2496</v>
      </c>
      <c r="B2557" s="1832">
        <f>'Acct Summary 7-8'!C13</f>
        <v>4040845</v>
      </c>
      <c r="C2557" s="2" t="s">
        <v>569</v>
      </c>
      <c r="D2557" s="2" t="str">
        <f t="shared" si="38"/>
        <v>Error?</v>
      </c>
    </row>
    <row r="2558" spans="1:4" x14ac:dyDescent="0.2">
      <c r="A2558" s="5">
        <v>2497</v>
      </c>
      <c r="B2558" s="1832">
        <f>'Acct Summary 7-8'!C14</f>
        <v>12450</v>
      </c>
      <c r="C2558" s="2" t="s">
        <v>569</v>
      </c>
      <c r="D2558" s="2" t="str">
        <f t="shared" si="38"/>
        <v>Error?</v>
      </c>
    </row>
    <row r="2559" spans="1:4" x14ac:dyDescent="0.2">
      <c r="A2559" s="5">
        <v>2498</v>
      </c>
      <c r="B2559" s="1832">
        <f>'Acct Summary 7-8'!C15</f>
        <v>2804055</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12812006</v>
      </c>
      <c r="C2561" s="2" t="s">
        <v>569</v>
      </c>
      <c r="D2561" s="2" t="str">
        <f t="shared" si="39"/>
        <v>Error?</v>
      </c>
    </row>
    <row r="2562" spans="1:4" x14ac:dyDescent="0.2">
      <c r="A2562" s="5">
        <v>2501</v>
      </c>
      <c r="B2562" s="1832">
        <f>'Acct Summary 7-8'!C20</f>
        <v>-160645</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1116947</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569</v>
      </c>
      <c r="D2566" s="2" t="str">
        <f t="shared" si="39"/>
        <v>Error?</v>
      </c>
    </row>
    <row r="2567" spans="1:4" x14ac:dyDescent="0.2">
      <c r="A2567" s="5">
        <v>2506</v>
      </c>
      <c r="B2567" s="1832">
        <f>'Acct Summary 7-8'!D7</f>
        <v>750000</v>
      </c>
      <c r="C2567" s="2" t="s">
        <v>569</v>
      </c>
      <c r="D2567" s="2" t="str">
        <f t="shared" si="39"/>
        <v>Error?</v>
      </c>
    </row>
    <row r="2568" spans="1:4" x14ac:dyDescent="0.2">
      <c r="A2568" s="5">
        <v>2507</v>
      </c>
      <c r="B2568" s="1832">
        <f>'Acct Summary 7-8'!D8</f>
        <v>1916947</v>
      </c>
      <c r="C2568" s="2" t="s">
        <v>569</v>
      </c>
      <c r="D2568" s="2" t="str">
        <f t="shared" si="39"/>
        <v>Error?</v>
      </c>
    </row>
    <row r="2569" spans="1:4" x14ac:dyDescent="0.2">
      <c r="A2569" s="5">
        <v>2508</v>
      </c>
      <c r="B2569" s="1832">
        <f>'Acct Summary 7-8'!D13</f>
        <v>1980660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1980660</v>
      </c>
      <c r="C2573" s="2" t="s">
        <v>569</v>
      </c>
      <c r="D2573" s="2" t="str">
        <f t="shared" si="39"/>
        <v>Error?</v>
      </c>
    </row>
    <row r="2574" spans="1:4" x14ac:dyDescent="0.2">
      <c r="A2574" s="5">
        <v>2513</v>
      </c>
      <c r="B2574" s="1832">
        <f>'Acct Summary 7-8'!D20</f>
        <v>-63713</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375091</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841753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1216844</v>
      </c>
      <c r="C2595" s="2" t="s">
        <v>569</v>
      </c>
      <c r="D2595" s="2" t="str">
        <f t="shared" si="39"/>
        <v>Error?</v>
      </c>
    </row>
    <row r="2596" spans="1:4" x14ac:dyDescent="0.2">
      <c r="A2596" s="5">
        <v>2535</v>
      </c>
      <c r="B2596" s="1832">
        <f>'Acct Summary 7-8'!F13</f>
        <v>1530693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1530693</v>
      </c>
      <c r="C2600" s="2" t="s">
        <v>569</v>
      </c>
      <c r="D2600" s="2" t="str">
        <f t="shared" si="39"/>
        <v>Error?</v>
      </c>
    </row>
    <row r="2601" spans="1:4" x14ac:dyDescent="0.2">
      <c r="A2601" s="5">
        <v>2540</v>
      </c>
      <c r="B2601" s="1832">
        <f>'Acct Summary 7-8'!F20</f>
        <v>-313849</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353096</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353096</v>
      </c>
      <c r="C2606" s="2" t="s">
        <v>569</v>
      </c>
      <c r="D2606" s="2" t="str">
        <f t="shared" si="39"/>
        <v>Error?</v>
      </c>
    </row>
    <row r="2607" spans="1:4" x14ac:dyDescent="0.2">
      <c r="A2607" s="5">
        <v>2546</v>
      </c>
      <c r="B2607" s="1832">
        <f>'Acct Summary 7-8'!G12</f>
        <v>61779</v>
      </c>
      <c r="C2607" s="2" t="s">
        <v>569</v>
      </c>
      <c r="D2607" s="2" t="str">
        <f t="shared" si="39"/>
        <v>Error?</v>
      </c>
    </row>
    <row r="2608" spans="1:4" x14ac:dyDescent="0.2">
      <c r="A2608" s="5">
        <v>2547</v>
      </c>
      <c r="B2608" s="1832">
        <f>'Acct Summary 7-8'!G13</f>
        <v>376530</v>
      </c>
      <c r="C2608" s="2" t="s">
        <v>569</v>
      </c>
      <c r="D2608" s="2" t="str">
        <f t="shared" si="39"/>
        <v>Error?</v>
      </c>
    </row>
    <row r="2609" spans="1:4" x14ac:dyDescent="0.2">
      <c r="A2609" s="5">
        <v>2548</v>
      </c>
      <c r="B2609" s="1832">
        <f>'Acct Summary 7-8'!G14</f>
        <v>31</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438340</v>
      </c>
      <c r="C2612" s="2" t="s">
        <v>569</v>
      </c>
      <c r="D2612" s="2" t="str">
        <f t="shared" si="39"/>
        <v>Error?</v>
      </c>
    </row>
    <row r="2613" spans="1:4" x14ac:dyDescent="0.2">
      <c r="A2613" s="5">
        <v>2552</v>
      </c>
      <c r="B2613" s="1832">
        <f>'Acct Summary 7-8'!G20</f>
        <v>-85244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2397816</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2397816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2445619</v>
      </c>
      <c r="C2634" s="2" t="s">
        <v>569</v>
      </c>
      <c r="D2634" s="2" t="str">
        <f t="shared" si="40"/>
        <v>Error?</v>
      </c>
    </row>
    <row r="2635" spans="1:4" x14ac:dyDescent="0.2">
      <c r="A2635" s="5">
        <v>2574</v>
      </c>
      <c r="B2635" s="1832">
        <f>'Acct Summary 7-8'!E17</f>
        <v>2445619</v>
      </c>
      <c r="C2635" s="2" t="s">
        <v>569</v>
      </c>
      <c r="D2635" s="2" t="str">
        <f t="shared" si="40"/>
        <v>Error?</v>
      </c>
    </row>
    <row r="2636" spans="1:4" x14ac:dyDescent="0.2">
      <c r="A2636" s="5">
        <v>2575</v>
      </c>
      <c r="B2636" s="1832">
        <f>'Acct Summary 7-8'!E20</f>
        <v>-47803</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2595790</v>
      </c>
      <c r="C2789" s="2" t="s">
        <v>569</v>
      </c>
      <c r="D2789" s="2" t="str">
        <f t="shared" si="42"/>
        <v>Error?</v>
      </c>
    </row>
    <row r="2790" spans="1:4" x14ac:dyDescent="0.2">
      <c r="A2790" s="5">
        <v>2729</v>
      </c>
      <c r="B2790" s="1832">
        <f>'Expenditures 15-22'!E102</f>
        <v>2595790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1812728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517410</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1812728</v>
      </c>
      <c r="D2912" s="2" t="str">
        <f t="shared" si="44"/>
        <v>Error?</v>
      </c>
    </row>
    <row r="2913" spans="1:4" x14ac:dyDescent="0.2">
      <c r="A2913" s="5">
        <v>2852</v>
      </c>
      <c r="B2913" s="1832">
        <f>'Assets-Liab 5-6'!I41</f>
        <v>1812728</v>
      </c>
      <c r="C2913" s="2" t="s">
        <v>569</v>
      </c>
      <c r="D2913" s="2" t="str">
        <f t="shared" si="44"/>
        <v>Error?</v>
      </c>
    </row>
    <row r="2914" spans="1:4" x14ac:dyDescent="0.2">
      <c r="A2914" s="5">
        <v>2853</v>
      </c>
      <c r="B2914" s="1832">
        <f>'Assets-Liab 5-6'!L33</f>
        <v>367242</v>
      </c>
      <c r="D2914" s="2" t="str">
        <f t="shared" si="44"/>
        <v>Error?</v>
      </c>
    </row>
    <row r="2915" spans="1:4" x14ac:dyDescent="0.2">
      <c r="A2915" s="10">
        <v>2854</v>
      </c>
      <c r="B2915" s="1832"/>
      <c r="D2915" s="2" t="str">
        <f t="shared" si="44"/>
        <v>OK</v>
      </c>
    </row>
    <row r="2916" spans="1:4" x14ac:dyDescent="0.2">
      <c r="A2916" s="5">
        <v>2855</v>
      </c>
      <c r="B2916" s="1832">
        <f>'Assets-Liab 5-6'!L34</f>
        <v>367242</v>
      </c>
      <c r="C2916" s="2" t="s">
        <v>569</v>
      </c>
      <c r="D2916" s="2" t="str">
        <f t="shared" si="44"/>
        <v>Error?</v>
      </c>
    </row>
    <row r="2917" spans="1:4" x14ac:dyDescent="0.2">
      <c r="A2917" s="5">
        <v>2856</v>
      </c>
      <c r="B2917" s="1832">
        <f>'Assets-Liab 5-6'!L41</f>
        <v>517410</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4500</v>
      </c>
      <c r="D2949" s="2" t="str">
        <f t="shared" si="45"/>
        <v>Error?</v>
      </c>
    </row>
    <row r="2950" spans="1:4" x14ac:dyDescent="0.2">
      <c r="A2950" s="5">
        <v>2889</v>
      </c>
      <c r="B2950" s="1832">
        <f>'Expenditures 15-22'!E79</f>
        <v>2577594</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13696</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4500</v>
      </c>
      <c r="C2973" s="2" t="s">
        <v>569</v>
      </c>
      <c r="D2973" s="2" t="str">
        <f t="shared" si="45"/>
        <v>Error?</v>
      </c>
    </row>
    <row r="2974" spans="1:4" x14ac:dyDescent="0.2">
      <c r="A2974" s="5">
        <v>2913</v>
      </c>
      <c r="B2974" s="1832">
        <f>'Expenditures 15-22'!K79</f>
        <v>2577594</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13696</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174552</v>
      </c>
      <c r="D3055" s="2" t="str">
        <f t="shared" si="46"/>
        <v>Error?</v>
      </c>
    </row>
    <row r="3056" spans="1:4" x14ac:dyDescent="0.2">
      <c r="A3056" s="5">
        <v>2995</v>
      </c>
      <c r="B3056" s="1832">
        <f>'Expenditures 15-22'!D10</f>
        <v>30091</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64672</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269315</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150168</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53020</v>
      </c>
      <c r="C3225" s="2" t="s">
        <v>569</v>
      </c>
      <c r="D3225" s="2" t="str">
        <f t="shared" si="49"/>
        <v>Error?</v>
      </c>
    </row>
    <row r="3226" spans="1:4" x14ac:dyDescent="0.2">
      <c r="A3226" s="5">
        <v>3165</v>
      </c>
      <c r="B3226" s="1832">
        <f>'Acct Summary 7-8'!I8</f>
        <v>53020</v>
      </c>
      <c r="C3226" s="2" t="s">
        <v>569</v>
      </c>
      <c r="D3226" s="2" t="str">
        <f t="shared" si="49"/>
        <v>Error?</v>
      </c>
    </row>
    <row r="3227" spans="1:4" x14ac:dyDescent="0.2">
      <c r="A3227" s="5">
        <v>3166</v>
      </c>
      <c r="B3227" s="1832">
        <f>'Acct Summary 7-8'!I20</f>
        <v>53020</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14964</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14964</v>
      </c>
      <c r="C3232" s="2" t="s">
        <v>569</v>
      </c>
      <c r="D3232" s="2" t="str">
        <f t="shared" si="49"/>
        <v>Error?</v>
      </c>
    </row>
    <row r="3233" spans="1:4" x14ac:dyDescent="0.2">
      <c r="A3233" s="5">
        <v>3172</v>
      </c>
      <c r="B3233" s="1832">
        <f>'Acct Summary 7-8'!C78</f>
        <v>-145681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-63713</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-313849</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-85244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-47803</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14964</v>
      </c>
      <c r="C3318" s="2" t="s">
        <v>569</v>
      </c>
      <c r="D3318" s="2" t="str">
        <f t="shared" si="50"/>
        <v>Error?</v>
      </c>
    </row>
    <row r="3319" spans="1:4" x14ac:dyDescent="0.2">
      <c r="A3319" s="5">
        <v>3258</v>
      </c>
      <c r="B3319" s="1832">
        <f>'Acct Summary 7-8'!I77</f>
        <v>-14964</v>
      </c>
      <c r="C3319" s="2" t="s">
        <v>569</v>
      </c>
      <c r="D3319" s="2" t="str">
        <f t="shared" si="50"/>
        <v>Error?</v>
      </c>
    </row>
    <row r="3320" spans="1:4" x14ac:dyDescent="0.2">
      <c r="A3320" s="5">
        <v>3259</v>
      </c>
      <c r="B3320" s="1832">
        <f>'Acct Summary 7-8'!I78</f>
        <v>38056</v>
      </c>
      <c r="C3320" s="2" t="s">
        <v>569</v>
      </c>
      <c r="D3320" s="2" t="str">
        <f t="shared" si="50"/>
        <v>Error?</v>
      </c>
    </row>
    <row r="3321" spans="1:4" x14ac:dyDescent="0.2">
      <c r="A3321" s="5">
        <v>3260</v>
      </c>
      <c r="B3321" s="1832">
        <f>'Acct Summary 7-8'!I79</f>
        <v>1774672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1812728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16338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2548</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431172</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450058</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33247</v>
      </c>
      <c r="D3387" s="2" t="str">
        <f t="shared" si="51"/>
        <v>Error?</v>
      </c>
    </row>
    <row r="3388" spans="1:4" x14ac:dyDescent="0.2">
      <c r="A3388" s="5">
        <v>3327</v>
      </c>
      <c r="B3388" s="1832">
        <f>'Expenditures 15-22'!D217</f>
        <v>290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33247</v>
      </c>
      <c r="C3390" s="2" t="s">
        <v>569</v>
      </c>
      <c r="D3390" s="2" t="str">
        <f t="shared" si="51"/>
        <v>Error?</v>
      </c>
    </row>
    <row r="3391" spans="1:4" x14ac:dyDescent="0.2">
      <c r="A3391" s="5">
        <v>3330</v>
      </c>
      <c r="B3391" s="1832">
        <f>'Expenditures 15-22'!K217</f>
        <v>290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73821</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11518891</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1163016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1535533</v>
      </c>
      <c r="D3417" s="2" t="str">
        <f t="shared" si="52"/>
        <v>Error?</v>
      </c>
    </row>
    <row r="3418" spans="1:4" x14ac:dyDescent="0.2">
      <c r="A3418" s="10">
        <v>3357</v>
      </c>
      <c r="B3418" s="1832"/>
      <c r="D3418" s="2" t="str">
        <f t="shared" si="52"/>
        <v>OK</v>
      </c>
    </row>
    <row r="3419" spans="1:4" x14ac:dyDescent="0.2">
      <c r="A3419" s="5">
        <v>3358</v>
      </c>
      <c r="B3419" s="1832">
        <f>'Assets-Liab 5-6'!F4</f>
        <v>1110419</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586802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1812728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517410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151403</v>
      </c>
      <c r="C3446" s="2" t="s">
        <v>569</v>
      </c>
      <c r="D3446" s="2" t="str">
        <f t="shared" si="52"/>
        <v>Error?</v>
      </c>
    </row>
    <row r="3447" spans="1:4" x14ac:dyDescent="0.2">
      <c r="A3447" s="5">
        <v>3386</v>
      </c>
      <c r="B3447" s="1832">
        <f>'Tax Sched 23'!D16</f>
        <v>151272</v>
      </c>
      <c r="C3447" s="2" t="s">
        <v>569</v>
      </c>
      <c r="D3447" s="2" t="str">
        <f t="shared" si="52"/>
        <v>Error?</v>
      </c>
    </row>
    <row r="3448" spans="1:4" x14ac:dyDescent="0.2">
      <c r="A3448" s="5">
        <v>3387</v>
      </c>
      <c r="B3448" s="1832">
        <f>'Tax Sched 23'!C16</f>
        <v>131</v>
      </c>
      <c r="D3448" s="2" t="str">
        <f t="shared" si="52"/>
        <v>Error?</v>
      </c>
    </row>
    <row r="3449" spans="1:4" x14ac:dyDescent="0.2">
      <c r="A3449" s="5">
        <v>3388</v>
      </c>
      <c r="B3449" s="1832">
        <f>'Tax Sched 23'!F16</f>
        <v>119</v>
      </c>
      <c r="C3449" s="2" t="s">
        <v>569</v>
      </c>
      <c r="D3449" s="2" t="str">
        <f t="shared" si="52"/>
        <v>Error?</v>
      </c>
    </row>
    <row r="3450" spans="1:4" x14ac:dyDescent="0.2">
      <c r="A3450" s="5">
        <v>3389</v>
      </c>
      <c r="B3450" s="1832">
        <f>'Tax Sched 23'!E16</f>
        <v>250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569</v>
      </c>
      <c r="D3568" s="2" t="str">
        <f t="shared" si="54"/>
        <v>Error?</v>
      </c>
    </row>
    <row r="3569" spans="1:4" x14ac:dyDescent="0.2">
      <c r="A3569" s="5">
        <v>3508</v>
      </c>
      <c r="B3569" s="1832">
        <f>'Acct Summary 7-8'!K4</f>
        <v>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0</v>
      </c>
      <c r="C3588" s="2" t="s">
        <v>569</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0</v>
      </c>
      <c r="C3725" s="2" t="s">
        <v>569</v>
      </c>
      <c r="D3725" s="2" t="str">
        <f t="shared" si="57"/>
        <v>Error?</v>
      </c>
    </row>
    <row r="3726" spans="1:4" x14ac:dyDescent="0.2">
      <c r="A3726" s="5">
        <v>3665</v>
      </c>
      <c r="B3726" s="1832">
        <f>'Tax Sched 23'!D13</f>
        <v>0</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569</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679032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645533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13296894</v>
      </c>
      <c r="C4122" s="2" t="s">
        <v>569</v>
      </c>
      <c r="D4122" s="2" t="str">
        <f t="shared" si="63"/>
        <v>Error?</v>
      </c>
    </row>
    <row r="4123" spans="1:4" x14ac:dyDescent="0.2">
      <c r="A4123" s="5">
        <v>4062</v>
      </c>
      <c r="B4123" s="1832">
        <f>'Acct Summary 7-8'!D10</f>
        <v>1916947</v>
      </c>
      <c r="C4123" s="2" t="s">
        <v>569</v>
      </c>
      <c r="D4123" s="2" t="str">
        <f t="shared" si="63"/>
        <v>Error?</v>
      </c>
    </row>
    <row r="4124" spans="1:4" x14ac:dyDescent="0.2">
      <c r="A4124" s="5">
        <v>4063</v>
      </c>
      <c r="B4124" s="1832">
        <f>'Acct Summary 7-8'!E10</f>
        <v>2397816</v>
      </c>
      <c r="C4124" s="2" t="s">
        <v>569</v>
      </c>
      <c r="D4124" s="2" t="str">
        <f t="shared" si="63"/>
        <v>Error?</v>
      </c>
    </row>
    <row r="4125" spans="1:4" x14ac:dyDescent="0.2">
      <c r="A4125" s="5">
        <v>4064</v>
      </c>
      <c r="B4125" s="1832">
        <f>'Acct Summary 7-8'!F10</f>
        <v>1216844</v>
      </c>
      <c r="C4125" s="2" t="s">
        <v>569</v>
      </c>
      <c r="D4125" s="2" t="str">
        <f t="shared" si="63"/>
        <v>Error?</v>
      </c>
    </row>
    <row r="4126" spans="1:4" x14ac:dyDescent="0.2">
      <c r="A4126" s="5">
        <v>4065</v>
      </c>
      <c r="B4126" s="1832">
        <f>'Acct Summary 7-8'!G10</f>
        <v>353096</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53020</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0</v>
      </c>
      <c r="C4130" s="2" t="s">
        <v>569</v>
      </c>
      <c r="D4130" s="2" t="str">
        <f t="shared" si="63"/>
        <v>Error?</v>
      </c>
    </row>
    <row r="4131" spans="1:4" x14ac:dyDescent="0.2">
      <c r="A4131" s="5">
        <v>4070</v>
      </c>
      <c r="B4131" s="1832">
        <f>'Acct Summary 7-8'!C18</f>
        <v>645533</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13457539</v>
      </c>
      <c r="C4136" s="2" t="s">
        <v>569</v>
      </c>
      <c r="D4136" s="2" t="str">
        <f t="shared" si="63"/>
        <v>Error?</v>
      </c>
    </row>
    <row r="4137" spans="1:4" x14ac:dyDescent="0.2">
      <c r="A4137" s="5">
        <v>4076</v>
      </c>
      <c r="B4137" s="1832">
        <f>'Acct Summary 7-8'!D19</f>
        <v>1980660</v>
      </c>
      <c r="C4137" s="2" t="s">
        <v>569</v>
      </c>
      <c r="D4137" s="2" t="str">
        <f t="shared" si="63"/>
        <v>Error?</v>
      </c>
    </row>
    <row r="4138" spans="1:4" x14ac:dyDescent="0.2">
      <c r="A4138" s="5">
        <v>4077</v>
      </c>
      <c r="B4138" s="1832">
        <f>'Acct Summary 7-8'!E19</f>
        <v>2445619</v>
      </c>
      <c r="C4138" s="2" t="s">
        <v>569</v>
      </c>
      <c r="D4138" s="2" t="str">
        <f t="shared" si="63"/>
        <v>Error?</v>
      </c>
    </row>
    <row r="4139" spans="1:4" x14ac:dyDescent="0.2">
      <c r="A4139" s="5">
        <v>4078</v>
      </c>
      <c r="B4139" s="1832">
        <f>'Acct Summary 7-8'!F19</f>
        <v>1530693</v>
      </c>
      <c r="C4139" s="2" t="s">
        <v>569</v>
      </c>
      <c r="D4139" s="2" t="str">
        <f t="shared" si="63"/>
        <v>Error?</v>
      </c>
    </row>
    <row r="4140" spans="1:4" x14ac:dyDescent="0.2">
      <c r="A4140" s="5">
        <v>4079</v>
      </c>
      <c r="B4140" s="1832">
        <f>'Acct Summary 7-8'!G19</f>
        <v>438340</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27105998</v>
      </c>
      <c r="C4171" s="2" t="s">
        <v>569</v>
      </c>
      <c r="D4171" s="2" t="str">
        <f t="shared" si="64"/>
        <v>Error?</v>
      </c>
    </row>
    <row r="4172" spans="1:4" x14ac:dyDescent="0.2">
      <c r="A4172" s="5">
        <v>4111</v>
      </c>
      <c r="B4172" s="1832">
        <f>'Short-Term Long-Term Debt 24'!J49</f>
        <v>25570465</v>
      </c>
      <c r="C4172" s="2" t="s">
        <v>569</v>
      </c>
      <c r="D4172" s="2" t="str">
        <f t="shared" si="64"/>
        <v>Error?</v>
      </c>
    </row>
    <row r="4173" spans="1:4" x14ac:dyDescent="0.2">
      <c r="A4173" s="5">
        <v>4112</v>
      </c>
      <c r="B4173" s="1832">
        <f>'Short-Term Long-Term Debt 24'!H49</f>
        <v>1068098</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2700.2999999999997</v>
      </c>
      <c r="C4265" s="2" t="s">
        <v>569</v>
      </c>
      <c r="D4265" s="2" t="str">
        <f t="shared" si="65"/>
        <v>Error?</v>
      </c>
      <c r="E4265" s="125"/>
    </row>
    <row r="4266" spans="1:5" x14ac:dyDescent="0.2">
      <c r="A4266" s="12">
        <v>4205</v>
      </c>
      <c r="B4266" s="1832">
        <f>('FP Info 3'!F10)*100000</f>
        <v>381.7</v>
      </c>
      <c r="C4266" s="2" t="s">
        <v>569</v>
      </c>
      <c r="D4266" s="2" t="str">
        <f t="shared" si="65"/>
        <v>Error?</v>
      </c>
      <c r="E4266" s="125"/>
    </row>
    <row r="4267" spans="1:5" x14ac:dyDescent="0.2">
      <c r="A4267" s="12">
        <v>4206</v>
      </c>
      <c r="B4267" s="1832">
        <f>('FP Info 3'!H10)*100000</f>
        <v>150.6</v>
      </c>
      <c r="C4267" s="2" t="s">
        <v>569</v>
      </c>
      <c r="D4267" s="2" t="str">
        <f t="shared" si="65"/>
        <v>Error?</v>
      </c>
      <c r="E4267" s="125"/>
    </row>
    <row r="4268" spans="1:5" x14ac:dyDescent="0.2">
      <c r="A4268" s="12">
        <v>4207</v>
      </c>
      <c r="B4268" s="1832">
        <f>('FP Info 3'!J10)*100000</f>
        <v>3232.9999999999995</v>
      </c>
      <c r="C4268" s="2" t="s">
        <v>569</v>
      </c>
      <c r="D4268" s="2" t="str">
        <f t="shared" si="65"/>
        <v>Error?</v>
      </c>
    </row>
    <row r="4269" spans="1:5" x14ac:dyDescent="0.2">
      <c r="A4269" s="12">
        <v>4208</v>
      </c>
      <c r="B4269" s="1832">
        <f>'FP Info 3'!J16</f>
        <v>15605054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18364</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61368</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15.799999999999999</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50000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249946709</v>
      </c>
      <c r="D4995" s="2" t="str">
        <f t="shared" si="77"/>
        <v>Error?</v>
      </c>
    </row>
    <row r="4996" spans="1:4" x14ac:dyDescent="0.2">
      <c r="A4996" s="12">
        <v>4935</v>
      </c>
      <c r="B4996" s="1832">
        <f>'FP Info 3'!H31</f>
        <v>34492645.842</v>
      </c>
      <c r="D4996" s="2" t="str">
        <f t="shared" si="77"/>
        <v>Error?</v>
      </c>
    </row>
    <row r="4997" spans="1:4" x14ac:dyDescent="0.2">
      <c r="A4997" s="12">
        <v>4936</v>
      </c>
      <c r="B4997" s="1832">
        <f>'FP Info 3'!H37</f>
        <v>27105998</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6282733</v>
      </c>
      <c r="D5061" s="2" t="str">
        <f t="shared" si="78"/>
        <v>Error?</v>
      </c>
    </row>
    <row r="5062" spans="1:4" x14ac:dyDescent="0.2">
      <c r="A5062" s="10">
        <v>5001</v>
      </c>
      <c r="B5062" s="1832"/>
      <c r="D5062" s="2" t="str">
        <f t="shared" si="78"/>
        <v>OK</v>
      </c>
    </row>
    <row r="5063" spans="1:4" x14ac:dyDescent="0.2">
      <c r="A5063" s="5">
        <v>5002</v>
      </c>
      <c r="B5063" s="1832">
        <f>'Revenues 9-14'!C7</f>
        <v>32525</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6315258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277732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277732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14976</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14976</v>
      </c>
      <c r="C5087" s="2" t="s">
        <v>569</v>
      </c>
      <c r="D5087" s="2" t="str">
        <f t="shared" si="78"/>
        <v>Error?</v>
      </c>
    </row>
    <row r="5088" spans="1:4" x14ac:dyDescent="0.2">
      <c r="A5088" s="5">
        <v>5027</v>
      </c>
      <c r="B5088" s="1832">
        <f>'Revenues 9-14'!C65</f>
        <v>96672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96672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44704</v>
      </c>
      <c r="D5095" s="2" t="str">
        <f t="shared" si="78"/>
        <v>Error?</v>
      </c>
    </row>
    <row r="5096" spans="1:4" x14ac:dyDescent="0.2">
      <c r="A5096" s="5">
        <v>5035</v>
      </c>
      <c r="B5096" s="1832">
        <f>'Revenues 9-14'!C75</f>
        <v>243769</v>
      </c>
      <c r="C5096" s="2" t="s">
        <v>569</v>
      </c>
      <c r="D5096" s="2" t="str">
        <f t="shared" si="78"/>
        <v>Error?</v>
      </c>
    </row>
    <row r="5097" spans="1:4" x14ac:dyDescent="0.2">
      <c r="A5097" s="5">
        <v>5036</v>
      </c>
      <c r="B5097" s="1832">
        <f>'Revenues 9-14'!C77</f>
        <v>27983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7108</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35091</v>
      </c>
      <c r="C5102" s="2" t="s">
        <v>569</v>
      </c>
      <c r="D5102" s="2" t="str">
        <f t="shared" si="78"/>
        <v>Error?</v>
      </c>
    </row>
    <row r="5103" spans="1:4" x14ac:dyDescent="0.2">
      <c r="A5103" s="5">
        <v>5042</v>
      </c>
      <c r="B5103" s="1832">
        <f>'Revenues 9-14'!C84</f>
        <v>69570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69570</v>
      </c>
      <c r="C5112" s="2" t="s">
        <v>569</v>
      </c>
      <c r="D5112" s="2" t="str">
        <f t="shared" si="78"/>
        <v>Error?</v>
      </c>
    </row>
    <row r="5113" spans="1:4" x14ac:dyDescent="0.2">
      <c r="A5113" s="5">
        <v>5052</v>
      </c>
      <c r="B5113" s="1832">
        <f>'Revenues 9-14'!C95</f>
        <v>107279</v>
      </c>
      <c r="D5113" s="2" t="str">
        <f t="shared" si="78"/>
        <v>Error?</v>
      </c>
    </row>
    <row r="5114" spans="1:4" x14ac:dyDescent="0.2">
      <c r="A5114" s="5">
        <v>5053</v>
      </c>
      <c r="B5114" s="1832">
        <f>'Revenues 9-14'!C96</f>
        <v>306425</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267221</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24794</v>
      </c>
      <c r="D5119" s="2" t="str">
        <f t="shared" ref="D5119:D5182" si="79">IF(ISBLANK(B5119),"OK",IF(A5119-B5119=0,"OK","Error?"))</f>
        <v>Error?</v>
      </c>
    </row>
    <row r="5120" spans="1:4" x14ac:dyDescent="0.2">
      <c r="A5120" s="5">
        <v>5059</v>
      </c>
      <c r="B5120" s="1832">
        <f>'Revenues 9-14'!C108</f>
        <v>708519</v>
      </c>
      <c r="C5120" s="2" t="s">
        <v>569</v>
      </c>
      <c r="D5120" s="2" t="str">
        <f t="shared" si="79"/>
        <v>Error?</v>
      </c>
    </row>
    <row r="5121" spans="1:4" x14ac:dyDescent="0.2">
      <c r="A5121" s="5">
        <v>5060</v>
      </c>
      <c r="B5121" s="1832">
        <f>'Revenues 9-14'!C109</f>
        <v>7761587</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73821</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73821</v>
      </c>
      <c r="C5125" s="2" t="s">
        <v>569</v>
      </c>
      <c r="D5125" s="2" t="str">
        <f t="shared" si="79"/>
        <v>Error?</v>
      </c>
    </row>
    <row r="5126" spans="1:4" x14ac:dyDescent="0.2">
      <c r="A5126" s="5">
        <v>5065</v>
      </c>
      <c r="B5126" s="1832">
        <f>'Revenues 9-14'!C117</f>
        <v>2544505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2544505</v>
      </c>
      <c r="C5132" s="2" t="s">
        <v>569</v>
      </c>
      <c r="D5132" s="2" t="str">
        <f t="shared" si="79"/>
        <v>Error?</v>
      </c>
    </row>
    <row r="5133" spans="1:4" x14ac:dyDescent="0.2">
      <c r="A5133" s="5">
        <v>5072</v>
      </c>
      <c r="B5133" s="1832">
        <f>'Revenues 9-14'!C125</f>
        <v>33777</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78617</v>
      </c>
      <c r="D5137" s="2" t="str">
        <f t="shared" si="79"/>
        <v>Error?</v>
      </c>
    </row>
    <row r="5138" spans="1:4" x14ac:dyDescent="0.2">
      <c r="A5138" s="10">
        <v>5077</v>
      </c>
      <c r="B5138" s="1832"/>
      <c r="D5138" s="2" t="str">
        <f t="shared" si="79"/>
        <v>OK</v>
      </c>
    </row>
    <row r="5139" spans="1:4" x14ac:dyDescent="0.2">
      <c r="A5139" s="5">
        <v>5078</v>
      </c>
      <c r="B5139" s="1832">
        <f>'Revenues 9-14'!C129</f>
        <v>7587</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119981</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22202</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22202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3202</v>
      </c>
      <c r="D5167" s="2" t="str">
        <f t="shared" si="79"/>
        <v>Error?</v>
      </c>
    </row>
    <row r="5168" spans="1:4" x14ac:dyDescent="0.2">
      <c r="A5168" s="5">
        <v>5107</v>
      </c>
      <c r="B5168" s="1832">
        <f>'Revenues 9-14'!C148</f>
        <v>12489</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115315</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273189</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2817694</v>
      </c>
      <c r="C5223" s="2" t="s">
        <v>569</v>
      </c>
      <c r="D5223" s="2" t="str">
        <f t="shared" si="80"/>
        <v>Error?</v>
      </c>
    </row>
    <row r="5224" spans="1:4" x14ac:dyDescent="0.2">
      <c r="A5224" s="5">
        <v>5163</v>
      </c>
      <c r="B5224" s="1832">
        <f>'Revenues 9-14'!C173</f>
        <v>1347538</v>
      </c>
      <c r="D5224" s="2" t="str">
        <f t="shared" si="80"/>
        <v>Error?</v>
      </c>
    </row>
    <row r="5225" spans="1:4" x14ac:dyDescent="0.2">
      <c r="A5225" s="5">
        <v>5164</v>
      </c>
      <c r="B5225" s="1832">
        <f>'Revenues 9-14'!C175</f>
        <v>1347538</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173974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43963</v>
      </c>
      <c r="D5241" s="2" t="str">
        <f t="shared" si="80"/>
        <v>Error?</v>
      </c>
    </row>
    <row r="5242" spans="1:4" x14ac:dyDescent="0.2">
      <c r="A5242" s="5">
        <v>5181</v>
      </c>
      <c r="B5242" s="1832">
        <f>'Revenues 9-14'!C194</f>
        <v>28760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246697</v>
      </c>
      <c r="C5246" s="2" t="s">
        <v>569</v>
      </c>
      <c r="D5246" s="2" t="str">
        <f t="shared" si="80"/>
        <v>Error?</v>
      </c>
    </row>
    <row r="5247" spans="1:4" x14ac:dyDescent="0.2">
      <c r="A5247" s="5">
        <v>5186</v>
      </c>
      <c r="B5247" s="1832">
        <f>'Revenues 9-14'!C200</f>
        <v>324292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324292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650721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1998259</v>
      </c>
      <c r="C5326" s="2" t="s">
        <v>569</v>
      </c>
      <c r="D5326" s="2" t="str">
        <f t="shared" si="82"/>
        <v>Error?</v>
      </c>
    </row>
    <row r="5327" spans="1:5" x14ac:dyDescent="0.2">
      <c r="A5327" s="5">
        <v>5266</v>
      </c>
      <c r="B5327" s="1832">
        <f>'Revenues 9-14'!C268</f>
        <v>12651361</v>
      </c>
      <c r="C5327" s="2" t="s">
        <v>569</v>
      </c>
      <c r="D5327" s="2" t="str">
        <f t="shared" si="82"/>
        <v>Error?</v>
      </c>
    </row>
    <row r="5328" spans="1:5" x14ac:dyDescent="0.2">
      <c r="A5328" s="5">
        <v>5267</v>
      </c>
      <c r="B5328" s="1832">
        <f>'Revenues 9-14'!D5</f>
        <v>920927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920927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100000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100000</v>
      </c>
      <c r="C5339" s="2" t="s">
        <v>569</v>
      </c>
      <c r="D5339" s="2" t="str">
        <f t="shared" si="82"/>
        <v>Error?</v>
      </c>
    </row>
    <row r="5340" spans="1:4" x14ac:dyDescent="0.2">
      <c r="A5340" s="5">
        <v>5279</v>
      </c>
      <c r="B5340" s="1832">
        <f>'Revenues 9-14'!D65</f>
        <v>9320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9320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6050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6050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25000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55650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80650</v>
      </c>
      <c r="C5355" s="2" t="s">
        <v>569</v>
      </c>
      <c r="D5355" s="2" t="str">
        <f t="shared" si="82"/>
        <v>Error?</v>
      </c>
    </row>
    <row r="5356" spans="1:4" x14ac:dyDescent="0.2">
      <c r="A5356" s="5">
        <v>5295</v>
      </c>
      <c r="B5356" s="1832">
        <f>'Revenues 9-14'!D109</f>
        <v>1116947</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569</v>
      </c>
      <c r="D5421" s="2" t="str">
        <f t="shared" si="83"/>
        <v>Error?</v>
      </c>
    </row>
    <row r="5422" spans="1:4" x14ac:dyDescent="0.2">
      <c r="A5422" s="5">
        <v>5361</v>
      </c>
      <c r="B5422" s="1832">
        <f>'Revenues 9-14'!D173</f>
        <v>750000</v>
      </c>
      <c r="D5422" s="2" t="str">
        <f t="shared" si="83"/>
        <v>Error?</v>
      </c>
    </row>
    <row r="5423" spans="1:4" x14ac:dyDescent="0.2">
      <c r="A5423" s="5">
        <v>5362</v>
      </c>
      <c r="B5423" s="1832">
        <f>'Revenues 9-14'!D175</f>
        <v>750000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750000</v>
      </c>
      <c r="C5507" s="2" t="s">
        <v>569</v>
      </c>
      <c r="D5507" s="2" t="str">
        <f t="shared" si="85"/>
        <v>Error?</v>
      </c>
    </row>
    <row r="5508" spans="1:4" x14ac:dyDescent="0.2">
      <c r="A5508" s="5">
        <v>5447</v>
      </c>
      <c r="B5508" s="1832">
        <f>'Revenues 9-14'!D268</f>
        <v>1916947</v>
      </c>
      <c r="C5508" s="2" t="s">
        <v>569</v>
      </c>
      <c r="D5508" s="2" t="str">
        <f t="shared" si="85"/>
        <v>Error?</v>
      </c>
    </row>
    <row r="5509" spans="1:4" x14ac:dyDescent="0.2">
      <c r="A5509" s="5">
        <v>5448</v>
      </c>
      <c r="B5509" s="1832">
        <f>'Revenues 9-14'!E5</f>
        <v>2387106</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2387106</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10710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10710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2397816</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2397816</v>
      </c>
      <c r="C5552" s="2" t="s">
        <v>569</v>
      </c>
      <c r="D5552" s="2" t="str">
        <f t="shared" si="85"/>
        <v>Error?</v>
      </c>
    </row>
    <row r="5553" spans="1:4" x14ac:dyDescent="0.2">
      <c r="A5553" s="5">
        <v>5492</v>
      </c>
      <c r="B5553" s="1832">
        <f>'Revenues 9-14'!F5</f>
        <v>363384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363384</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11707</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11707</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375091</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386700</v>
      </c>
      <c r="D5615" s="2" t="str">
        <f t="shared" si="86"/>
        <v>Error?</v>
      </c>
    </row>
    <row r="5616" spans="1:4" x14ac:dyDescent="0.2">
      <c r="A5616" s="10">
        <v>5555</v>
      </c>
      <c r="B5616" s="1832"/>
      <c r="D5616" s="2" t="str">
        <f t="shared" si="86"/>
        <v>OK</v>
      </c>
    </row>
    <row r="5617" spans="1:5" x14ac:dyDescent="0.2">
      <c r="A5617" s="5">
        <v>5556</v>
      </c>
      <c r="B5617" s="1832">
        <f>'Revenues 9-14'!F153</f>
        <v>437087</v>
      </c>
      <c r="D5617" s="2" t="str">
        <f t="shared" si="86"/>
        <v>Error?</v>
      </c>
    </row>
    <row r="5618" spans="1:5" x14ac:dyDescent="0.2">
      <c r="A5618" s="5">
        <v>5557</v>
      </c>
      <c r="B5618" s="1832">
        <f>'Revenues 9-14'!F155</f>
        <v>823787</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17966</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841753</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841753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1216844</v>
      </c>
      <c r="C5720" s="2" t="s">
        <v>569</v>
      </c>
      <c r="D5720" s="2" t="str">
        <f t="shared" si="88"/>
        <v>Error?</v>
      </c>
    </row>
    <row r="5721" spans="1:4" x14ac:dyDescent="0.2">
      <c r="A5721" s="5">
        <v>5660</v>
      </c>
      <c r="B5721" s="1832">
        <f>'Revenues 9-14'!G5</f>
        <v>110515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151403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261918</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85000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85000</v>
      </c>
      <c r="C5730" s="2" t="s">
        <v>569</v>
      </c>
      <c r="D5730" s="2" t="str">
        <f t="shared" si="88"/>
        <v>Error?</v>
      </c>
    </row>
    <row r="5731" spans="1:4" x14ac:dyDescent="0.2">
      <c r="A5731" s="5">
        <v>5670</v>
      </c>
      <c r="B5731" s="1832">
        <f>'Revenues 9-14'!G65</f>
        <v>6178</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6178</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353096</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38056</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38056</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14964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14964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53020</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0</v>
      </c>
      <c r="C6023" s="2" t="s">
        <v>569</v>
      </c>
      <c r="D6023" s="2" t="str">
        <f t="shared" si="93"/>
        <v>Error?</v>
      </c>
    </row>
    <row r="6024" spans="1:5" x14ac:dyDescent="0.2">
      <c r="A6024" s="5">
        <v>5963</v>
      </c>
      <c r="B6024" s="1832">
        <f>'Revenues 9-14'!G109</f>
        <v>353096</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53020</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199065</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41180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790.5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-145681</v>
      </c>
      <c r="D6267" s="2" t="str">
        <f t="shared" si="96"/>
        <v>Error?</v>
      </c>
      <c r="E6267" s="2" t="s">
        <v>189</v>
      </c>
    </row>
    <row r="6268" spans="1:5" x14ac:dyDescent="0.2">
      <c r="A6268">
        <v>6207</v>
      </c>
      <c r="B6268" s="1832">
        <f>'Acct Summary 7-8'!D82</f>
        <v>-63713</v>
      </c>
      <c r="D6268" s="2" t="str">
        <f t="shared" si="96"/>
        <v>Error?</v>
      </c>
      <c r="E6268" s="2" t="s">
        <v>189</v>
      </c>
    </row>
    <row r="6269" spans="1:5" x14ac:dyDescent="0.2">
      <c r="A6269">
        <v>6208</v>
      </c>
      <c r="B6269" s="1832">
        <f>'Acct Summary 7-8'!E82</f>
        <v>-47803</v>
      </c>
      <c r="D6269" s="2" t="str">
        <f t="shared" si="96"/>
        <v>Error?</v>
      </c>
      <c r="E6269" s="2" t="s">
        <v>189</v>
      </c>
    </row>
    <row r="6270" spans="1:5" x14ac:dyDescent="0.2">
      <c r="A6270">
        <v>6209</v>
      </c>
      <c r="B6270" s="1832">
        <f>'Acct Summary 7-8'!F82</f>
        <v>-313849</v>
      </c>
      <c r="D6270" s="2" t="str">
        <f t="shared" si="96"/>
        <v>Error?</v>
      </c>
      <c r="E6270" s="2" t="s">
        <v>189</v>
      </c>
    </row>
    <row r="6271" spans="1:5" x14ac:dyDescent="0.2">
      <c r="A6271">
        <v>6210</v>
      </c>
      <c r="B6271" s="1832">
        <f>'Acct Summary 7-8'!G82</f>
        <v>-85244</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38056</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-1.2647137645455626E-2</v>
      </c>
      <c r="D6276" s="2" t="str">
        <f t="shared" si="97"/>
        <v>Error?</v>
      </c>
      <c r="E6276" s="2" t="s">
        <v>189</v>
      </c>
    </row>
    <row r="6277" spans="1:5" x14ac:dyDescent="0.2">
      <c r="A6277">
        <v>6216</v>
      </c>
      <c r="B6277" s="1832">
        <f>'Acct Summary 7-8'!D83</f>
        <v>-5.4782565330141635E-2</v>
      </c>
      <c r="D6277" s="2" t="str">
        <f t="shared" si="97"/>
        <v>Error?</v>
      </c>
      <c r="E6277" s="2" t="s">
        <v>189</v>
      </c>
    </row>
    <row r="6278" spans="1:5" x14ac:dyDescent="0.2">
      <c r="A6278">
        <v>6217</v>
      </c>
      <c r="B6278" s="1832">
        <f>'Acct Summary 7-8'!E83</f>
        <v>-3.1131209814442281E-2</v>
      </c>
      <c r="D6278" s="2" t="str">
        <f t="shared" si="97"/>
        <v>Error?</v>
      </c>
      <c r="E6278" s="2" t="s">
        <v>189</v>
      </c>
    </row>
    <row r="6279" spans="1:5" x14ac:dyDescent="0.2">
      <c r="A6279">
        <v>6218</v>
      </c>
      <c r="B6279" s="1832">
        <f>'Acct Summary 7-8'!F83</f>
        <v>-0.28264015655351721</v>
      </c>
      <c r="D6279" s="2" t="str">
        <f t="shared" si="97"/>
        <v>Error?</v>
      </c>
      <c r="E6279" s="2" t="s">
        <v>189</v>
      </c>
    </row>
    <row r="6280" spans="1:5" x14ac:dyDescent="0.2">
      <c r="A6280">
        <v>6219</v>
      </c>
      <c r="B6280" s="1832">
        <f>'Acct Summary 7-8'!G83</f>
        <v>-0.14526876186516066</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2.0993772921254594E-2</v>
      </c>
      <c r="D6282" s="2" t="str">
        <f t="shared" si="97"/>
        <v>Error?</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2800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61911</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84265</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836</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4685</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4685</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208265</v>
      </c>
      <c r="D6987" s="2" t="str">
        <f t="shared" si="108"/>
        <v>Error?</v>
      </c>
    </row>
    <row r="6988" spans="1:4" x14ac:dyDescent="0.2">
      <c r="A6988">
        <v>6927</v>
      </c>
      <c r="B6988" s="1832">
        <f>'Expenditures 15-22'!K88</f>
        <v>208265</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208265</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4685</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19018</v>
      </c>
      <c r="D7073" s="2" t="str">
        <f t="shared" si="109"/>
        <v>Error?</v>
      </c>
    </row>
    <row r="7074" spans="1:4" x14ac:dyDescent="0.2">
      <c r="A7074">
        <v>7013</v>
      </c>
      <c r="B7074" s="1832">
        <f>'Expenditures 15-22'!K216</f>
        <v>19018</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8634</v>
      </c>
      <c r="D7246" s="2" t="str">
        <f t="shared" si="112"/>
        <v>Error?</v>
      </c>
    </row>
    <row r="7247" spans="1:4" x14ac:dyDescent="0.2">
      <c r="A7247">
        <f t="shared" si="113"/>
        <v>7186</v>
      </c>
      <c r="B7247" s="1832">
        <f>'Expenditures 15-22'!E7</f>
        <v>762</v>
      </c>
      <c r="D7247" s="2" t="str">
        <f t="shared" si="112"/>
        <v>Error?</v>
      </c>
    </row>
    <row r="7248" spans="1:4" x14ac:dyDescent="0.2">
      <c r="A7248">
        <f t="shared" si="113"/>
        <v>7187</v>
      </c>
      <c r="B7248" s="1832">
        <f>'Expenditures 15-22'!F7</f>
        <v>12318</v>
      </c>
      <c r="D7248" s="2" t="str">
        <f t="shared" si="112"/>
        <v>Error?</v>
      </c>
    </row>
    <row r="7249" spans="1:4" x14ac:dyDescent="0.2">
      <c r="A7249">
        <f t="shared" si="113"/>
        <v>7188</v>
      </c>
      <c r="B7249" s="1832">
        <f>'Expenditures 15-22'!G7</f>
        <v>640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836</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1128628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2800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12489</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15289</v>
      </c>
      <c r="D7719" s="2" t="str">
        <f t="shared" si="126"/>
        <v>Error?</v>
      </c>
      <c r="E7719" s="2" t="s">
        <v>822</v>
      </c>
    </row>
    <row r="7720" spans="1:6" x14ac:dyDescent="0.2">
      <c r="A7720">
        <v>7659</v>
      </c>
      <c r="B7720" s="1832">
        <f>'Rest Tax Levies-Tort Im 25'!H14</f>
        <v>32525</v>
      </c>
      <c r="D7720" s="2" t="str">
        <f t="shared" si="126"/>
        <v>Error?</v>
      </c>
      <c r="E7720" s="2" t="s">
        <v>822</v>
      </c>
    </row>
    <row r="7721" spans="1:6" x14ac:dyDescent="0.2">
      <c r="A7721">
        <v>7660</v>
      </c>
      <c r="B7721" s="1832">
        <f>'Rest Tax Levies-Tort Im 25'!K14</f>
        <v>15289</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15289</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30160000</v>
      </c>
      <c r="D7817" s="2" t="str">
        <f t="shared" si="128"/>
        <v>Error?</v>
      </c>
      <c r="E7817" s="4" t="s">
        <v>1963</v>
      </c>
    </row>
    <row r="7818" spans="1:5" x14ac:dyDescent="0.2">
      <c r="A7818">
        <v>7757</v>
      </c>
      <c r="B7818" s="1832">
        <f>'PCTC-OEPP 27-28'!F172</f>
        <v>0</v>
      </c>
      <c r="D7818" s="2" t="str">
        <f t="shared" si="128"/>
        <v>Error?</v>
      </c>
      <c r="E7818" s="4" t="s">
        <v>1977</v>
      </c>
    </row>
    <row r="7819" spans="1:5" x14ac:dyDescent="0.2">
      <c r="A7819">
        <v>7758</v>
      </c>
      <c r="B7819" s="1832">
        <f>'PCTC-OEPP 27-28'!F173</f>
        <v>0</v>
      </c>
      <c r="D7819" s="2" t="str">
        <f t="shared" si="128"/>
        <v>Error?</v>
      </c>
      <c r="E7819" s="4" t="s">
        <v>1977</v>
      </c>
    </row>
    <row r="7820" spans="1:5" x14ac:dyDescent="0.2">
      <c r="A7820">
        <v>7759</v>
      </c>
      <c r="B7820" s="1832">
        <f>'ICR Computation 30'!E40</f>
        <v>-867573</v>
      </c>
      <c r="D7820" s="2" t="str">
        <f t="shared" si="128"/>
        <v>Error?</v>
      </c>
    </row>
    <row r="7821" spans="1:5" x14ac:dyDescent="0.2">
      <c r="A7821">
        <v>7760</v>
      </c>
      <c r="B7821" s="1832">
        <f>'ICR Computation 30'!G40</f>
        <v>-867573</v>
      </c>
      <c r="D7821" s="2" t="str">
        <f t="shared" si="128"/>
        <v>Error?</v>
      </c>
    </row>
    <row r="7822" spans="1:5" x14ac:dyDescent="0.2">
      <c r="A7822" s="1">
        <v>7761</v>
      </c>
      <c r="B7822" s="1832">
        <f>'PCTC-OEPP 27-28'!F14</f>
        <v>19207318</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83625</v>
      </c>
      <c r="D7826" s="2" t="str">
        <f t="shared" si="129"/>
        <v>Error?</v>
      </c>
      <c r="E7826" s="4" t="s">
        <v>1995</v>
      </c>
    </row>
    <row r="7827" spans="1:5" x14ac:dyDescent="0.2">
      <c r="A7827">
        <v>7766</v>
      </c>
      <c r="B7827" s="1832">
        <f>'PCTC-OEPP 27-28'!F35</f>
        <v>0</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0</v>
      </c>
      <c r="D7830" s="2" t="str">
        <f t="shared" si="129"/>
        <v>Error?</v>
      </c>
      <c r="E7830" s="4" t="s">
        <v>1995</v>
      </c>
    </row>
    <row r="7831" spans="1:5" x14ac:dyDescent="0.2">
      <c r="A7831">
        <v>7770</v>
      </c>
      <c r="B7831" s="1832">
        <f>'PCTC-OEPP 27-28'!F52</f>
        <v>12450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4428654</v>
      </c>
      <c r="D7834" s="2" t="str">
        <f t="shared" si="129"/>
        <v>Error?</v>
      </c>
      <c r="E7834" s="4" t="s">
        <v>1995</v>
      </c>
    </row>
    <row r="7835" spans="1:5" x14ac:dyDescent="0.2">
      <c r="A7835">
        <v>7774</v>
      </c>
      <c r="B7835" s="1832">
        <f>'PCTC-OEPP 27-28'!F78</f>
        <v>14778664</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18695.337128399748</v>
      </c>
      <c r="D7837" s="2" t="str">
        <f t="shared" si="129"/>
        <v>Error?</v>
      </c>
      <c r="E7837" s="4" t="s">
        <v>1995</v>
      </c>
    </row>
    <row r="7838" spans="1:5" x14ac:dyDescent="0.2">
      <c r="A7838">
        <v>7777</v>
      </c>
      <c r="B7838" s="1832">
        <f>'PCTC-OEPP 27-28'!F96</f>
        <v>41141</v>
      </c>
      <c r="D7838" s="2" t="str">
        <f t="shared" si="129"/>
        <v>Error?</v>
      </c>
      <c r="E7838" s="4" t="s">
        <v>1995</v>
      </c>
    </row>
    <row r="7839" spans="1:5" x14ac:dyDescent="0.2">
      <c r="A7839">
        <v>7778</v>
      </c>
      <c r="B7839" s="1832">
        <f>'PCTC-OEPP 27-28'!F102</f>
        <v>107279</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119981</v>
      </c>
      <c r="D7842" s="2" t="str">
        <f t="shared" si="129"/>
        <v>Error?</v>
      </c>
      <c r="E7842" s="4" t="s">
        <v>1995</v>
      </c>
    </row>
    <row r="7843" spans="1:5" x14ac:dyDescent="0.2">
      <c r="A7843">
        <v>7782</v>
      </c>
      <c r="B7843" s="1832">
        <f>'PCTC-OEPP 27-28'!F107</f>
        <v>22202</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12489</v>
      </c>
      <c r="D7846" s="2" t="str">
        <f t="shared" si="129"/>
        <v>Error?</v>
      </c>
      <c r="E7846" s="4" t="s">
        <v>1995</v>
      </c>
    </row>
    <row r="7847" spans="1:5" x14ac:dyDescent="0.2">
      <c r="A7847">
        <v>7786</v>
      </c>
      <c r="B7847" s="1832">
        <f>'PCTC-OEPP 27-28'!F112</f>
        <v>823787</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50000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246697</v>
      </c>
      <c r="D7858" s="2" t="str">
        <f t="shared" si="129"/>
        <v>Error?</v>
      </c>
      <c r="E7858" s="4" t="s">
        <v>1995</v>
      </c>
    </row>
    <row r="7859" spans="1:5" x14ac:dyDescent="0.2">
      <c r="A7859">
        <v>7798</v>
      </c>
      <c r="B7859" s="1832">
        <f>'PCTC-OEPP 27-28'!F127</f>
        <v>324292</v>
      </c>
      <c r="D7859" s="2" t="str">
        <f t="shared" si="129"/>
        <v>Error?</v>
      </c>
      <c r="E7859" s="4" t="s">
        <v>1995</v>
      </c>
    </row>
    <row r="7860" spans="1:5" x14ac:dyDescent="0.2">
      <c r="A7860">
        <v>7799</v>
      </c>
      <c r="B7860" s="1832">
        <f>'PCTC-OEPP 27-28'!F128</f>
        <v>0</v>
      </c>
      <c r="D7860" s="2" t="str">
        <f t="shared" si="129"/>
        <v>Error?</v>
      </c>
      <c r="E7860" s="4" t="s">
        <v>1995</v>
      </c>
    </row>
    <row r="7861" spans="1:5" x14ac:dyDescent="0.2">
      <c r="A7861">
        <v>7800</v>
      </c>
      <c r="B7861" s="1832">
        <f>'PCTC-OEPP 27-28'!F129</f>
        <v>0</v>
      </c>
      <c r="D7861" s="2" t="str">
        <f t="shared" si="129"/>
        <v>Error?</v>
      </c>
      <c r="E7861" s="4" t="s">
        <v>1995</v>
      </c>
    </row>
    <row r="7862" spans="1:5" x14ac:dyDescent="0.2">
      <c r="A7862">
        <v>7801</v>
      </c>
      <c r="B7862" s="1832">
        <f>'PCTC-OEPP 27-28'!F130</f>
        <v>0</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0</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0</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18364</v>
      </c>
      <c r="D7874" s="2" t="str">
        <f t="shared" si="129"/>
        <v>Error?</v>
      </c>
      <c r="E7874" s="4" t="s">
        <v>1995</v>
      </c>
    </row>
    <row r="7875" spans="1:5" x14ac:dyDescent="0.2">
      <c r="A7875">
        <v>7814</v>
      </c>
      <c r="B7875" s="1832">
        <f>'PCTC-OEPP 27-28'!F170</f>
        <v>61368</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2144141</v>
      </c>
      <c r="D7877" s="2" t="str">
        <f t="shared" si="129"/>
        <v>Error?</v>
      </c>
      <c r="E7877" s="4" t="s">
        <v>1995</v>
      </c>
    </row>
    <row r="7878" spans="1:5" x14ac:dyDescent="0.2">
      <c r="A7878">
        <v>7817</v>
      </c>
      <c r="B7878" s="1832">
        <f>'PCTC-OEPP 27-28'!F176</f>
        <v>12634523</v>
      </c>
      <c r="D7878" s="2" t="str">
        <f t="shared" si="129"/>
        <v>Error?</v>
      </c>
      <c r="E7878" s="4" t="s">
        <v>1995</v>
      </c>
    </row>
    <row r="7879" spans="1:5" x14ac:dyDescent="0.2">
      <c r="A7879">
        <v>7818</v>
      </c>
      <c r="B7879" s="1832">
        <f>'PCTC-OEPP 27-28'!F178</f>
        <v>13763151</v>
      </c>
      <c r="D7879" s="2" t="str">
        <f t="shared" si="129"/>
        <v>Error?</v>
      </c>
      <c r="E7879" s="4" t="s">
        <v>1995</v>
      </c>
    </row>
    <row r="7880" spans="1:5" x14ac:dyDescent="0.2">
      <c r="A7880">
        <v>7819</v>
      </c>
      <c r="B7880" s="1832">
        <f>'PCTC-OEPP 27-28'!F180</f>
        <v>17410.690702087286</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9" zoomScale="110" zoomScaleNormal="110" workbookViewId="0">
      <selection activeCell="B48" sqref="B48"/>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5" t="s">
        <v>1181</v>
      </c>
      <c r="B2" s="2535"/>
      <c r="C2" s="2535"/>
      <c r="D2" s="2535"/>
      <c r="E2" s="2535"/>
      <c r="F2" s="2535"/>
      <c r="G2" s="2535"/>
      <c r="H2" s="2535"/>
      <c r="I2" s="2535"/>
      <c r="J2" s="2535"/>
      <c r="K2" s="2535"/>
      <c r="L2" s="2535"/>
    </row>
    <row r="3" spans="1:29" ht="13.5" customHeight="1" x14ac:dyDescent="0.2">
      <c r="A3" s="2521" t="s">
        <v>1180</v>
      </c>
      <c r="B3" s="2521"/>
      <c r="C3" s="2521"/>
      <c r="D3" s="2521"/>
      <c r="E3" s="2521"/>
      <c r="F3" s="2521"/>
      <c r="G3" s="2521"/>
      <c r="H3" s="2521"/>
      <c r="I3" s="2521"/>
      <c r="J3" s="2521"/>
      <c r="K3" s="2521"/>
      <c r="L3" s="2521"/>
    </row>
    <row r="4" spans="1:29" ht="13.5" customHeight="1" x14ac:dyDescent="0.2">
      <c r="A4" s="2552" t="str">
        <f>"Year Ending June 30, "&amp;'AFR20'!E2</f>
        <v>Year Ending June 30, 2020</v>
      </c>
      <c r="B4" s="2553"/>
      <c r="C4" s="2553"/>
      <c r="D4" s="2553"/>
      <c r="E4" s="2553"/>
      <c r="F4" s="2553"/>
      <c r="G4" s="2553"/>
      <c r="H4" s="2553"/>
      <c r="I4" s="2553"/>
      <c r="J4" s="2553"/>
      <c r="K4" s="2553"/>
      <c r="L4" s="255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5" t="str">
        <f>COVER!A17</f>
        <v xml:space="preserve">  Wilmington CUSD 209U</v>
      </c>
      <c r="B7" s="2516"/>
      <c r="C7" s="2516"/>
      <c r="D7" s="2554"/>
      <c r="E7" s="2555" t="str">
        <f>COVER!A13</f>
        <v xml:space="preserve">56099209U26  </v>
      </c>
      <c r="F7" s="2556"/>
      <c r="G7" s="2522" t="str">
        <f>COVER!T23</f>
        <v>066-005100</v>
      </c>
      <c r="H7" s="2523"/>
      <c r="I7" s="2523"/>
      <c r="J7" s="2523"/>
      <c r="K7" s="2523"/>
      <c r="L7" s="252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5"/>
      <c r="B9" s="2526"/>
      <c r="C9" s="2526"/>
      <c r="D9" s="2526"/>
      <c r="E9" s="2526"/>
      <c r="F9" s="2527"/>
      <c r="G9" s="2528" t="str">
        <f>COVER!T13</f>
        <v>Mack &amp; Associates, P.C.</v>
      </c>
      <c r="H9" s="2529"/>
      <c r="I9" s="2529"/>
      <c r="J9" s="2529"/>
      <c r="K9" s="2529"/>
      <c r="L9" s="2530"/>
    </row>
    <row r="10" spans="1:29" ht="13.5" customHeight="1" x14ac:dyDescent="0.2">
      <c r="A10" s="2512" t="str">
        <f>COVER!A38</f>
        <v>Dr. Matt Swick</v>
      </c>
      <c r="B10" s="2513"/>
      <c r="C10" s="2513"/>
      <c r="D10" s="2513"/>
      <c r="E10" s="2513"/>
      <c r="F10" s="2514"/>
      <c r="G10" s="2528" t="str">
        <f>COVER!T17</f>
        <v>116 E. Washington St., Suite One</v>
      </c>
      <c r="H10" s="2541"/>
      <c r="I10" s="2541"/>
      <c r="J10" s="2541"/>
      <c r="K10" s="2541"/>
      <c r="L10" s="2542"/>
    </row>
    <row r="11" spans="1:29" ht="13.5" customHeight="1" x14ac:dyDescent="0.2">
      <c r="A11" s="963" t="s">
        <v>1502</v>
      </c>
      <c r="B11" s="964"/>
      <c r="C11" s="965"/>
      <c r="D11" s="970"/>
      <c r="E11" s="965"/>
      <c r="F11" s="969"/>
      <c r="G11" s="2528" t="str">
        <f>COVER!T19</f>
        <v xml:space="preserve">Morris </v>
      </c>
      <c r="H11" s="2541"/>
      <c r="I11" s="2541"/>
      <c r="J11" s="2541"/>
      <c r="K11" s="2541"/>
      <c r="L11" s="2542"/>
    </row>
    <row r="12" spans="1:29" ht="13.5" customHeight="1" x14ac:dyDescent="0.2">
      <c r="A12" s="2546" t="s">
        <v>1501</v>
      </c>
      <c r="B12" s="2547"/>
      <c r="C12" s="2547"/>
      <c r="D12" s="2547"/>
      <c r="E12" s="2547"/>
      <c r="F12" s="2548"/>
      <c r="G12" s="2543"/>
      <c r="H12" s="2544"/>
      <c r="I12" s="2544"/>
      <c r="J12" s="2544"/>
      <c r="K12" s="2544"/>
      <c r="L12" s="2545"/>
    </row>
    <row r="13" spans="1:29" ht="13.5" customHeight="1" x14ac:dyDescent="0.2">
      <c r="A13" s="2528"/>
      <c r="B13" s="2541"/>
      <c r="C13" s="2541"/>
      <c r="D13" s="2541"/>
      <c r="E13" s="2541"/>
      <c r="F13" s="2542"/>
      <c r="G13" s="2536" t="s">
        <v>1503</v>
      </c>
      <c r="H13" s="2537"/>
      <c r="I13" s="2549" t="str">
        <f>COVER!T25</f>
        <v>tmack@mackcpas.com</v>
      </c>
      <c r="J13" s="2550"/>
      <c r="K13" s="2550"/>
      <c r="L13" s="2551"/>
    </row>
    <row r="14" spans="1:29" ht="13.5" customHeight="1" x14ac:dyDescent="0.2">
      <c r="A14" s="2528" t="str">
        <f>COVER!A19</f>
        <v>209 Wildcat Court</v>
      </c>
      <c r="B14" s="2541"/>
      <c r="C14" s="2541"/>
      <c r="D14" s="2541"/>
      <c r="E14" s="2541"/>
      <c r="F14" s="2542"/>
      <c r="G14" s="974" t="s">
        <v>1175</v>
      </c>
      <c r="H14" s="972"/>
      <c r="I14" s="972"/>
      <c r="J14" s="972"/>
      <c r="K14" s="972"/>
      <c r="L14" s="973"/>
    </row>
    <row r="15" spans="1:29" ht="13.5" customHeight="1" x14ac:dyDescent="0.2">
      <c r="A15" s="2528" t="str">
        <f>COVER!A21</f>
        <v>Wilmington</v>
      </c>
      <c r="B15" s="2541"/>
      <c r="C15" s="2541"/>
      <c r="D15" s="2541"/>
      <c r="E15" s="2541"/>
      <c r="F15" s="2542"/>
      <c r="G15" s="2538" t="str">
        <f>COVER!T15</f>
        <v>Tawnya Mack, CPA</v>
      </c>
      <c r="H15" s="2539"/>
      <c r="I15" s="2539"/>
      <c r="J15" s="2539"/>
      <c r="K15" s="2539"/>
      <c r="L15" s="2540"/>
    </row>
    <row r="16" spans="1:29" ht="12.2" customHeight="1" x14ac:dyDescent="0.2">
      <c r="A16" s="2518">
        <f>COVER!A25</f>
        <v>60481</v>
      </c>
      <c r="B16" s="2519"/>
      <c r="C16" s="2519"/>
      <c r="D16" s="2519"/>
      <c r="E16" s="2519"/>
      <c r="F16" s="2520"/>
      <c r="G16" s="2531"/>
      <c r="H16" s="2532"/>
      <c r="I16" s="2532"/>
      <c r="J16" s="2532"/>
      <c r="K16" s="2532"/>
      <c r="L16" s="2533"/>
    </row>
    <row r="17" spans="1:13" ht="12.2" customHeight="1" x14ac:dyDescent="0.2">
      <c r="A17" s="2534"/>
      <c r="B17" s="2519"/>
      <c r="C17" s="2519"/>
      <c r="D17" s="2519"/>
      <c r="E17" s="2519"/>
      <c r="F17" s="2520"/>
      <c r="G17" s="974" t="s">
        <v>1174</v>
      </c>
      <c r="H17" s="972"/>
      <c r="I17" s="972"/>
      <c r="J17" s="972"/>
      <c r="K17" s="976" t="s">
        <v>1173</v>
      </c>
      <c r="L17" s="969"/>
      <c r="M17" s="962"/>
    </row>
    <row r="18" spans="1:13" ht="12.2" customHeight="1" x14ac:dyDescent="0.2">
      <c r="A18" s="2512"/>
      <c r="B18" s="2513"/>
      <c r="C18" s="2513"/>
      <c r="D18" s="2513"/>
      <c r="E18" s="2513"/>
      <c r="F18" s="2514"/>
      <c r="G18" s="2515" t="str">
        <f>COVER!T21</f>
        <v>815-942-3306</v>
      </c>
      <c r="H18" s="2516"/>
      <c r="I18" s="2516"/>
      <c r="J18" s="2516"/>
      <c r="K18" s="2515" t="str">
        <f>COVER!X21</f>
        <v>815-942-9430</v>
      </c>
      <c r="L18" s="251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t="s">
        <v>2048</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2048</v>
      </c>
      <c r="C26" s="981" t="s">
        <v>1677</v>
      </c>
    </row>
    <row r="27" spans="1:13" s="977" customFormat="1" ht="9" customHeight="1" x14ac:dyDescent="0.2">
      <c r="B27" s="982"/>
      <c r="C27" s="981"/>
    </row>
    <row r="28" spans="1:13" s="977" customFormat="1" ht="12.2" customHeight="1" x14ac:dyDescent="0.2">
      <c r="A28" s="984"/>
      <c r="B28" s="980" t="s">
        <v>2048</v>
      </c>
      <c r="C28" s="981" t="s">
        <v>1678</v>
      </c>
    </row>
    <row r="29" spans="1:13" s="977" customFormat="1" ht="9" customHeight="1" x14ac:dyDescent="0.2">
      <c r="A29" s="984"/>
      <c r="B29" s="982"/>
      <c r="C29" s="981"/>
    </row>
    <row r="30" spans="1:13" s="977" customFormat="1" ht="12.2" customHeight="1" x14ac:dyDescent="0.2">
      <c r="B30" s="980" t="s">
        <v>2048</v>
      </c>
      <c r="C30" s="981" t="s">
        <v>1545</v>
      </c>
      <c r="D30" s="975"/>
      <c r="E30" s="975"/>
    </row>
    <row r="31" spans="1:13" s="977" customFormat="1" ht="9" customHeight="1" x14ac:dyDescent="0.2">
      <c r="B31" s="982"/>
      <c r="C31" s="981"/>
      <c r="D31" s="975"/>
      <c r="E31" s="975"/>
    </row>
    <row r="32" spans="1:13" s="977" customFormat="1" ht="12.2" customHeight="1" x14ac:dyDescent="0.2">
      <c r="B32" s="980" t="s">
        <v>2048</v>
      </c>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t="s">
        <v>2048</v>
      </c>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t="s">
        <v>2048</v>
      </c>
      <c r="C38" s="981" t="s">
        <v>1549</v>
      </c>
    </row>
    <row r="39" spans="1:8" ht="9" customHeight="1" x14ac:dyDescent="0.2">
      <c r="B39" s="982"/>
      <c r="C39" s="985"/>
    </row>
    <row r="40" spans="1:8" s="977" customFormat="1" ht="13.5" customHeight="1" x14ac:dyDescent="0.2">
      <c r="B40" s="980" t="s">
        <v>2048</v>
      </c>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t="s">
        <v>2048</v>
      </c>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7" t="str">
        <f>'Single Audit Cover'!A7</f>
        <v xml:space="preserve">  Wilmington CUSD 209U</v>
      </c>
      <c r="B1" s="2558"/>
      <c r="C1" s="2558"/>
      <c r="D1" s="2558"/>
    </row>
    <row r="2" spans="1:11" s="991" customFormat="1" ht="12.75" x14ac:dyDescent="0.2">
      <c r="A2" s="2559" t="str">
        <f>'Single Audit Cover'!E7</f>
        <v xml:space="preserve">56099209U26  </v>
      </c>
      <c r="B2" s="2560"/>
      <c r="C2" s="2560"/>
      <c r="D2" s="2560"/>
    </row>
    <row r="3" spans="1:11" s="991" customFormat="1" ht="12.75" x14ac:dyDescent="0.2">
      <c r="A3" s="2557" t="s">
        <v>1496</v>
      </c>
      <c r="B3" s="2558"/>
      <c r="C3" s="2558"/>
      <c r="D3" s="255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A42" sqref="A42:B4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2" t="str">
        <f>'Single Audit Cover'!A7</f>
        <v xml:space="preserve">  Wilmington CUSD 209U</v>
      </c>
      <c r="B1" s="2562"/>
      <c r="C1" s="2562"/>
      <c r="D1" s="2562"/>
      <c r="E1" s="2562"/>
    </row>
    <row r="2" spans="1:5" x14ac:dyDescent="0.2">
      <c r="A2" s="2563" t="str">
        <f>'Single Audit Cover'!E7</f>
        <v xml:space="preserve">56099209U26  </v>
      </c>
      <c r="B2" s="2563"/>
      <c r="C2" s="2563"/>
      <c r="D2" s="2563"/>
      <c r="E2" s="2563"/>
    </row>
    <row r="3" spans="1:5" ht="4.5" customHeight="1" x14ac:dyDescent="0.2"/>
    <row r="4" spans="1:5" x14ac:dyDescent="0.2">
      <c r="A4" s="2562" t="s">
        <v>1234</v>
      </c>
      <c r="B4" s="2562"/>
      <c r="C4" s="2562"/>
      <c r="D4" s="2562"/>
      <c r="E4" s="2562"/>
    </row>
    <row r="5" spans="1:5" x14ac:dyDescent="0.2">
      <c r="A5" s="2565" t="str">
        <f>'Single Audit Cover'!A4</f>
        <v>Year Ending June 30, 2020</v>
      </c>
      <c r="B5" s="2565"/>
      <c r="C5" s="2565"/>
      <c r="D5" s="2565"/>
      <c r="E5" s="2565"/>
    </row>
    <row r="6" spans="1:5" x14ac:dyDescent="0.2">
      <c r="A6" s="2562" t="s">
        <v>1233</v>
      </c>
      <c r="B6" s="2562"/>
      <c r="C6" s="2562"/>
      <c r="D6" s="2562"/>
      <c r="E6" s="2562"/>
    </row>
    <row r="8" spans="1:5" x14ac:dyDescent="0.2">
      <c r="A8" s="1036" t="s">
        <v>1232</v>
      </c>
    </row>
    <row r="10" spans="1:5" x14ac:dyDescent="0.2">
      <c r="A10" s="1037" t="s">
        <v>1231</v>
      </c>
      <c r="B10" s="1038" t="s">
        <v>1230</v>
      </c>
      <c r="C10" s="1038"/>
      <c r="D10" s="1039">
        <f>SUM('Acct Summary 7-8'!C7:K7)</f>
        <v>2748259</v>
      </c>
    </row>
    <row r="11" spans="1:5" ht="18" customHeight="1" x14ac:dyDescent="0.2">
      <c r="A11" s="1037" t="s">
        <v>1229</v>
      </c>
      <c r="B11" s="1038"/>
      <c r="C11" s="1038"/>
    </row>
    <row r="12" spans="1:5" x14ac:dyDescent="0.2">
      <c r="A12" s="1037" t="s">
        <v>1228</v>
      </c>
      <c r="B12" s="1038" t="s">
        <v>1227</v>
      </c>
      <c r="C12" s="1038"/>
      <c r="D12" s="1040">
        <f>SUM('Revenues 9-14'!C112:D112,'Revenues 9-14'!F112:G112)</f>
        <v>73821</v>
      </c>
    </row>
    <row r="13" spans="1:5" x14ac:dyDescent="0.2">
      <c r="A13" s="1037" t="s">
        <v>1226</v>
      </c>
      <c r="B13" s="1038"/>
      <c r="C13" s="1038"/>
    </row>
    <row r="14" spans="1:5" x14ac:dyDescent="0.2">
      <c r="A14" s="1037" t="s">
        <v>2001</v>
      </c>
      <c r="B14" s="1038"/>
      <c r="C14" s="1038"/>
      <c r="D14" s="1040">
        <f>'ICR Computation 30'!E11</f>
        <v>41180</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-61368</v>
      </c>
    </row>
    <row r="19" spans="1:4" ht="13.5" thickBot="1" x14ac:dyDescent="0.25">
      <c r="A19" s="1041" t="s">
        <v>1224</v>
      </c>
      <c r="D19" s="1042">
        <f>SUM(D10:D17)</f>
        <v>2801892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4"/>
      <c r="B24" s="2564"/>
      <c r="D24" s="1044"/>
    </row>
    <row r="25" spans="1:4" x14ac:dyDescent="0.2">
      <c r="A25" s="2561"/>
      <c r="B25" s="2561"/>
      <c r="D25" s="1044"/>
    </row>
    <row r="26" spans="1:4" x14ac:dyDescent="0.2">
      <c r="A26" s="2561"/>
      <c r="B26" s="2561"/>
      <c r="D26" s="1044"/>
    </row>
    <row r="27" spans="1:4" x14ac:dyDescent="0.2">
      <c r="A27" s="2561"/>
      <c r="B27" s="2561"/>
      <c r="D27" s="1044"/>
    </row>
    <row r="28" spans="1:4" x14ac:dyDescent="0.2">
      <c r="A28" s="2561"/>
      <c r="B28" s="2561"/>
      <c r="D28" s="1044"/>
    </row>
    <row r="29" spans="1:4" x14ac:dyDescent="0.2">
      <c r="A29" s="2561"/>
      <c r="B29" s="2561"/>
      <c r="D29" s="1044"/>
    </row>
    <row r="30" spans="1:4" x14ac:dyDescent="0.2">
      <c r="A30" s="2561"/>
      <c r="B30" s="2561"/>
      <c r="D30" s="1044"/>
    </row>
    <row r="32" spans="1:4" x14ac:dyDescent="0.2">
      <c r="A32" s="1036" t="s">
        <v>1222</v>
      </c>
      <c r="D32" s="1039">
        <f>SUM(D19:D30)</f>
        <v>2801892</v>
      </c>
    </row>
    <row r="33" spans="1:4" x14ac:dyDescent="0.2">
      <c r="D33" s="1045"/>
    </row>
    <row r="34" spans="1:4" x14ac:dyDescent="0.2">
      <c r="A34" s="295" t="s">
        <v>1221</v>
      </c>
    </row>
    <row r="35" spans="1:4" x14ac:dyDescent="0.2">
      <c r="A35" s="295" t="s">
        <v>1220</v>
      </c>
      <c r="B35" s="1034" t="s">
        <v>1219</v>
      </c>
      <c r="D35" s="1046">
        <f>+' SEFA (2)'!F24</f>
        <v>2728072</v>
      </c>
    </row>
    <row r="37" spans="1:4" x14ac:dyDescent="0.2">
      <c r="A37" s="1036" t="s">
        <v>1218</v>
      </c>
    </row>
    <row r="39" spans="1:4" ht="13.35" customHeight="1" x14ac:dyDescent="0.2">
      <c r="A39" s="1043" t="s">
        <v>1217</v>
      </c>
    </row>
    <row r="40" spans="1:4" x14ac:dyDescent="0.2">
      <c r="A40" s="2561" t="s">
        <v>2112</v>
      </c>
      <c r="B40" s="2561"/>
      <c r="D40" s="1044">
        <v>73821</v>
      </c>
    </row>
    <row r="41" spans="1:4" x14ac:dyDescent="0.2">
      <c r="A41" s="2561" t="s">
        <v>2148</v>
      </c>
      <c r="B41" s="2561"/>
      <c r="D41" s="1047">
        <v>-1</v>
      </c>
    </row>
    <row r="42" spans="1:4" x14ac:dyDescent="0.2">
      <c r="A42" s="2561"/>
      <c r="B42" s="2561"/>
      <c r="D42" s="1047"/>
    </row>
    <row r="43" spans="1:4" x14ac:dyDescent="0.2">
      <c r="A43" s="2561"/>
      <c r="B43" s="2561"/>
      <c r="D43" s="1047"/>
    </row>
    <row r="44" spans="1:4" x14ac:dyDescent="0.2">
      <c r="A44" s="2561"/>
      <c r="B44" s="2561"/>
      <c r="D44" s="1047"/>
    </row>
    <row r="45" spans="1:4" x14ac:dyDescent="0.2">
      <c r="A45" s="2561"/>
      <c r="B45" s="2561"/>
      <c r="D45" s="1047"/>
    </row>
    <row r="47" spans="1:4" x14ac:dyDescent="0.2">
      <c r="B47" s="1048" t="s">
        <v>1216</v>
      </c>
      <c r="C47" s="1048"/>
      <c r="D47" s="1049">
        <f>SUM(D35:D45)</f>
        <v>2801892</v>
      </c>
    </row>
    <row r="49" spans="2:4" x14ac:dyDescent="0.2">
      <c r="B49" s="1048" t="s">
        <v>1215</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26" sqref="I26:I27"/>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Wilmington CUSD 209U</v>
      </c>
      <c r="C1" s="2566"/>
      <c r="D1" s="2566"/>
      <c r="E1" s="2566"/>
      <c r="F1" s="2566"/>
      <c r="G1" s="2566"/>
      <c r="H1" s="2566"/>
      <c r="I1" s="2566"/>
      <c r="J1" s="2566"/>
      <c r="K1" s="2566"/>
      <c r="L1" s="2566"/>
      <c r="M1" s="2566"/>
    </row>
    <row r="2" spans="2:14" ht="15" x14ac:dyDescent="0.2">
      <c r="B2" s="2567" t="str">
        <f>'Single Audit Cover'!E7</f>
        <v xml:space="preserve">56099209U26  </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1708</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2101</v>
      </c>
      <c r="C11" s="1821"/>
      <c r="D11" s="1822"/>
      <c r="E11" s="1823"/>
      <c r="F11" s="1823"/>
      <c r="G11" s="1823"/>
      <c r="H11" s="1823"/>
      <c r="I11" s="1823"/>
      <c r="J11" s="1823"/>
      <c r="K11" s="1823"/>
      <c r="L11" s="1823">
        <f>+G11+I11+K11</f>
        <v>0</v>
      </c>
      <c r="M11" s="1823"/>
    </row>
    <row r="12" spans="2:14" ht="20.100000000000001" customHeight="1" x14ac:dyDescent="0.2">
      <c r="B12" s="1113" t="s">
        <v>2121</v>
      </c>
      <c r="C12" s="1824"/>
      <c r="D12" s="1825"/>
      <c r="E12" s="1826"/>
      <c r="F12" s="1826"/>
      <c r="G12" s="1826"/>
      <c r="H12" s="1826"/>
      <c r="I12" s="1826"/>
      <c r="J12" s="1826"/>
      <c r="K12" s="1826"/>
      <c r="L12" s="1823">
        <f t="shared" ref="L12:L27" si="0">+G12+I12+K12</f>
        <v>0</v>
      </c>
      <c r="M12" s="1826"/>
    </row>
    <row r="13" spans="2:14" ht="20.100000000000001" customHeight="1" x14ac:dyDescent="0.2">
      <c r="B13" s="1113" t="s">
        <v>2122</v>
      </c>
      <c r="C13" s="1824"/>
      <c r="D13" s="1825"/>
      <c r="E13" s="1826"/>
      <c r="F13" s="1826"/>
      <c r="G13" s="1826"/>
      <c r="H13" s="1826"/>
      <c r="I13" s="1826"/>
      <c r="J13" s="1826"/>
      <c r="K13" s="1826"/>
      <c r="L13" s="1823">
        <f t="shared" si="0"/>
        <v>0</v>
      </c>
      <c r="M13" s="1826"/>
    </row>
    <row r="14" spans="2:14" ht="20.100000000000001" customHeight="1" x14ac:dyDescent="0.2">
      <c r="B14" s="1113" t="s">
        <v>2123</v>
      </c>
      <c r="C14" s="1824">
        <v>10.555</v>
      </c>
      <c r="D14" s="1825" t="s">
        <v>2103</v>
      </c>
      <c r="E14" s="1826">
        <v>187613</v>
      </c>
      <c r="F14" s="1826">
        <v>40270</v>
      </c>
      <c r="G14" s="1826">
        <v>187613</v>
      </c>
      <c r="H14" s="1826"/>
      <c r="I14" s="1826">
        <v>40270</v>
      </c>
      <c r="J14" s="1826"/>
      <c r="K14" s="1826"/>
      <c r="L14" s="1823">
        <f t="shared" si="0"/>
        <v>227883</v>
      </c>
      <c r="M14" s="1826" t="s">
        <v>2116</v>
      </c>
    </row>
    <row r="15" spans="2:14" ht="20.100000000000001" customHeight="1" x14ac:dyDescent="0.2">
      <c r="B15" s="1113" t="s">
        <v>2124</v>
      </c>
      <c r="C15" s="1824">
        <v>10.555</v>
      </c>
      <c r="D15" s="1825" t="s">
        <v>2104</v>
      </c>
      <c r="E15" s="1826"/>
      <c r="F15" s="1826">
        <v>133704</v>
      </c>
      <c r="G15" s="1826"/>
      <c r="H15" s="1826"/>
      <c r="I15" s="1826">
        <v>133704</v>
      </c>
      <c r="J15" s="1826"/>
      <c r="K15" s="1826"/>
      <c r="L15" s="1823">
        <f t="shared" si="0"/>
        <v>133704</v>
      </c>
      <c r="M15" s="1826" t="s">
        <v>2116</v>
      </c>
    </row>
    <row r="16" spans="2:14" ht="20.100000000000001" customHeight="1" x14ac:dyDescent="0.2">
      <c r="B16" s="1113" t="s">
        <v>2125</v>
      </c>
      <c r="C16" s="1824">
        <v>10.555</v>
      </c>
      <c r="D16" s="1825"/>
      <c r="E16" s="1826"/>
      <c r="F16" s="1826">
        <v>30719</v>
      </c>
      <c r="G16" s="1826"/>
      <c r="H16" s="1826"/>
      <c r="I16" s="1826">
        <v>30719</v>
      </c>
      <c r="J16" s="1826"/>
      <c r="K16" s="1826"/>
      <c r="L16" s="1823">
        <f t="shared" si="0"/>
        <v>30719</v>
      </c>
      <c r="M16" s="1826" t="s">
        <v>2116</v>
      </c>
    </row>
    <row r="17" spans="2:14" ht="20.100000000000001" customHeight="1" x14ac:dyDescent="0.2">
      <c r="B17" s="1113" t="s">
        <v>2126</v>
      </c>
      <c r="C17" s="1824">
        <v>10.553000000000001</v>
      </c>
      <c r="D17" s="1825" t="s">
        <v>2105</v>
      </c>
      <c r="E17" s="1826">
        <v>40911</v>
      </c>
      <c r="F17" s="1826">
        <v>8621</v>
      </c>
      <c r="G17" s="1826">
        <v>40911</v>
      </c>
      <c r="H17" s="1826"/>
      <c r="I17" s="1826">
        <v>8621</v>
      </c>
      <c r="J17" s="1826"/>
      <c r="K17" s="1826"/>
      <c r="L17" s="1823">
        <f t="shared" si="0"/>
        <v>49532</v>
      </c>
      <c r="M17" s="1826" t="s">
        <v>2116</v>
      </c>
    </row>
    <row r="18" spans="2:14" ht="20.100000000000001" customHeight="1" x14ac:dyDescent="0.2">
      <c r="B18" s="1113" t="s">
        <v>2127</v>
      </c>
      <c r="C18" s="1824">
        <v>10.553000000000001</v>
      </c>
      <c r="D18" s="1825" t="s">
        <v>2106</v>
      </c>
      <c r="E18" s="1826"/>
      <c r="F18" s="1826">
        <v>35342</v>
      </c>
      <c r="G18" s="1826"/>
      <c r="H18" s="1826"/>
      <c r="I18" s="1826">
        <v>35342</v>
      </c>
      <c r="J18" s="1826"/>
      <c r="K18" s="1826"/>
      <c r="L18" s="1823">
        <f t="shared" si="0"/>
        <v>35342</v>
      </c>
      <c r="M18" s="1826" t="s">
        <v>2116</v>
      </c>
    </row>
    <row r="19" spans="2:14" ht="20.100000000000001" customHeight="1" x14ac:dyDescent="0.2">
      <c r="B19" s="1113" t="s">
        <v>2128</v>
      </c>
      <c r="C19" s="1824">
        <v>10.558999999999999</v>
      </c>
      <c r="D19" s="1825" t="s">
        <v>2129</v>
      </c>
      <c r="E19" s="1826"/>
      <c r="F19" s="1826">
        <v>28760</v>
      </c>
      <c r="G19" s="1826"/>
      <c r="H19" s="1826"/>
      <c r="I19" s="1826">
        <v>28760</v>
      </c>
      <c r="J19" s="1826"/>
      <c r="K19" s="1826"/>
      <c r="L19" s="1823">
        <f t="shared" si="0"/>
        <v>28760</v>
      </c>
      <c r="M19" s="1826" t="s">
        <v>2116</v>
      </c>
    </row>
    <row r="20" spans="2:14" ht="20.100000000000001" customHeight="1" x14ac:dyDescent="0.2">
      <c r="B20" s="1113" t="s">
        <v>2130</v>
      </c>
      <c r="C20" s="1824"/>
      <c r="D20" s="1825"/>
      <c r="E20" s="1826">
        <f>SUM(E14:E19)</f>
        <v>228524</v>
      </c>
      <c r="F20" s="1826">
        <f>SUM(F14:F19)</f>
        <v>277416</v>
      </c>
      <c r="G20" s="1826">
        <f>SUM(G14:G17)</f>
        <v>228524</v>
      </c>
      <c r="H20" s="1826"/>
      <c r="I20" s="1826">
        <f>SUM(I14:I19)</f>
        <v>277416</v>
      </c>
      <c r="J20" s="1826"/>
      <c r="K20" s="1826"/>
      <c r="L20" s="1823">
        <f t="shared" si="0"/>
        <v>505940</v>
      </c>
      <c r="M20" s="1826"/>
    </row>
    <row r="21" spans="2:14" ht="20.100000000000001" customHeight="1" x14ac:dyDescent="0.2">
      <c r="B21" s="1113" t="s">
        <v>2131</v>
      </c>
      <c r="C21" s="1824"/>
      <c r="D21" s="1825"/>
      <c r="E21" s="1826"/>
      <c r="F21" s="1826"/>
      <c r="G21" s="1826"/>
      <c r="H21" s="1826"/>
      <c r="I21" s="1826"/>
      <c r="J21" s="1826"/>
      <c r="K21" s="1826"/>
      <c r="L21" s="1823">
        <f t="shared" si="0"/>
        <v>0</v>
      </c>
      <c r="M21" s="1826"/>
    </row>
    <row r="22" spans="2:14" ht="20.100000000000001" customHeight="1" x14ac:dyDescent="0.2">
      <c r="B22" s="1113" t="s">
        <v>2132</v>
      </c>
      <c r="C22" s="1824">
        <v>10.555</v>
      </c>
      <c r="D22" s="1825"/>
      <c r="E22" s="1826"/>
      <c r="F22" s="1826">
        <v>10462</v>
      </c>
      <c r="G22" s="1826"/>
      <c r="H22" s="1826"/>
      <c r="I22" s="1826">
        <v>10462</v>
      </c>
      <c r="J22" s="1826"/>
      <c r="K22" s="1826"/>
      <c r="L22" s="1823">
        <f t="shared" si="0"/>
        <v>10462</v>
      </c>
      <c r="M22" s="1826" t="s">
        <v>2116</v>
      </c>
    </row>
    <row r="23" spans="2:14" ht="20.100000000000001" customHeight="1" x14ac:dyDescent="0.2">
      <c r="B23" s="1113" t="s">
        <v>2102</v>
      </c>
      <c r="C23" s="1824"/>
      <c r="D23" s="1825"/>
      <c r="E23" s="1826">
        <f>+E20+E22</f>
        <v>228524</v>
      </c>
      <c r="F23" s="1826">
        <f>+F20+F22</f>
        <v>287878</v>
      </c>
      <c r="G23" s="1826">
        <f>+G20+G22</f>
        <v>228524</v>
      </c>
      <c r="H23" s="1826"/>
      <c r="I23" s="1826">
        <f>+I20+I22</f>
        <v>287878</v>
      </c>
      <c r="J23" s="1826"/>
      <c r="K23" s="1826"/>
      <c r="L23" s="1823">
        <f t="shared" si="0"/>
        <v>516402</v>
      </c>
      <c r="M23" s="1826" t="s">
        <v>2116</v>
      </c>
    </row>
    <row r="24" spans="2:14" ht="20.100000000000001" customHeight="1" x14ac:dyDescent="0.2">
      <c r="B24" s="1113" t="s">
        <v>2133</v>
      </c>
      <c r="C24" s="1824"/>
      <c r="D24" s="1825"/>
      <c r="E24" s="1826"/>
      <c r="F24" s="1826"/>
      <c r="G24" s="1826"/>
      <c r="H24" s="1826"/>
      <c r="I24" s="1826"/>
      <c r="J24" s="1826"/>
      <c r="K24" s="1826"/>
      <c r="L24" s="1823">
        <f t="shared" si="0"/>
        <v>0</v>
      </c>
      <c r="M24" s="1826" t="s">
        <v>2116</v>
      </c>
    </row>
    <row r="25" spans="2:14" ht="20.100000000000001" customHeight="1" x14ac:dyDescent="0.2">
      <c r="B25" s="1113" t="s">
        <v>2134</v>
      </c>
      <c r="C25" s="1824"/>
      <c r="D25" s="1825"/>
      <c r="E25" s="1826"/>
      <c r="F25" s="1826"/>
      <c r="G25" s="1826"/>
      <c r="H25" s="1826"/>
      <c r="I25" s="1826"/>
      <c r="J25" s="1826"/>
      <c r="K25" s="1826"/>
      <c r="L25" s="1823">
        <f t="shared" si="0"/>
        <v>0</v>
      </c>
      <c r="M25" s="1826"/>
    </row>
    <row r="26" spans="2:14" ht="20.100000000000001" customHeight="1" x14ac:dyDescent="0.2">
      <c r="B26" s="1113" t="s">
        <v>2135</v>
      </c>
      <c r="C26" s="1824">
        <v>84.040999999999997</v>
      </c>
      <c r="D26" s="1825" t="s">
        <v>2119</v>
      </c>
      <c r="E26" s="1826">
        <f>2060644-7172</f>
        <v>2053472</v>
      </c>
      <c r="F26" s="1826">
        <v>21046</v>
      </c>
      <c r="G26" s="1826">
        <v>2060644</v>
      </c>
      <c r="H26" s="1826"/>
      <c r="I26" s="1826">
        <v>13874</v>
      </c>
      <c r="J26" s="1826"/>
      <c r="K26" s="1826"/>
      <c r="L26" s="1823">
        <f t="shared" si="0"/>
        <v>2074518</v>
      </c>
      <c r="M26" s="1826" t="s">
        <v>2116</v>
      </c>
    </row>
    <row r="27" spans="2:14" ht="20.100000000000001" customHeight="1" x14ac:dyDescent="0.2">
      <c r="B27" s="1113" t="s">
        <v>2136</v>
      </c>
      <c r="C27" s="1824">
        <v>84.040999999999997</v>
      </c>
      <c r="D27" s="1825" t="s">
        <v>2120</v>
      </c>
      <c r="E27" s="1826"/>
      <c r="F27" s="1826">
        <v>2076492</v>
      </c>
      <c r="G27" s="1826"/>
      <c r="H27" s="1826"/>
      <c r="I27" s="1826">
        <v>2076492</v>
      </c>
      <c r="J27" s="1826"/>
      <c r="K27" s="1826"/>
      <c r="L27" s="1823">
        <f t="shared" si="0"/>
        <v>2076492</v>
      </c>
      <c r="M27" s="1826" t="s">
        <v>2116</v>
      </c>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7CFD4-A796-4F48-9A2D-82583C180590}">
  <dimension ref="B1:N152"/>
  <sheetViews>
    <sheetView showGridLines="0" zoomScaleNormal="100" workbookViewId="0">
      <selection activeCell="I25" sqref="I25"/>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1" t="str">
        <f>'Single Audit Cover'!A7</f>
        <v xml:space="preserve">  Wilmington CUSD 209U</v>
      </c>
      <c r="C1" s="2566"/>
      <c r="D1" s="2566"/>
      <c r="E1" s="2566"/>
      <c r="F1" s="2566"/>
      <c r="G1" s="2566"/>
      <c r="H1" s="2566"/>
      <c r="I1" s="2566"/>
      <c r="J1" s="2566"/>
      <c r="K1" s="2566"/>
      <c r="L1" s="2566"/>
      <c r="M1" s="2566"/>
    </row>
    <row r="2" spans="2:14" ht="15" x14ac:dyDescent="0.2">
      <c r="B2" s="2567" t="str">
        <f>'Single Audit Cover'!E7</f>
        <v xml:space="preserve">56099209U26  </v>
      </c>
      <c r="C2" s="2567"/>
      <c r="D2" s="2567"/>
      <c r="E2" s="2567"/>
      <c r="F2" s="2567"/>
      <c r="G2" s="2567"/>
      <c r="H2" s="2567"/>
      <c r="I2" s="2567"/>
      <c r="J2" s="2567"/>
      <c r="K2" s="2567"/>
      <c r="L2" s="2567"/>
      <c r="M2" s="2567"/>
      <c r="N2" s="1078"/>
    </row>
    <row r="3" spans="2:14" ht="15" x14ac:dyDescent="0.2">
      <c r="B3" s="2568" t="s">
        <v>1208</v>
      </c>
      <c r="C3" s="2568"/>
      <c r="D3" s="2568"/>
      <c r="E3" s="2568"/>
      <c r="F3" s="2568"/>
      <c r="G3" s="2568"/>
      <c r="H3" s="2568"/>
      <c r="I3" s="2568"/>
      <c r="J3" s="2568"/>
      <c r="K3" s="2568"/>
      <c r="L3" s="2568"/>
      <c r="M3" s="2568"/>
      <c r="N3" s="1078"/>
    </row>
    <row r="4" spans="2:14" ht="15" x14ac:dyDescent="0.2">
      <c r="B4" s="2569" t="str">
        <f>'Single Audit Cover'!A4</f>
        <v>Year Ending June 30, 2020</v>
      </c>
      <c r="C4" s="2569"/>
      <c r="D4" s="2569"/>
      <c r="E4" s="2569"/>
      <c r="F4" s="2569"/>
      <c r="G4" s="2569"/>
      <c r="H4" s="2569"/>
      <c r="I4" s="2569"/>
      <c r="J4" s="2569"/>
      <c r="K4" s="2569"/>
      <c r="L4" s="2569"/>
      <c r="M4" s="2569"/>
      <c r="N4" s="1078"/>
    </row>
    <row r="5" spans="2:14" x14ac:dyDescent="0.2">
      <c r="H5" s="1915"/>
      <c r="J5" s="1915"/>
    </row>
    <row r="6" spans="2:14" x14ac:dyDescent="0.2">
      <c r="B6" s="1079"/>
      <c r="C6" s="1080"/>
      <c r="D6" s="1081" t="s">
        <v>1254</v>
      </c>
      <c r="E6" s="1082" t="s">
        <v>524</v>
      </c>
      <c r="F6" s="1083"/>
      <c r="G6" s="1084" t="s">
        <v>1708</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2137</v>
      </c>
      <c r="C11" s="1821"/>
      <c r="D11" s="1822"/>
      <c r="E11" s="1823"/>
      <c r="F11" s="1823"/>
      <c r="G11" s="1823"/>
      <c r="H11" s="1823"/>
      <c r="I11" s="1823"/>
      <c r="J11" s="1823"/>
      <c r="K11" s="1823"/>
      <c r="L11" s="1823">
        <f>+G11+I11+K11</f>
        <v>0</v>
      </c>
      <c r="M11" s="1823"/>
    </row>
    <row r="12" spans="2:14" ht="20.100000000000001" customHeight="1" x14ac:dyDescent="0.2">
      <c r="B12" s="1113" t="s">
        <v>2138</v>
      </c>
      <c r="C12" s="1824"/>
      <c r="D12" s="1825"/>
      <c r="E12" s="1826"/>
      <c r="F12" s="1826"/>
      <c r="G12" s="1826"/>
      <c r="H12" s="1826"/>
      <c r="I12" s="1826"/>
      <c r="J12" s="1826"/>
      <c r="K12" s="1826"/>
      <c r="L12" s="1823">
        <f t="shared" ref="L12:L27" si="0">+G12+I12+K12</f>
        <v>0</v>
      </c>
      <c r="M12" s="1826"/>
    </row>
    <row r="13" spans="2:14" ht="20.100000000000001" customHeight="1" x14ac:dyDescent="0.2">
      <c r="B13" s="1113" t="s">
        <v>2122</v>
      </c>
      <c r="C13" s="1824"/>
      <c r="D13" s="1825"/>
      <c r="E13" s="1826"/>
      <c r="F13" s="1826"/>
      <c r="G13" s="1826"/>
      <c r="H13" s="1826"/>
      <c r="I13" s="1826"/>
      <c r="J13" s="1826"/>
      <c r="K13" s="1826"/>
      <c r="L13" s="1823">
        <f t="shared" si="0"/>
        <v>0</v>
      </c>
      <c r="M13" s="1826"/>
    </row>
    <row r="14" spans="2:14" ht="20.100000000000001" customHeight="1" x14ac:dyDescent="0.2">
      <c r="B14" s="1113" t="s">
        <v>2139</v>
      </c>
      <c r="C14" s="1824">
        <v>84.01</v>
      </c>
      <c r="D14" s="1825" t="s">
        <v>2108</v>
      </c>
      <c r="E14" s="1826">
        <f>274455-60360</f>
        <v>214095</v>
      </c>
      <c r="F14" s="1826">
        <v>71807</v>
      </c>
      <c r="G14" s="1826">
        <v>274445</v>
      </c>
      <c r="H14" s="1826"/>
      <c r="I14" s="1826">
        <v>11447</v>
      </c>
      <c r="J14" s="1826"/>
      <c r="K14" s="1826"/>
      <c r="L14" s="1823">
        <f t="shared" si="0"/>
        <v>285892</v>
      </c>
      <c r="M14" s="1826">
        <v>315360</v>
      </c>
    </row>
    <row r="15" spans="2:14" ht="20.100000000000001" customHeight="1" x14ac:dyDescent="0.2">
      <c r="B15" s="1113" t="s">
        <v>2140</v>
      </c>
      <c r="C15" s="1824">
        <v>84.04</v>
      </c>
      <c r="D15" s="1825" t="s">
        <v>2109</v>
      </c>
      <c r="E15" s="1826"/>
      <c r="F15" s="1826">
        <v>252485</v>
      </c>
      <c r="G15" s="1826"/>
      <c r="H15" s="1826"/>
      <c r="I15" s="1826">
        <v>252485</v>
      </c>
      <c r="J15" s="1826"/>
      <c r="K15" s="1826"/>
      <c r="L15" s="1823">
        <f t="shared" si="0"/>
        <v>252485</v>
      </c>
      <c r="M15" s="1826">
        <v>319408</v>
      </c>
    </row>
    <row r="16" spans="2:14" ht="20.100000000000001" customHeight="1" x14ac:dyDescent="0.2">
      <c r="B16" s="1113" t="s">
        <v>2141</v>
      </c>
      <c r="C16" s="1824"/>
      <c r="D16" s="1825"/>
      <c r="E16" s="1826">
        <f>+E14+E15</f>
        <v>214095</v>
      </c>
      <c r="F16" s="1826">
        <f>+F14+F15</f>
        <v>324292</v>
      </c>
      <c r="G16" s="1826">
        <f>+G14+G15</f>
        <v>274445</v>
      </c>
      <c r="H16" s="1826"/>
      <c r="I16" s="1826">
        <f>+I14+I15</f>
        <v>263932</v>
      </c>
      <c r="J16" s="1826"/>
      <c r="K16" s="1826"/>
      <c r="L16" s="1823">
        <f t="shared" si="0"/>
        <v>538377</v>
      </c>
      <c r="M16" s="1826">
        <f>+M14+M15</f>
        <v>634768</v>
      </c>
    </row>
    <row r="17" spans="2:14" ht="20.100000000000001" customHeight="1" x14ac:dyDescent="0.2">
      <c r="B17" s="1113" t="s">
        <v>2142</v>
      </c>
      <c r="C17" s="1824"/>
      <c r="D17" s="1825"/>
      <c r="E17" s="1826"/>
      <c r="F17" s="1826"/>
      <c r="G17" s="1826"/>
      <c r="H17" s="1826"/>
      <c r="I17" s="1826"/>
      <c r="J17" s="1826"/>
      <c r="K17" s="1826"/>
      <c r="L17" s="1823">
        <f t="shared" si="0"/>
        <v>0</v>
      </c>
      <c r="M17" s="1826"/>
    </row>
    <row r="18" spans="2:14" ht="20.100000000000001" customHeight="1" x14ac:dyDescent="0.2">
      <c r="B18" s="1113" t="s">
        <v>2143</v>
      </c>
      <c r="C18" s="1824"/>
      <c r="D18" s="1825"/>
      <c r="E18" s="1826"/>
      <c r="F18" s="1826"/>
      <c r="G18" s="1826"/>
      <c r="H18" s="1826"/>
      <c r="I18" s="1826"/>
      <c r="J18" s="1826"/>
      <c r="K18" s="1826"/>
      <c r="L18" s="1823">
        <f t="shared" si="0"/>
        <v>0</v>
      </c>
      <c r="M18" s="1826"/>
    </row>
    <row r="19" spans="2:14" ht="20.100000000000001" customHeight="1" x14ac:dyDescent="0.2">
      <c r="B19" s="1113" t="s">
        <v>2144</v>
      </c>
      <c r="C19" s="1824"/>
      <c r="D19" s="1825"/>
      <c r="E19" s="1826"/>
      <c r="F19" s="1826"/>
      <c r="G19" s="1826"/>
      <c r="H19" s="1826"/>
      <c r="I19" s="1826"/>
      <c r="J19" s="1826"/>
      <c r="K19" s="1826"/>
      <c r="L19" s="1823">
        <f t="shared" si="0"/>
        <v>0</v>
      </c>
      <c r="M19" s="1826"/>
    </row>
    <row r="20" spans="2:14" ht="20.100000000000001" customHeight="1" x14ac:dyDescent="0.2">
      <c r="B20" s="1113" t="s">
        <v>2145</v>
      </c>
      <c r="C20" s="1824">
        <v>93.778000000000006</v>
      </c>
      <c r="D20" s="1825" t="s">
        <v>2110</v>
      </c>
      <c r="E20" s="1826">
        <v>12653</v>
      </c>
      <c r="F20" s="1826">
        <v>3076</v>
      </c>
      <c r="G20" s="1826">
        <v>16385</v>
      </c>
      <c r="H20" s="1826"/>
      <c r="I20" s="1826">
        <v>0</v>
      </c>
      <c r="J20" s="1826"/>
      <c r="K20" s="1826"/>
      <c r="L20" s="1823">
        <f t="shared" si="0"/>
        <v>16385</v>
      </c>
      <c r="M20" s="1826" t="s">
        <v>2116</v>
      </c>
    </row>
    <row r="21" spans="2:14" ht="20.100000000000001" customHeight="1" x14ac:dyDescent="0.2">
      <c r="B21" s="1113" t="s">
        <v>2146</v>
      </c>
      <c r="C21" s="1824">
        <v>93.778000000000006</v>
      </c>
      <c r="D21" s="1825" t="s">
        <v>2111</v>
      </c>
      <c r="E21" s="1826"/>
      <c r="F21" s="1826">
        <v>15288</v>
      </c>
      <c r="G21" s="1826"/>
      <c r="H21" s="1826"/>
      <c r="I21" s="1826">
        <v>22034</v>
      </c>
      <c r="J21" s="1826"/>
      <c r="K21" s="1826"/>
      <c r="L21" s="1823">
        <f t="shared" si="0"/>
        <v>22034</v>
      </c>
      <c r="M21" s="1826" t="s">
        <v>2116</v>
      </c>
    </row>
    <row r="22" spans="2:14" ht="20.100000000000001" customHeight="1" x14ac:dyDescent="0.2">
      <c r="B22" s="1113" t="s">
        <v>2147</v>
      </c>
      <c r="C22" s="1824"/>
      <c r="D22" s="1825"/>
      <c r="E22" s="1826">
        <f>+E20+E21</f>
        <v>12653</v>
      </c>
      <c r="F22" s="1826">
        <f>+F20+F21</f>
        <v>18364</v>
      </c>
      <c r="G22" s="1826">
        <f>+G20+G21</f>
        <v>16385</v>
      </c>
      <c r="H22" s="1826"/>
      <c r="I22" s="1826">
        <f>+I20+I21</f>
        <v>22034</v>
      </c>
      <c r="J22" s="1826"/>
      <c r="K22" s="1826"/>
      <c r="L22" s="1823">
        <f t="shared" si="0"/>
        <v>38419</v>
      </c>
      <c r="M22" s="1826" t="s">
        <v>2116</v>
      </c>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2107</v>
      </c>
      <c r="C24" s="1824"/>
      <c r="D24" s="1825"/>
      <c r="E24" s="1826">
        <f>+E22+E16+' SEFA'!E27+' SEFA'!E26+' SEFA'!E23</f>
        <v>2508744</v>
      </c>
      <c r="F24" s="1826">
        <f>+F22+F16+' SEFA'!F27+' SEFA'!F26+' SEFA'!F23</f>
        <v>2728072</v>
      </c>
      <c r="G24" s="1826">
        <f>+G22+G16+' SEFA'!G27+' SEFA'!G26+' SEFA'!G23</f>
        <v>2579998</v>
      </c>
      <c r="H24" s="1826"/>
      <c r="I24" s="1826">
        <f>+I22+I16+' SEFA'!I27+' SEFA'!I26+' SEFA'!I23</f>
        <v>2664210</v>
      </c>
      <c r="J24" s="1826"/>
      <c r="K24" s="1826"/>
      <c r="L24" s="1823">
        <f t="shared" si="0"/>
        <v>5244208</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Wilmington CUSD 209U</v>
      </c>
      <c r="B1" s="2571"/>
      <c r="C1" s="2571"/>
      <c r="D1" s="2571"/>
      <c r="E1" s="2571"/>
      <c r="F1" s="2571"/>
    </row>
    <row r="2" spans="1:7" ht="13.5" customHeight="1" x14ac:dyDescent="0.2">
      <c r="A2" s="2567" t="str">
        <f>'Single Audit Cover'!E7</f>
        <v xml:space="preserve">56099209U26  </v>
      </c>
      <c r="B2" s="2567"/>
      <c r="C2" s="2567"/>
      <c r="D2" s="2567"/>
      <c r="E2" s="2567"/>
      <c r="F2" s="2567"/>
      <c r="G2" s="1051"/>
    </row>
    <row r="3" spans="1:7" ht="15.75" customHeight="1" x14ac:dyDescent="0.2">
      <c r="A3" s="2572" t="s">
        <v>1260</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1705</v>
      </c>
      <c r="C6" s="295"/>
      <c r="D6" s="295"/>
    </row>
    <row r="7" spans="1:7" ht="60.95" customHeight="1" x14ac:dyDescent="0.2">
      <c r="A7" s="2570" t="s">
        <v>2149</v>
      </c>
      <c r="B7" s="2570"/>
      <c r="C7" s="2570"/>
      <c r="D7" s="2570"/>
      <c r="E7" s="2570"/>
      <c r="F7" s="2570"/>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2048</v>
      </c>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0" t="s">
        <v>2150</v>
      </c>
      <c r="B13" s="2570"/>
      <c r="C13" s="2570"/>
      <c r="D13" s="2570"/>
      <c r="E13" s="2570"/>
      <c r="F13" s="2570"/>
    </row>
    <row r="14" spans="1:7" ht="9.75" customHeight="1" x14ac:dyDescent="0.2">
      <c r="C14" s="1036"/>
      <c r="D14" s="1036"/>
    </row>
    <row r="15" spans="1:7" ht="13.5" customHeight="1" x14ac:dyDescent="0.2">
      <c r="C15" s="1476" t="s">
        <v>1259</v>
      </c>
      <c r="D15" s="2575" t="s">
        <v>1258</v>
      </c>
      <c r="E15" s="2575"/>
      <c r="F15" s="2575"/>
    </row>
    <row r="16" spans="1:7" ht="13.5" customHeight="1" x14ac:dyDescent="0.2">
      <c r="A16" s="1058"/>
      <c r="B16" s="1052" t="s">
        <v>1257</v>
      </c>
      <c r="C16" s="1476" t="s">
        <v>1256</v>
      </c>
      <c r="D16" s="2576" t="s">
        <v>1571</v>
      </c>
      <c r="E16" s="2576"/>
      <c r="F16" s="2576"/>
    </row>
    <row r="17" spans="1:6" ht="20.45" customHeight="1" x14ac:dyDescent="0.2">
      <c r="A17" s="1059"/>
      <c r="B17" s="1060" t="s">
        <v>2151</v>
      </c>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8" t="s">
        <v>2113</v>
      </c>
      <c r="B32" s="2578"/>
      <c r="C32" s="2578"/>
      <c r="D32" s="2578"/>
      <c r="E32" s="2578"/>
      <c r="F32" s="2578"/>
    </row>
    <row r="33" spans="1:6" ht="13.5" customHeight="1" x14ac:dyDescent="0.2">
      <c r="A33" s="306" t="s">
        <v>1417</v>
      </c>
      <c r="B33" s="306"/>
      <c r="C33" s="1064">
        <f>+' SEFA'!I16</f>
        <v>30719</v>
      </c>
      <c r="D33" s="1526"/>
      <c r="E33" s="1062"/>
    </row>
    <row r="34" spans="1:6" ht="13.5" customHeight="1" x14ac:dyDescent="0.2">
      <c r="A34" s="306" t="s">
        <v>1808</v>
      </c>
      <c r="B34" s="306"/>
      <c r="C34" s="1065">
        <f>+' SEFA'!I22</f>
        <v>10462</v>
      </c>
      <c r="D34" s="1526" t="s">
        <v>1572</v>
      </c>
      <c r="E34" s="2579">
        <f>+C33+C34</f>
        <v>41181</v>
      </c>
      <c r="F34" s="258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v>0</v>
      </c>
      <c r="D38" s="1526"/>
      <c r="E38" s="1062"/>
    </row>
    <row r="39" spans="1:6" ht="14.25" customHeight="1" x14ac:dyDescent="0.2">
      <c r="A39" s="306"/>
      <c r="B39" s="306" t="s">
        <v>1419</v>
      </c>
      <c r="C39" s="1068">
        <v>0</v>
      </c>
      <c r="D39" s="1526"/>
      <c r="E39" s="1062"/>
    </row>
    <row r="40" spans="1:6" ht="14.25" customHeight="1" x14ac:dyDescent="0.2">
      <c r="A40" s="306"/>
      <c r="B40" s="306" t="s">
        <v>1420</v>
      </c>
      <c r="C40" s="1068">
        <v>0</v>
      </c>
      <c r="D40" s="1526"/>
      <c r="E40" s="1062"/>
    </row>
    <row r="41" spans="1:6" ht="14.25" customHeight="1" x14ac:dyDescent="0.2">
      <c r="A41" s="306"/>
      <c r="B41" s="306" t="s">
        <v>1421</v>
      </c>
      <c r="C41" s="1068">
        <v>0</v>
      </c>
      <c r="D41" s="1526"/>
      <c r="E41" s="1062"/>
    </row>
    <row r="42" spans="1:6" ht="14.25" customHeight="1" x14ac:dyDescent="0.2">
      <c r="A42" s="306" t="s">
        <v>1422</v>
      </c>
      <c r="B42" s="306"/>
      <c r="C42" s="1524">
        <v>0</v>
      </c>
      <c r="D42" s="1526"/>
      <c r="E42" s="1062"/>
    </row>
    <row r="43" spans="1:6" ht="14.25" customHeight="1" x14ac:dyDescent="0.2">
      <c r="A43" s="306" t="s">
        <v>1423</v>
      </c>
      <c r="B43" s="306"/>
      <c r="C43" s="1069" t="s">
        <v>380</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1" t="s">
        <v>1573</v>
      </c>
      <c r="C49" s="2581"/>
      <c r="D49" s="2581"/>
      <c r="E49" s="1168"/>
    </row>
    <row r="50" spans="1:5" s="1076" customFormat="1" ht="3.75" customHeight="1" x14ac:dyDescent="0.2">
      <c r="A50" s="1075"/>
      <c r="B50" s="1475"/>
      <c r="C50" s="1475"/>
      <c r="D50" s="1475"/>
      <c r="E50" s="1168"/>
    </row>
    <row r="51" spans="1:5" s="1076" customFormat="1" ht="20.25" customHeight="1" x14ac:dyDescent="0.2">
      <c r="A51" s="1077">
        <v>6</v>
      </c>
      <c r="B51" s="2577" t="s">
        <v>1534</v>
      </c>
      <c r="C51" s="2577"/>
      <c r="D51" s="2577"/>
    </row>
    <row r="52" spans="1:5" ht="14.25" customHeight="1" x14ac:dyDescent="0.2">
      <c r="A52" s="1077"/>
      <c r="B52" s="2577"/>
      <c r="C52" s="2577"/>
      <c r="D52" s="257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D46" sqref="D46"/>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Wilmington CUSD 209U</v>
      </c>
      <c r="C1" s="2587"/>
      <c r="D1" s="2587"/>
      <c r="E1" s="2587"/>
      <c r="F1" s="2587"/>
      <c r="G1" s="2587"/>
      <c r="H1" s="2587"/>
      <c r="I1" s="2587"/>
      <c r="J1" s="1178"/>
    </row>
    <row r="2" spans="2:10" s="295" customFormat="1" ht="12.75" customHeight="1" x14ac:dyDescent="0.2">
      <c r="B2" s="2588" t="str">
        <f>'Single Audit Cover'!E7</f>
        <v xml:space="preserve">56099209U26  </v>
      </c>
      <c r="C2" s="2589"/>
      <c r="D2" s="2589"/>
      <c r="E2" s="2589"/>
      <c r="F2" s="2589"/>
      <c r="G2" s="2589"/>
      <c r="H2" s="2589"/>
      <c r="I2" s="2589"/>
      <c r="J2" s="1178"/>
    </row>
    <row r="3" spans="2:10" s="295" customFormat="1" ht="12.75" customHeight="1" x14ac:dyDescent="0.2">
      <c r="B3" s="2590" t="s">
        <v>1274</v>
      </c>
      <c r="C3" s="2591"/>
      <c r="D3" s="2591"/>
      <c r="E3" s="2591"/>
      <c r="F3" s="2591"/>
      <c r="G3" s="2591"/>
      <c r="H3" s="2591"/>
      <c r="I3" s="2591"/>
      <c r="J3" s="1179"/>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0" t="s">
        <v>1273</v>
      </c>
      <c r="C7" s="2591"/>
      <c r="D7" s="2591"/>
      <c r="E7" s="2591"/>
      <c r="F7" s="2591"/>
      <c r="G7" s="2591"/>
      <c r="H7" s="2591"/>
      <c r="I7" s="259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2" t="s">
        <v>2114</v>
      </c>
      <c r="D11" s="259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2048</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2048</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2048</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2048</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2048</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3" t="s">
        <v>2114</v>
      </c>
      <c r="E29" s="2593"/>
      <c r="F29" s="2593"/>
      <c r="G29" s="2593"/>
      <c r="H29" s="2593"/>
      <c r="I29" s="2593"/>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2048</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4" t="s">
        <v>1725</v>
      </c>
      <c r="D37" s="2595"/>
      <c r="E37" s="2595"/>
      <c r="F37" s="2596"/>
      <c r="G37" s="2594" t="s">
        <v>1575</v>
      </c>
      <c r="H37" s="2595"/>
      <c r="I37" s="2596"/>
    </row>
    <row r="38" spans="2:9" ht="16.5" customHeight="1" x14ac:dyDescent="0.2">
      <c r="B38" s="1200">
        <v>84.040999999999997</v>
      </c>
      <c r="C38" s="2582" t="s">
        <v>2115</v>
      </c>
      <c r="D38" s="2583"/>
      <c r="E38" s="2583"/>
      <c r="F38" s="2584"/>
      <c r="G38" s="2597">
        <v>2090366</v>
      </c>
      <c r="H38" s="2598"/>
      <c r="I38" s="2599"/>
    </row>
    <row r="39" spans="2:9" ht="16.5" customHeight="1" x14ac:dyDescent="0.2">
      <c r="B39" s="1200"/>
      <c r="C39" s="2582"/>
      <c r="D39" s="2583"/>
      <c r="E39" s="2583"/>
      <c r="F39" s="2584"/>
      <c r="G39" s="2585"/>
      <c r="H39" s="2585"/>
      <c r="I39" s="2585"/>
    </row>
    <row r="40" spans="2:9" ht="16.5" customHeight="1" x14ac:dyDescent="0.2">
      <c r="B40" s="1200"/>
      <c r="C40" s="2582"/>
      <c r="D40" s="2583"/>
      <c r="E40" s="2583"/>
      <c r="F40" s="2584"/>
      <c r="G40" s="2585"/>
      <c r="H40" s="2585"/>
      <c r="I40" s="2585"/>
    </row>
    <row r="41" spans="2:9" ht="16.5" customHeight="1" x14ac:dyDescent="0.2">
      <c r="B41" s="1200"/>
      <c r="C41" s="2582"/>
      <c r="D41" s="2583"/>
      <c r="E41" s="2583"/>
      <c r="F41" s="2584"/>
      <c r="G41" s="2585"/>
      <c r="H41" s="2585"/>
      <c r="I41" s="2585"/>
    </row>
    <row r="42" spans="2:9" ht="16.5" customHeight="1" x14ac:dyDescent="0.2">
      <c r="B42" s="1200"/>
      <c r="C42" s="2582"/>
      <c r="D42" s="2583"/>
      <c r="E42" s="2583"/>
      <c r="F42" s="2584"/>
      <c r="G42" s="2585"/>
      <c r="H42" s="2585"/>
      <c r="I42" s="2585"/>
    </row>
    <row r="43" spans="2:9" ht="16.5" customHeight="1" x14ac:dyDescent="0.2">
      <c r="B43" s="1200"/>
      <c r="C43" s="2600" t="s">
        <v>1576</v>
      </c>
      <c r="D43" s="2601"/>
      <c r="E43" s="2601"/>
      <c r="F43" s="2602"/>
      <c r="G43" s="2603">
        <f>SUM(G38:I42)</f>
        <v>2090366</v>
      </c>
      <c r="H43" s="2603"/>
      <c r="I43" s="2603"/>
    </row>
    <row r="44" spans="2:9" ht="12.75" customHeight="1" x14ac:dyDescent="0.2"/>
    <row r="45" spans="2:9" ht="12.75" customHeight="1" x14ac:dyDescent="0.2">
      <c r="B45" s="1917" t="str">
        <f>"Total Federal Expenditures for 7/1/"&amp;MID('AFR20'!E2,3,2)-1&amp;"-6/30/"&amp;MID('AFR20'!E2,3,2)</f>
        <v>Total Federal Expenditures for 7/1/19-6/30/20</v>
      </c>
      <c r="C45" s="1918"/>
      <c r="D45" s="2604">
        <f>+' SEFA (2)'!I24</f>
        <v>2664210</v>
      </c>
      <c r="E45" s="2605"/>
    </row>
    <row r="46" spans="2:9" ht="5.25" customHeight="1" x14ac:dyDescent="0.2">
      <c r="B46" s="1201"/>
      <c r="D46" s="1202"/>
      <c r="E46" s="1203"/>
    </row>
    <row r="47" spans="2:9" ht="12.75" customHeight="1" x14ac:dyDescent="0.2">
      <c r="B47" s="1076" t="s">
        <v>1577</v>
      </c>
      <c r="C47" s="1076"/>
      <c r="D47" s="1204">
        <f>+G43/D45</f>
        <v>0.78461007202885658</v>
      </c>
      <c r="E47" s="1205"/>
      <c r="F47" s="1206"/>
      <c r="I47" s="1207"/>
    </row>
    <row r="48" spans="2:9" ht="9.9499999999999993" customHeight="1" x14ac:dyDescent="0.2"/>
    <row r="49" spans="1:9" x14ac:dyDescent="0.2">
      <c r="B49" s="1138" t="s">
        <v>1262</v>
      </c>
      <c r="C49" s="1058"/>
      <c r="D49" s="1058"/>
      <c r="E49" s="2606">
        <v>750000</v>
      </c>
      <c r="F49" s="2606"/>
      <c r="G49" s="2606"/>
      <c r="H49" s="300"/>
    </row>
    <row r="51" spans="1:9" ht="13.5" customHeight="1" x14ac:dyDescent="0.2">
      <c r="B51" s="1138" t="s">
        <v>1261</v>
      </c>
      <c r="C51" s="1058"/>
      <c r="E51" s="1194"/>
      <c r="F51" s="1076" t="s">
        <v>879</v>
      </c>
      <c r="G51" s="1194" t="s">
        <v>2048</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Wilmington CUSD 209U</v>
      </c>
      <c r="C1" s="2586"/>
      <c r="D1" s="2586"/>
      <c r="E1" s="2586"/>
      <c r="F1" s="2586"/>
      <c r="G1" s="2586"/>
      <c r="H1" s="2586"/>
      <c r="I1" s="2586"/>
      <c r="J1" s="2586"/>
      <c r="K1" s="2586"/>
      <c r="L1" s="1144"/>
      <c r="M1" s="1144"/>
    </row>
    <row r="2" spans="1:13" ht="12" customHeight="1" x14ac:dyDescent="0.2">
      <c r="B2" s="2588" t="str">
        <f>'Single Audit Cover'!E7</f>
        <v xml:space="preserve">56099209U26  </v>
      </c>
      <c r="C2" s="2588"/>
      <c r="D2" s="2588"/>
      <c r="E2" s="2588"/>
      <c r="F2" s="2588"/>
      <c r="G2" s="2588"/>
      <c r="H2" s="2588"/>
      <c r="I2" s="2588"/>
      <c r="J2" s="2588"/>
      <c r="K2" s="2588"/>
      <c r="L2" s="1145"/>
      <c r="M2" s="1146"/>
    </row>
    <row r="3" spans="1:13" ht="10.35" customHeight="1" x14ac:dyDescent="0.2">
      <c r="B3" s="2609" t="s">
        <v>1274</v>
      </c>
      <c r="C3" s="2609"/>
      <c r="D3" s="2609"/>
      <c r="E3" s="2609"/>
      <c r="F3" s="2609"/>
      <c r="G3" s="2609"/>
      <c r="H3" s="2609"/>
      <c r="I3" s="2609"/>
      <c r="J3" s="2609"/>
      <c r="K3" s="2609"/>
      <c r="L3" s="1147"/>
      <c r="M3" s="1147"/>
    </row>
    <row r="4" spans="1:13" ht="14.25" customHeight="1" x14ac:dyDescent="0.2">
      <c r="B4" s="2610" t="str">
        <f>'Single Audit Cover'!A4</f>
        <v>Year Ending June 30, 2020</v>
      </c>
      <c r="C4" s="2610"/>
      <c r="D4" s="2610"/>
      <c r="E4" s="2610"/>
      <c r="F4" s="2610"/>
      <c r="G4" s="2610"/>
      <c r="H4" s="2610"/>
      <c r="I4" s="2610"/>
      <c r="J4" s="2610"/>
      <c r="K4" s="2610"/>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0" t="s">
        <v>1285</v>
      </c>
      <c r="C7" s="2610"/>
      <c r="D7" s="2611"/>
      <c r="E7" s="2611"/>
      <c r="F7" s="2611"/>
      <c r="G7" s="2611"/>
      <c r="H7" s="2611"/>
      <c r="I7" s="2611"/>
      <c r="J7" s="2611"/>
      <c r="K7" s="2611"/>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19" t="str">
        <f>'AFR20'!$E$2&amp;"-"</f>
        <v>2020-</v>
      </c>
      <c r="D10" s="1155" t="s">
        <v>2116</v>
      </c>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8"/>
      <c r="C14" s="2608"/>
      <c r="D14" s="2608"/>
      <c r="E14" s="2608"/>
      <c r="F14" s="2608"/>
      <c r="G14" s="2608"/>
      <c r="H14" s="2608"/>
      <c r="I14" s="2608"/>
      <c r="J14" s="2608"/>
      <c r="K14" s="2608"/>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8"/>
      <c r="C17" s="2608"/>
      <c r="D17" s="2608"/>
      <c r="E17" s="2608"/>
      <c r="F17" s="2608"/>
      <c r="G17" s="2608"/>
      <c r="H17" s="2608"/>
      <c r="I17" s="2608"/>
      <c r="J17" s="2608"/>
      <c r="K17" s="2608"/>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2"/>
      <c r="C20" s="2612"/>
      <c r="D20" s="2608"/>
      <c r="E20" s="2608"/>
      <c r="F20" s="2608"/>
      <c r="G20" s="2608"/>
      <c r="H20" s="2608"/>
      <c r="I20" s="2608"/>
      <c r="J20" s="2608"/>
      <c r="K20" s="2608"/>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8"/>
      <c r="C23" s="2608"/>
      <c r="D23" s="2608"/>
      <c r="E23" s="2608"/>
      <c r="F23" s="2608"/>
      <c r="G23" s="2608"/>
      <c r="H23" s="2608"/>
      <c r="I23" s="2608"/>
      <c r="J23" s="2608"/>
      <c r="K23" s="2608"/>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8"/>
      <c r="C26" s="2608"/>
      <c r="D26" s="2608"/>
      <c r="E26" s="2608"/>
      <c r="F26" s="2608"/>
      <c r="G26" s="2608"/>
      <c r="H26" s="2608"/>
      <c r="I26" s="2608"/>
      <c r="J26" s="2608"/>
      <c r="K26" s="2608"/>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7"/>
      <c r="C29" s="2607"/>
      <c r="D29" s="2608"/>
      <c r="E29" s="2608"/>
      <c r="F29" s="2608"/>
      <c r="G29" s="2608"/>
      <c r="H29" s="2608"/>
      <c r="I29" s="2608"/>
      <c r="J29" s="2608"/>
      <c r="K29" s="2608"/>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7"/>
      <c r="C32" s="2607"/>
      <c r="D32" s="2608"/>
      <c r="E32" s="2608"/>
      <c r="F32" s="2608"/>
      <c r="G32" s="2608"/>
      <c r="H32" s="2608"/>
      <c r="I32" s="2608"/>
      <c r="J32" s="2608"/>
      <c r="K32" s="2608"/>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 xml:space="preserve">  Wilmington CUSD 209U</v>
      </c>
      <c r="C1" s="2613"/>
      <c r="D1" s="2613"/>
      <c r="E1" s="2613"/>
      <c r="F1" s="2613"/>
      <c r="G1" s="2613"/>
      <c r="H1" s="2613"/>
      <c r="I1" s="2613"/>
      <c r="J1" s="2613"/>
      <c r="K1" s="2613"/>
      <c r="L1" s="1221"/>
    </row>
    <row r="2" spans="1:12" ht="12.75" customHeight="1" x14ac:dyDescent="0.2">
      <c r="B2" s="2614" t="str">
        <f>'Single Audit Cover'!E7</f>
        <v xml:space="preserve">56099209U26  </v>
      </c>
      <c r="C2" s="2614"/>
      <c r="D2" s="2614"/>
      <c r="E2" s="2614"/>
      <c r="F2" s="2614"/>
      <c r="G2" s="2614"/>
      <c r="H2" s="2614"/>
      <c r="I2" s="2614"/>
      <c r="J2" s="2614"/>
      <c r="K2" s="2614"/>
      <c r="L2" s="1222"/>
    </row>
    <row r="3" spans="1:12" ht="12.75" customHeight="1" x14ac:dyDescent="0.2">
      <c r="B3" s="2609" t="s">
        <v>1274</v>
      </c>
      <c r="C3" s="2609"/>
      <c r="D3" s="2609"/>
      <c r="E3" s="2609"/>
      <c r="F3" s="2609"/>
      <c r="G3" s="2609"/>
      <c r="H3" s="2609"/>
      <c r="I3" s="2609"/>
      <c r="J3" s="2609"/>
      <c r="K3" s="2609"/>
      <c r="L3" s="1147"/>
    </row>
    <row r="4" spans="1:12" ht="12.75" customHeight="1" x14ac:dyDescent="0.2">
      <c r="B4" s="2609" t="str">
        <f>'Single Audit Cover'!A4</f>
        <v>Year Ending June 30, 2020</v>
      </c>
      <c r="C4" s="2609"/>
      <c r="D4" s="2609"/>
      <c r="E4" s="2609"/>
      <c r="F4" s="2609"/>
      <c r="G4" s="2609"/>
      <c r="H4" s="2609"/>
      <c r="I4" s="2609"/>
      <c r="J4" s="2609"/>
      <c r="K4" s="2609"/>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19" t="str">
        <f>'AFR20'!$E$2&amp;"-"</f>
        <v>2020-</v>
      </c>
      <c r="D8" s="1223" t="s">
        <v>2116</v>
      </c>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3"/>
      <c r="G12" s="2593"/>
      <c r="H12" s="2593"/>
      <c r="I12" s="2593"/>
      <c r="J12" s="2593"/>
      <c r="K12" s="259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8"/>
      <c r="C20" s="2608"/>
      <c r="D20" s="2608"/>
      <c r="E20" s="2608"/>
      <c r="F20" s="2608"/>
      <c r="G20" s="2608"/>
      <c r="H20" s="2608"/>
      <c r="I20" s="2608"/>
      <c r="J20" s="2608"/>
      <c r="K20" s="2608"/>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6" t="str">
        <f>'Single Audit Cover'!A7</f>
        <v xml:space="preserve">  Wilmington CUSD 209U</v>
      </c>
      <c r="C1" s="2586"/>
      <c r="D1" s="2586"/>
      <c r="E1" s="1240"/>
    </row>
    <row r="2" spans="2:5" s="1058" customFormat="1" ht="12.75" customHeight="1" x14ac:dyDescent="0.2">
      <c r="B2" s="2588" t="str">
        <f>'Single Audit Cover'!E7</f>
        <v xml:space="preserve">56099209U26  </v>
      </c>
      <c r="C2" s="2588"/>
      <c r="D2" s="2588"/>
      <c r="E2" s="1241"/>
    </row>
    <row r="3" spans="2:5" ht="12.75" customHeight="1" x14ac:dyDescent="0.2">
      <c r="B3" s="2609" t="s">
        <v>1740</v>
      </c>
      <c r="C3" s="2609"/>
      <c r="D3" s="2609"/>
      <c r="E3" s="1050"/>
    </row>
    <row r="4" spans="2:5" s="1058" customFormat="1" ht="12.75" customHeight="1" x14ac:dyDescent="0.2">
      <c r="B4" s="2619" t="str">
        <f>'Single Audit Cover'!A4</f>
        <v>Year Ending June 30, 2020</v>
      </c>
      <c r="C4" s="2619"/>
      <c r="D4" s="2619"/>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t="s">
        <v>2117</v>
      </c>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2006/metadata/properties"/>
    <ds:schemaRef ds:uri="http://schemas.microsoft.com/office/2006/documentManagement/types"/>
    <ds:schemaRef ds:uri="http://purl.org/dc/elements/1.1/"/>
    <ds:schemaRef ds:uri="http://schemas.microsoft.com/sharepoint/v3"/>
    <ds:schemaRef ds:uri="http://schemas.openxmlformats.org/package/2006/metadata/core-properties"/>
    <ds:schemaRef ds:uri="http://schemas.microsoft.com/office/infopath/2007/PartnerControls"/>
    <ds:schemaRef ds:uri="http://www.w3.org/XML/1998/namespace"/>
    <ds:schemaRef ds:uri="http://purl.org/dc/terms/"/>
    <ds:schemaRef ds:uri="4d435f69-8686-490b-bd6d-b153bf22ab50"/>
    <ds:schemaRef ds:uri="d21dc803-237d-4c68-8692-8d731fd29118"/>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2020-10-13T19:28:17Z</cp:lastPrinted>
  <dcterms:created xsi:type="dcterms:W3CDTF">2003-10-29T19:06:34Z</dcterms:created>
  <dcterms:modified xsi:type="dcterms:W3CDTF">2020-10-20T21:40:39Z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