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3504D21-9C2B-4576-91E5-A39462C6E0B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7" l="1"/>
  <c r="E14" i="7"/>
  <c r="E11" i="7"/>
  <c r="E8" i="7"/>
  <c r="E7" i="7"/>
  <c r="E6" i="7"/>
  <c r="E5" i="7"/>
  <c r="E4" i="7"/>
  <c r="M19" i="3" l="1"/>
  <c r="M17" i="3"/>
  <c r="K14" i="12" l="1"/>
  <c r="H13" i="11" l="1"/>
  <c r="C13" i="11"/>
  <c r="J7" i="184" l="1"/>
  <c r="L53" i="184" s="1"/>
  <c r="J6" i="184"/>
  <c r="L52" i="184" s="1"/>
  <c r="M68" i="184"/>
  <c r="L68" i="184"/>
  <c r="K68" i="184"/>
  <c r="G16" i="184" s="1"/>
  <c r="J68" i="184"/>
  <c r="I68" i="184"/>
  <c r="H68" i="184"/>
  <c r="G68" i="184"/>
  <c r="K19" i="184"/>
  <c r="J19" i="184"/>
  <c r="I19" i="184"/>
  <c r="L18" i="184"/>
  <c r="H18" i="184"/>
  <c r="L17" i="184"/>
  <c r="G17" i="184"/>
  <c r="L16" i="184"/>
  <c r="L15" i="184"/>
  <c r="G15" i="184"/>
  <c r="L14" i="184"/>
  <c r="G14" i="184"/>
  <c r="L13" i="184"/>
  <c r="G13" i="184"/>
  <c r="L12" i="184"/>
  <c r="G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36" i="108" l="1"/>
  <c r="B2836" i="106"/>
  <c r="D2836" i="106" s="1"/>
  <c r="B2805" i="106"/>
  <c r="D2805" i="106" s="1"/>
  <c r="F70" i="34"/>
  <c r="F37" i="34"/>
  <c r="B7829" i="106" s="1"/>
  <c r="D7829" i="106" s="1"/>
  <c r="B7047" i="106"/>
  <c r="D7047"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B7074" i="106"/>
  <c r="D7074" i="106" s="1"/>
  <c r="E13" i="145"/>
  <c r="G13" i="145" s="1"/>
  <c r="E13" i="184"/>
  <c r="H13" i="184" s="1"/>
  <c r="G33" i="108"/>
  <c r="E17" i="184"/>
  <c r="H17" i="184" s="1"/>
  <c r="E14" i="145"/>
  <c r="G14" i="145" s="1"/>
  <c r="E14" i="184"/>
  <c r="H14" i="184" s="1"/>
  <c r="F15" i="145"/>
  <c r="F19" i="145" s="1"/>
  <c r="F15" i="184"/>
  <c r="E15" i="145"/>
  <c r="E15" i="184"/>
  <c r="H12" i="184"/>
  <c r="D31" i="108"/>
  <c r="E16" i="184"/>
  <c r="H16" i="184" s="1"/>
  <c r="B6289" i="106"/>
  <c r="D6289" i="106" s="1"/>
  <c r="H76" i="4"/>
  <c r="B3298" i="106" s="1"/>
  <c r="D3298"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G15" i="145" l="1"/>
  <c r="L114" i="29"/>
  <c r="B1381" i="106"/>
  <c r="D1381" i="106" s="1"/>
  <c r="E68" i="184"/>
  <c r="N57" i="184"/>
  <c r="N68" i="184" s="1"/>
  <c r="N23" i="3"/>
  <c r="B284" i="106" s="1"/>
  <c r="D284" i="106" s="1"/>
  <c r="E19" i="184"/>
  <c r="H77" i="4"/>
  <c r="B3299" i="106" s="1"/>
  <c r="D3299" i="106" s="1"/>
  <c r="H15" i="184"/>
  <c r="H19" i="184" s="1"/>
  <c r="L20" i="184" s="1"/>
  <c r="F19" i="184"/>
  <c r="F66" i="34"/>
  <c r="L16" i="11"/>
  <c r="B2061" i="106" s="1"/>
  <c r="D2061" i="106" s="1"/>
  <c r="B2031" i="106"/>
  <c r="D203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<sst xmlns="http://schemas.openxmlformats.org/spreadsheetml/2006/main" count="5200" uniqueCount="2090">
  <si>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</si>
  <si>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</si>
  <si>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</si>
  <si>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</si>
  <si>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</si>
  <si>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</si>
  <si>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</si>
  <si>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</si>
  <si>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</si>
  <si>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</si>
  <si>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</si>
  <si>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</si>
  <si>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</si>
  <si>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</si>
  <si>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</si>
  <si>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</si>
  <si>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</si>
  <si>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</si>
  <si>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</si>
  <si>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</si>
  <si>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</si>
  <si>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</si>
  <si>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</si>
  <si>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</si>
  <si>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</si>
  <si>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</si>
  <si>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</si>
  <si>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</si>
  <si>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</si>
  <si>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</si>
  <si>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</si>
  <si>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</si>
  <si>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</si>
  <si>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</si>
  <si>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</si>
  <si>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</si>
  <si>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</si>
  <si>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</si>
  <si>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</si>
  <si>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</si>
  <si>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</si>
  <si>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</si>
  <si>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</si>
  <si>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</si>
  <si>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</si>
  <si>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</si>
  <si>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</si>
  <si>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</si>
  <si>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</si>
  <si>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</si>
  <si>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</si>
  <si>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</si>
  <si>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</si>
  <si>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</si>
  <si>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</si>
  <si>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</si>
  <si>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</si>
  <si>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</si>
  <si>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</si>
  <si>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</si>
  <si>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</si>
  <si>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</si>
  <si>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</si>
  <si>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</si>
  <si>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</si>
  <si>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</si>
  <si>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</si>
  <si>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</si>
  <si>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</si>
  <si>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</si>
  <si>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</si>
  <si>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</si>
  <si>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</si>
  <si>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</si>
  <si>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</si>
  <si>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</si>
  <si>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</si>
  <si>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</si>
  <si>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</si>
  <si>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</si>
  <si>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</si>
  <si>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</si>
  <si>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</si>
  <si>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</si>
  <si>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</si>
  <si>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</si>
  <si>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</si>
  <si>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</si>
  <si>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</si>
  <si>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</si>
  <si>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</si>
  <si>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</si>
  <si>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</si>
  <si>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</si>
  <si>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</si>
  <si>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</si>
  <si>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</si>
  <si>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</si>
  <si>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</si>
  <si>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</si>
  <si>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</si>
  <si>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</si>
  <si>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</si>
  <si>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</si>
  <si>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</si>
  <si>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</si>
  <si>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</si>
  <si>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</si>
  <si>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</si>
  <si>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</si>
  <si>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</si>
  <si>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</si>
  <si>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</si>
  <si>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</si>
  <si>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</si>
  <si>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</si>
  <si>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</si>
  <si>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</si>
  <si>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</si>
  <si>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</si>
  <si>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</si>
  <si>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</si>
  <si>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</si>
  <si>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</si>
  <si>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</si>
  <si>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</si>
  <si>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</si>
  <si>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</si>
  <si>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</si>
  <si>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</si>
  <si>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</si>
  <si>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</si>
  <si>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</si>
  <si>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</si>
  <si>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</si>
  <si>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</si>
  <si>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</si>
  <si>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</si>
  <si>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</si>
  <si>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</si>
  <si>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</si>
  <si>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</si>
  <si>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</si>
  <si>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</si>
  <si>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</si>
  <si>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</si>
  <si>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</si>
  <si>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</si>
  <si>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</si>
  <si>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</si>
  <si>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</si>
  <si>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</si>
  <si>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</si>
  <si>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</si>
  <si>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</si>
  <si>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</si>
  <si>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</si>
  <si>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</si>
  <si>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</si>
  <si>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</si>
  <si>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</si>
  <si>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</si>
  <si>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</si>
  <si>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</si>
  <si>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</si>
  <si>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</si>
  <si>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</si>
  <si>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</si>
  <si>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</si>
  <si>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</si>
  <si>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</si>
  <si>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</si>
  <si>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</si>
  <si>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</si>
  <si>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</si>
  <si>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</si>
  <si>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</si>
  <si>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</si>
  <si>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</si>
  <si>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</si>
  <si>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</si>
  <si>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</si>
  <si>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</si>
  <si>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</si>
  <si>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</si>
  <si>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</si>
  <si>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</si>
  <si>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</si>
  <si>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</si>
  <si>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</si>
  <si>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</si>
  <si>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</si>
  <si>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</si>
  <si>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</si>
  <si>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</si>
  <si>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</si>
  <si>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</si>
  <si>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</si>
  <si>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</si>
  <si>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</si>
  <si>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</si>
  <si>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</si>
  <si>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</si>
  <si>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</si>
  <si>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</si>
  <si>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</si>
  <si>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</si>
  <si>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</si>
  <si>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</si>
  <si>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</si>
  <si>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</si>
  <si>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</si>
  <si>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</si>
  <si>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</si>
  <si>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</si>
  <si>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</si>
  <si>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</si>
  <si>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</si>
  <si>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</si>
  <si>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</si>
  <si>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</si>
  <si>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</si>
  <si>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</si>
  <si>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</si>
  <si>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</si>
  <si>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</si>
  <si>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</si>
  <si>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</si>
  <si>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</si>
  <si>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</si>
  <si>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</si>
  <si>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</si>
  <si>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</si>
  <si>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</si>
  <si>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</si>
  <si>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</si>
  <si>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</si>
  <si>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</si>
  <si>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</si>
  <si>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</si>
  <si>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</si>
  <si>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</si>
  <si>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</si>
  <si>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</si>
  <si>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</si>
  <si>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</si>
  <si>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</si>
  <si>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</si>
  <si>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</si>
  <si>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</si>
  <si>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</si>
  <si>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</si>
  <si>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</si>
  <si>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</si>
  <si>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</si>
  <si>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</si>
  <si>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</si>
  <si>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</si>
  <si>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</si>
  <si>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</si>
  <si>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</si>
  <si>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</si>
  <si>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</si>
  <si>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</si>
  <si>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</si>
  <si>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</si>
  <si>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</si>
  <si>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</si>
  <si>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</si>
  <si>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</si>
  <si>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</si>
  <si>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</si>
  <si>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</si>
  <si>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</si>
  <si>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</si>
  <si>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</si>
  <si>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</si>
  <si>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</si>
  <si>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</si>
  <si>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</si>
  <si>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</si>
  <si>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</si>
  <si>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</si>
  <si>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</si>
  <si>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</si>
  <si>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</si>
  <si>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</si>
  <si>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</si>
  <si>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</si>
  <si>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</si>
  <si>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</si>
  <si>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</si>
  <si>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</si>
  <si>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</si>
  <si>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</si>
  <si>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</si>
  <si>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</si>
  <si>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</si>
  <si>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</si>
  <si>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</si>
  <si>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</si>
  <si>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</si>
  <si>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</si>
  <si>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</si>
  <si>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</si>
  <si>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</si>
  <si>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</si>
  <si>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</si>
  <si>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</si>
  <si>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</si>
  <si>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</si>
  <si>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</si>
  <si>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</si>
  <si>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</si>
  <si>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</si>
  <si>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</si>
  <si>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</si>
  <si>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</si>
  <si>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</si>
  <si>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</si>
  <si>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</si>
  <si>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</si>
  <si>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</si>
  <si>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</si>
  <si>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</si>
  <si>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</si>
  <si>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</si>
  <si>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</si>
  <si>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</si>
  <si>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</si>
  <si>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</si>
  <si>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</si>
  <si>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</si>
  <si>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</si>
  <si>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</si>
  <si>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</si>
  <si>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</si>
  <si>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</si>
  <si>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</si>
  <si>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</si>
  <si>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</si>
  <si>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</si>
  <si>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</si>
  <si>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</si>
  <si>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</si>
  <si>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</si>
  <si>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</si>
  <si>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</si>
  <si>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</si>
  <si>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</si>
  <si>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</si>
  <si>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</si>
  <si>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</si>
  <si>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</si>
  <si>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</si>
  <si>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</si>
  <si>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</si>
  <si>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</si>
  <si>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</si>
  <si>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</si>
  <si>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</si>
  <si>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</si>
  <si>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</si>
  <si>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</si>
  <si>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</si>
  <si>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</si>
  <si>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</si>
  <si>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</si>
  <si>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</si>
  <si>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</si>
  <si>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</si>
  <si>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</si>
  <si>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</si>
  <si>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</si>
  <si>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</si>
  <si>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</si>
  <si>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</si>
  <si>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</si>
  <si>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</si>
  <si>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</si>
  <si>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</si>
  <si>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</si>
  <si>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</si>
  <si>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</si>
  <si>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</si>
  <si>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</si>
  <si>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</si>
  <si>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</si>
  <si>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</si>
  <si>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</si>
  <si>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</si>
  <si>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</si>
  <si>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</si>
  <si>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</si>
  <si>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</si>
  <si>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</si>
  <si>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</si>
  <si>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</si>
  <si>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</si>
  <si>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</si>
  <si>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</si>
  <si>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</si>
  <si>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</si>
  <si>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</si>
  <si>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</si>
  <si>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</si>
  <si>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</si>
  <si>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</si>
  <si>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</si>
  <si>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</si>
  <si>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</si>
  <si>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</si>
  <si>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</si>
  <si>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</si>
  <si>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</si>
  <si>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</si>
  <si>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</si>
  <si>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</si>
  <si>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</si>
  <si>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</si>
  <si>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</si>
  <si>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</si>
  <si>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</si>
  <si>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</si>
  <si>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</si>
  <si>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</si>
  <si>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</si>
  <si>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</si>
  <si>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</si>
  <si>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</si>
  <si>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</si>
  <si>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</si>
  <si>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</si>
  <si>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</si>
  <si>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</si>
  <si>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</si>
  <si>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</si>
  <si>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</si>
  <si>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</si>
  <si>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</si>
  <si>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</si>
  <si>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</si>
  <si>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</si>
  <si>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</si>
  <si>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</si>
  <si>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</si>
  <si>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</si>
  <si>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</si>
  <si>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</si>
  <si>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</si>
  <si>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</si>
  <si>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</si>
  <si>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</si>
  <si>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</si>
  <si>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</si>
  <si>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</si>
  <si>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</si>
  <si>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</si>
  <si>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</si>
  <si>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</si>
  <si>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</si>
  <si>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</si>
  <si>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</si>
  <si>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</si>
  <si>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</si>
  <si>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</si>
  <si>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</si>
  <si>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</si>
  <si>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</si>
  <si>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</si>
  <si>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</si>
  <si>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</si>
  <si>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</si>
  <si>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</si>
  <si>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</si>
  <si>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</si>
  <si>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</si>
  <si>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</si>
  <si>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</si>
  <si>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</si>
  <si>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</si>
  <si>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</si>
  <si>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</si>
  <si>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</si>
  <si>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</si>
  <si>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</si>
  <si>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</si>
  <si>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</si>
  <si>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</si>
  <si>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</si>
  <si>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</si>
  <si>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</si>
  <si>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</si>
  <si>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</si>
  <si>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</si>
  <si>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</si>
  <si>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</si>
  <si>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</si>
  <si>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</si>
  <si>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</si>
  <si>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</si>
  <si>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</si>
  <si>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</si>
  <si>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</si>
  <si>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</si>
  <si>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</si>
  <si>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</si>
  <si>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</si>
  <si>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</si>
  <si>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</si>
  <si>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</si>
  <si>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</si>
  <si>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</si>
  <si>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</si>
  <si>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</si>
  <si>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</si>
  <si>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</si>
  <si>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</si>
  <si>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</si>
  <si>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</si>
  <si>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</si>
  <si>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</si>
  <si>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</si>
  <si>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</si>
  <si>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</si>
  <si>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</si>
  <si>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</si>
  <si>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</si>
  <si>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</si>
  <si>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</si>
  <si>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</si>
  <si>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</si>
  <si>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</si>
  <si>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</si>
  <si>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</si>
  <si>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</si>
  <si>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</si>
  <si>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</si>
  <si>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</si>
  <si>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</si>
  <si>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</si>
  <si>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</si>
  <si>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</si>
  <si>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</si>
  <si>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</si>
  <si>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</si>
  <si>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</si>
  <si>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</si>
  <si>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</si>
  <si>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</si>
  <si>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</si>
  <si>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</si>
  <si>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</si>
  <si>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</si>
  <si>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</si>
  <si>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</si>
  <si>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</si>
  <si>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</si>
  <si>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</si>
  <si>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</si>
  <si>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</si>
  <si>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</si>
  <si>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</si>
  <si>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</si>
  <si>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</si>
  <si>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</si>
  <si>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</si>
  <si>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</si>
  <si>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</si>
  <si>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</si>
  <si>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</si>
  <si>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</si>
  <si>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</si>
  <si>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</si>
  <si>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</si>
  <si>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</si>
  <si>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</si>
  <si>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</si>
  <si>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</si>
  <si>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</si>
  <si>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</si>
  <si>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</si>
  <si>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</si>
  <si>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</si>
  <si>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</si>
  <si>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</si>
  <si>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</si>
  <si>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</si>
  <si>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</si>
  <si>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</si>
  <si>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</si>
  <si>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</si>
  <si>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</si>
  <si>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</si>
  <si>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</si>
  <si>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</si>
  <si>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</si>
  <si>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</si>
  <si>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</si>
  <si>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</si>
  <si>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</si>
  <si>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</si>
  <si>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</si>
  <si>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</si>
  <si>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</si>
  <si>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</si>
  <si>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</si>
  <si>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</si>
  <si>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</si>
  <si>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</si>
  <si>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</si>
  <si>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</si>
  <si>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</si>
  <si>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</si>
  <si>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</si>
  <si>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</si>
  <si>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</si>
  <si>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</si>
  <si>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</si>
  <si>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</si>
  <si>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</si>
  <si>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</si>
  <si>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</si>
  <si>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</si>
  <si>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</si>
  <si>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</si>
  <si>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</si>
  <si>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</si>
  <si>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</si>
  <si>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</si>
  <si>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</si>
  <si>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</si>
  <si>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</si>
  <si>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</si>
  <si>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</si>
  <si>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</si>
  <si>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</si>
  <si>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</si>
  <si>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</si>
  <si>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</si>
  <si>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</si>
  <si>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</si>
  <si>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</si>
  <si>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</si>
  <si>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</si>
  <si>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</si>
  <si>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</si>
  <si>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</si>
  <si>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</si>
  <si>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</si>
  <si>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</si>
  <si>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</si>
  <si>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</si>
  <si>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</si>
  <si>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</si>
  <si>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</si>
  <si>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</si>
  <si>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</si>
  <si>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</si>
  <si>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</si>
  <si>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</si>
  <si>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</si>
  <si>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</si>
  <si>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</si>
  <si>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</si>
  <si>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</si>
  <si>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</si>
  <si>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</si>
  <si>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</si>
  <si>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</si>
  <si>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</si>
  <si>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</si>
  <si>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</si>
  <si>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</si>
  <si>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</si>
  <si>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</si>
  <si>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</si>
  <si>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</si>
  <si>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</si>
  <si>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</si>
  <si>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</si>
  <si>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</si>
  <si>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</si>
  <si>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</si>
  <si>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</si>
  <si>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</si>
  <si>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</si>
  <si>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</si>
  <si>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</si>
  <si>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</si>
  <si>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</si>
  <si>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</si>
  <si>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</si>
  <si>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</si>
  <si>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</si>
  <si>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</si>
  <si>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</si>
  <si>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</si>
  <si>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</si>
  <si>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</si>
  <si>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</si>
  <si>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</si>
  <si>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</si>
  <si>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</si>
  <si>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</si>
  <si>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</si>
  <si>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</si>
  <si>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</si>
  <si>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</si>
  <si>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</si>
  <si>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</si>
  <si>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</si>
  <si>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</si>
  <si>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</si>
  <si>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</si>
  <si>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</si>
  <si>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</si>
  <si>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</si>
  <si>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</si>
  <si>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</si>
  <si>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</si>
  <si>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</si>
  <si>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</si>
  <si>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</si>
  <si>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</si>
  <si>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</si>
  <si>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</si>
  <si>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</si>
  <si>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</si>
  <si>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</si>
  <si>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</si>
  <si>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</si>
  <si>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</si>
  <si>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</si>
  <si>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</si>
  <si>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</si>
  <si>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</si>
  <si>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</si>
  <si>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</si>
  <si>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</si>
  <si>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</si>
  <si>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</si>
  <si>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</si>
  <si>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</si>
  <si>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</si>
  <si>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</si>
  <si>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</si>
  <si>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</si>
  <si>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</si>
  <si>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</si>
  <si>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</si>
  <si>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</si>
  <si>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</si>
  <si>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</si>
  <si>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</si>
  <si>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</si>
  <si>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</si>
  <si>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</si>
  <si>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</si>
  <si>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</si>
  <si>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</si>
  <si>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</si>
  <si>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</si>
  <si>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</si>
  <si>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</si>
  <si>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</si>
  <si>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</si>
  <si>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</si>
  <si>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</si>
  <si>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</si>
  <si>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</si>
  <si>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</si>
  <si>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</si>
  <si>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</si>
  <si>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</si>
  <si>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</si>
  <si>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</si>
  <si>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</si>
  <si>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</si>
  <si>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</si>
  <si>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</si>
  <si>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</si>
  <si>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</si>
  <si>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</si>
  <si>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</si>
  <si>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</si>
  <si>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</si>
  <si>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</si>
  <si>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</si>
  <si>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</si>
  <si>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</si>
  <si>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</si>
  <si>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</si>
  <si>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</si>
  <si>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</si>
  <si>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</si>
  <si>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</si>
  <si>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</si>
  <si>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</si>
  <si>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</si>
  <si>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</si>
  <si>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</si>
  <si>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</si>
  <si>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</si>
  <si>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</si>
  <si>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</si>
  <si>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</si>
  <si>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</si>
  <si>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</si>
  <si>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</si>
  <si>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</si>
  <si>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</si>
  <si>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</si>
  <si>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</si>
  <si>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</si>
  <si>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</si>
  <si>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</si>
  <si>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</si>
  <si>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</si>
  <si>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</si>
  <si>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</si>
  <si>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</si>
  <si>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</si>
  <si>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</si>
  <si>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</si>
  <si>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</si>
  <si>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</si>
  <si>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</si>
  <si>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</si>
  <si>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</si>
  <si>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</si>
  <si>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</si>
  <si>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</si>
  <si>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</si>
  <si>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</si>
  <si>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</si>
  <si>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</si>
  <si>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</si>
  <si>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</si>
  <si>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</si>
  <si>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</si>
  <si>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</si>
  <si>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</si>
  <si>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</si>
  <si>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</si>
  <si>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</si>
  <si>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</si>
  <si>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</si>
  <si>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</si>
  <si>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</si>
  <si>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</si>
  <si>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</si>
  <si>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</si>
  <si>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</si>
  <si>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</si>
  <si>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</si>
  <si>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</si>
  <si>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</si>
  <si>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</si>
  <si>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</si>
  <si>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</si>
  <si>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</si>
  <si>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</si>
  <si>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</si>
  <si>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</si>
  <si>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</si>
  <si>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</si>
  <si>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</si>
  <si>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</si>
  <si>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</si>
  <si>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</si>
  <si>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</si>
  <si>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</si>
  <si>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</si>
  <si>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</si>
  <si>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</si>
  <si>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</si>
  <si>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</si>
  <si>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</si>
  <si>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</si>
  <si>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</si>
  <si>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</si>
  <si>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</si>
  <si>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</si>
  <si>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</si>
  <si>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</si>
  <si>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</si>
  <si>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</si>
  <si>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</si>
  <si>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</si>
  <si>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</si>
  <si>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</si>
  <si>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</si>
  <si>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</si>
  <si>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</si>
  <si>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</si>
  <si>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</si>
  <si>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</si>
  <si>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</si>
  <si>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</si>
  <si>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</si>
  <si>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</si>
  <si>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</si>
  <si>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</si>
  <si>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</si>
  <si>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</si>
  <si>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</si>
  <si>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</si>
  <si>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</si>
  <si>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</si>
  <si>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</si>
  <si>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</si>
  <si>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</si>
  <si>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</si>
  <si>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</si>
  <si>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</si>
  <si>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</si>
  <si>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</si>
  <si>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</si>
  <si>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</si>
  <si>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</si>
  <si>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</si>
  <si>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</si>
  <si>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</si>
  <si>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</si>
  <si>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</si>
  <si>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</si>
  <si>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</si>
  <si>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</si>
  <si>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</si>
  <si>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</si>
  <si>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</si>
  <si>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</si>
  <si>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</si>
  <si>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</si>
  <si>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</si>
  <si>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</si>
  <si>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</si>
  <si>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</si>
  <si>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</si>
  <si>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</si>
  <si>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</si>
  <si>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</si>
  <si>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</si>
  <si>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</si>
  <si>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</si>
  <si>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</si>
  <si>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</si>
  <si>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</si>
  <si>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</si>
  <si>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</si>
  <si>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</si>
  <si>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</si>
  <si>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</si>
  <si>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</si>
  <si>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</si>
  <si>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</si>
  <si>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</si>
  <si>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</si>
  <si>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</si>
  <si>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</si>
  <si>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</si>
  <si>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</si>
  <si>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</si>
  <si>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</si>
  <si>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</si>
  <si>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</si>
  <si>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</si>
  <si>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</si>
  <si>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</si>
  <si>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</si>
  <si>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</si>
  <si>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</si>
  <si>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</si>
  <si>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</si>
  <si>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</si>
  <si>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</si>
  <si>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</si>
  <si>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</si>
  <si>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</si>
  <si>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</si>
  <si>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</si>
  <si>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</si>
  <si>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</si>
  <si>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</si>
  <si>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</si>
  <si>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</si>
  <si>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</si>
  <si>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</si>
  <si>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</si>
  <si>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</si>
  <si>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</si>
  <si>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</si>
  <si>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</si>
  <si>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</si>
  <si>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</si>
  <si>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</si>
  <si>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</si>
  <si>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</si>
  <si>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</si>
  <si>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</si>
  <si>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</si>
  <si>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</si>
  <si>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</si>
  <si>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</si>
  <si>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</si>
  <si>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</si>
  <si>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</si>
  <si>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</si>
  <si>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</si>
  <si>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</si>
  <si>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</si>
  <si>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</si>
  <si>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</si>
  <si>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</si>
  <si>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</si>
  <si>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</si>
  <si>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</si>
  <si>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</si>
  <si>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</si>
  <si>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</si>
  <si>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</si>
  <si>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</si>
  <si>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</si>
  <si>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</si>
  <si>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</si>
  <si>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</si>
  <si>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</si>
  <si>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</si>
  <si>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</si>
  <si>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</si>
  <si>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</si>
  <si>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</si>
  <si>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</si>
  <si>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</si>
  <si>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</si>
  <si>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</si>
  <si>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</si>
  <si>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</si>
  <si>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</si>
  <si>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</si>
  <si>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</si>
  <si>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</si>
  <si>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</si>
  <si>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</si>
  <si>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</si>
  <si>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</si>
  <si>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</si>
  <si>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</si>
  <si>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</si>
  <si>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</si>
  <si>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</si>
  <si>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</si>
  <si>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</si>
  <si>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</si>
  <si>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</si>
  <si>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</si>
  <si>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</si>
  <si>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</si>
  <si>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</si>
  <si>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</si>
  <si>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</si>
  <si>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</si>
  <si>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</si>
  <si>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</si>
  <si>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</si>
  <si>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</si>
  <si>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</si>
  <si>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</si>
  <si>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</si>
  <si>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</si>
  <si>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</si>
  <si>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</si>
  <si>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</si>
  <si>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</si>
  <si>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</si>
  <si>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</si>
  <si>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</si>
  <si>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</si>
  <si>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</si>
  <si>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</si>
  <si>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</si>
  <si>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</si>
  <si>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</si>
  <si>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</si>
  <si>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</si>
  <si>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</si>
  <si>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</si>
  <si>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</si>
  <si>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</si>
  <si>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</si>
  <si>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</si>
  <si>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</si>
  <si>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</si>
  <si>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</si>
  <si>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</si>
  <si>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</si>
  <si>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</si>
  <si>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</si>
  <si>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</si>
  <si>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</si>
  <si>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</si>
  <si>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</si>
  <si>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</si>
  <si>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</si>
  <si>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</si>
  <si>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</si>
  <si>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</si>
  <si>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</si>
  <si>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</si>
  <si>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</si>
  <si>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</si>
  <si>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</si>
  <si>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</si>
  <si>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</si>
  <si>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</si>
  <si>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</si>
  <si>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</si>
  <si>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</si>
  <si>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</si>
  <si>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</si>
  <si>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</si>
  <si>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</si>
  <si>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</si>
  <si>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</si>
  <si>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</si>
  <si>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</si>
  <si>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</si>
  <si>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</si>
  <si>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</si>
  <si>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</si>
  <si>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</si>
  <si>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</si>
  <si>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</si>
  <si>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</si>
  <si>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</si>
  <si>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</si>
  <si>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</si>
  <si>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</si>
  <si>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</si>
  <si>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</si>
  <si>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</si>
  <si>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</si>
  <si>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</si>
  <si>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</si>
  <si>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</si>
  <si>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</si>
  <si>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</si>
  <si>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</si>
  <si>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</si>
  <si>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</si>
  <si>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</si>
  <si>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</si>
  <si>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</si>
  <si>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</si>
  <si>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</si>
  <si>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</si>
  <si>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</si>
  <si>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</si>
  <si>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</si>
  <si>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</si>
  <si>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</si>
  <si>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</si>
  <si>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</si>
  <si>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</si>
  <si>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</si>
  <si>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</si>
  <si>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</si>
  <si>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</si>
  <si>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</si>
  <si>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</si>
  <si>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</si>
  <si>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</si>
  <si>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</si>
  <si>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</si>
  <si>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</si>
  <si>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</si>
  <si>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</si>
  <si>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</si>
  <si>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</si>
  <si>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</si>
  <si>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</si>
  <si>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</si>
  <si>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</si>
  <si>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</si>
  <si>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</si>
  <si>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</si>
  <si>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</si>
  <si>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</si>
  <si>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</si>
  <si>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</si>
  <si>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</si>
  <si>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</si>
  <si>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</si>
  <si>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</si>
  <si>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</si>
  <si>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</si>
  <si>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</si>
  <si>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</si>
  <si>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</si>
  <si>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</si>
  <si>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</si>
  <si>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</si>
  <si>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</si>
  <si>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</si>
  <si>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</si>
  <si>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</si>
  <si>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</si>
  <si>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</si>
  <si>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</si>
  <si>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</si>
  <si>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</si>
  <si>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</si>
  <si>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</si>
  <si>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</si>
  <si>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</si>
  <si>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</si>
  <si>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</si>
  <si>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</si>
  <si>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</si>
  <si>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</si>
  <si>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</si>
  <si>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</si>
  <si>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</si>
  <si>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</si>
  <si>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</si>
  <si>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</si>
  <si>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</si>
  <si>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</si>
  <si>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</si>
  <si>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</si>
  <si>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</si>
  <si>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</si>
  <si>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</si>
  <si>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</si>
  <si>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</si>
  <si>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</si>
  <si>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</si>
  <si>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</si>
  <si>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</si>
  <si>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</si>
  <si>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</si>
  <si>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</si>
  <si>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</si>
  <si>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</si>
  <si>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</si>
  <si>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</si>
  <si>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</si>
  <si>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</si>
  <si>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</si>
  <si>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</si>
  <si>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</si>
  <si>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</si>
  <si>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</si>
  <si>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</si>
  <si>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</si>
  <si>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</si>
  <si>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</si>
  <si>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</si>
  <si>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</si>
  <si>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</si>
  <si>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</si>
  <si>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</si>
  <si>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</si>
  <si>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</si>
  <si>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</si>
  <si>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</si>
  <si>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</si>
  <si>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</si>
  <si>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</si>
  <si>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</si>
  <si>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</si>
  <si>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</si>
  <si>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</si>
  <si>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</si>
  <si>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</si>
  <si>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</si>
  <si>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</si>
  <si>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</si>
  <si>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</si>
  <si>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</si>
  <si>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</si>
  <si>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</si>
  <si>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</si>
  <si>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</si>
  <si>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</si>
  <si>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</si>
  <si>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</si>
  <si>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</si>
  <si>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</si>
  <si>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</si>
  <si>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</si>
  <si>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</si>
  <si>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</si>
  <si>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</si>
  <si>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</si>
  <si>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</si>
  <si>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</si>
  <si>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</si>
  <si>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</si>
  <si>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</si>
  <si>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</si>
  <si>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</si>
  <si>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</si>
  <si>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</si>
  <si>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</si>
  <si>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</si>
  <si>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</si>
  <si>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</si>
  <si>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</si>
  <si>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</si>
  <si>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</si>
  <si>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</si>
  <si>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</si>
  <si>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</si>
  <si>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</si>
  <si>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</si>
  <si>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</si>
  <si>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</si>
  <si>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</si>
  <si>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</si>
  <si>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</si>
  <si>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</si>
  <si>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</si>
  <si>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</si>
  <si>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</si>
  <si>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</si>
  <si>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</si>
  <si>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</si>
  <si>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</si>
  <si>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</si>
  <si>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</si>
  <si>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</si>
  <si>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</si>
  <si>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</si>
  <si>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</si>
  <si>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</si>
  <si>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</si>
  <si>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</si>
  <si>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</si>
  <si>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</si>
  <si>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</si>
  <si>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</si>
  <si>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</si>
  <si>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</si>
  <si>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</si>
  <si>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</si>
  <si>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</si>
  <si>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</si>
  <si>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</si>
  <si>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</si>
  <si>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</si>
  <si>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</si>
  <si>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</si>
  <si>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</si>
  <si>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</si>
  <si>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</si>
  <si>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</si>
  <si>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</si>
  <si>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</si>
  <si>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</si>
  <si>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</si>
  <si>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</si>
  <si>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</si>
  <si>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</si>
  <si>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</si>
  <si>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</si>
  <si>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</si>
  <si>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</si>
  <si>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</si>
  <si>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</si>
  <si>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</si>
  <si>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</si>
  <si>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</si>
  <si>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</si>
  <si>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</si>
  <si>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</si>
  <si>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</si>
  <si>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</si>
  <si>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</si>
  <si>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</si>
  <si>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</si>
  <si>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</si>
  <si>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</si>
  <si>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</si>
  <si>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</si>
  <si>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</si>
  <si>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</si>
  <si>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</si>
  <si>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</si>
  <si>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</si>
  <si>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</si>
  <si>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</si>
  <si>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</si>
  <si>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</si>
  <si>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</si>
  <si>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</si>
  <si>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</si>
  <si>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</si>
  <si>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</si>
  <si>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</si>
  <si>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</si>
  <si>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</si>
  <si>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</si>
  <si>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</si>
  <si>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</si>
  <si>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</si>
  <si>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</si>
  <si>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</si>
  <si>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</si>
  <si>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</si>
  <si>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</si>
  <si>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</si>
  <si>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</si>
  <si>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</si>
  <si>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</si>
  <si>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</si>
  <si>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</si>
  <si>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</si>
  <si>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</si>
  <si>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</si>
  <si>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</si>
  <si>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</si>
  <si>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</si>
  <si>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</si>
  <si>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</si>
  <si>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</si>
  <si>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</si>
  <si>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</si>
  <si>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</si>
  <si>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</si>
  <si>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</si>
  <si>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</si>
  <si>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</si>
  <si>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</si>
  <si>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</si>
  <si>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</si>
  <si>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</si>
  <si>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</si>
  <si>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</si>
  <si>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</si>
  <si>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</si>
  <si>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</si>
  <si>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</si>
  <si>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</si>
  <si>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</si>
  <si>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</si>
  <si>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</si>
  <si>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</si>
  <si>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</si>
  <si>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</si>
  <si>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</si>
  <si>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</si>
  <si>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</si>
  <si>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</si>
  <si>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</si>
  <si>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</si>
  <si>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</si>
  <si>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</si>
  <si>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</si>
  <si>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</si>
  <si>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</si>
  <si>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</si>
  <si>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</si>
  <si>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</si>
  <si>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</si>
  <si>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</si>
  <si>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</si>
  <si>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</si>
  <si>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</si>
  <si>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</si>
  <si>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</si>
  <si>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</si>
  <si>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</si>
  <si>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</si>
  <si>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</si>
  <si>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</si>
  <si>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</si>
  <si>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</si>
  <si>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</si>
  <si>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</si>
  <si>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</si>
  <si>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</si>
  <si>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</si>
  <si>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</si>
  <si>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</si>
  <si>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</si>
  <si>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</si>
  <si>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</si>
  <si>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</si>
  <si>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</si>
  <si>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</si>
  <si>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</si>
  <si>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</si>
  <si>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</si>
  <si>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</si>
  <si>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</si>
  <si>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</si>
  <si>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</si>
  <si>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</si>
  <si>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</si>
  <si>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</si>
  <si>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</si>
  <si>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</si>
  <si>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</si>
  <si>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</si>
  <si>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</si>
  <si>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</si>
  <si>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</si>
  <si>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</si>
  <si>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</si>
  <si>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</si>
  <si>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</si>
  <si>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</si>
  <si>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</si>
  <si>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</si>
  <si>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</si>
  <si>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</si>
  <si>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</si>
  <si>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</si>
  <si>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</si>
  <si>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</si>
  <si>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</si>
  <si>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</si>
  <si>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</si>
  <si>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</si>
  <si>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</si>
  <si>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</si>
  <si>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</si>
  <si>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</si>
  <si>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</si>
  <si>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</si>
  <si>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</si>
  <si>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</si>
  <si>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</si>
  <si>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</si>
  <si>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</si>
  <si>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</si>
  <si>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</si>
  <si>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</si>
  <si>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</si>
  <si>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</si>
  <si>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</si>
  <si>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</si>
  <si>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</si>
  <si>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</si>
  <si>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</si>
  <si>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</si>
  <si>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</si>
  <si>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</si>
  <si>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</si>
  <si>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</si>
  <si>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</si>
  <si>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</si>
  <si>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</si>
  <si>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</si>
  <si>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</si>
  <si>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</si>
  <si>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</si>
  <si>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</si>
  <si>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</si>
  <si>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</si>
  <si>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</si>
  <si>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</si>
  <si>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</si>
  <si>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</si>
  <si>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</si>
  <si>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</si>
  <si>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</si>
  <si>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</si>
  <si>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</si>
  <si>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</si>
  <si>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</si>
  <si>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</si>
  <si>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</si>
  <si>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</si>
  <si>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</si>
  <si>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</si>
  <si>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</si>
  <si>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</si>
  <si>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</si>
  <si>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</si>
  <si>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</si>
  <si>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</si>
  <si>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</si>
  <si>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</si>
  <si>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</si>
  <si>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</si>
  <si>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</si>
  <si>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</si>
  <si>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</si>
  <si>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</si>
  <si>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</si>
  <si>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</si>
  <si>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</si>
  <si>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</si>
  <si>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</si>
  <si>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</si>
  <si>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</si>
  <si>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</si>
  <si>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</si>
  <si>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</si>
  <si>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</si>
  <si>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</si>
  <si>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</si>
  <si>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</si>
  <si>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</si>
  <si>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</si>
  <si>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</si>
  <si>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</si>
  <si>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</si>
  <si>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</si>
  <si>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</si>
  <si>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</si>
  <si>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</si>
  <si>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</si>
  <si>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</si>
  <si>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</si>
  <si>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</si>
  <si>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</si>
  <si>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</si>
  <si>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</si>
  <si>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</si>
  <si>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</si>
  <si>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</si>
  <si>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</si>
  <si>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</si>
  <si>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</si>
  <si>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</si>
  <si>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</si>
  <si>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</si>
  <si>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</si>
  <si>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</si>
  <si>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</si>
  <si>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</si>
  <si>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</si>
  <si>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</si>
  <si>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</si>
  <si>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</si>
  <si>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</si>
  <si>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</si>
  <si>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</si>
  <si>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</si>
  <si>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</si>
  <si>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</si>
  <si>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</si>
  <si>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</si>
  <si>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</si>
  <si>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</si>
  <si>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</si>
  <si>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</si>
  <si>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</si>
  <si>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</si>
  <si>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</si>
  <si>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</si>
  <si>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</si>
  <si>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</si>
  <si>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</si>
  <si>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</si>
  <si>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</si>
  <si>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</si>
  <si>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</si>
  <si>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</si>
  <si>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</si>
  <si>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</si>
  <si>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</si>
  <si>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</si>
  <si>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</si>
  <si>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</si>
  <si>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</si>
  <si>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</si>
  <si>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</si>
  <si>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</si>
  <si>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</si>
  <si>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</si>
  <si>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</si>
  <si>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</si>
  <si>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</si>
  <si>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</si>
  <si>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</si>
  <si>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</si>
  <si>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</si>
  <si>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</si>
  <si>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</si>
  <si>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</si>
  <si>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</si>
  <si>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</si>
  <si>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</si>
  <si>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</si>
  <si>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</si>
  <si>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</si>
  <si>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</si>
  <si>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</si>
  <si>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</si>
  <si>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</si>
  <si>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</si>
  <si>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</si>
  <si>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</si>
  <si>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</si>
  <si>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</si>
  <si>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</si>
  <si>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</si>
  <si>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</si>
  <si>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</si>
  <si>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</si>
  <si>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</si>
  <si>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</si>
  <si>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</si>
  <si>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</si>
  <si>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</si>
  <si>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</si>
  <si>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</si>
  <si>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</si>
  <si>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</si>
  <si>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</si>
  <si>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</si>
  <si>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</si>
  <si>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</si>
  <si>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</si>
  <si>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</si>
  <si>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</si>
  <si>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</si>
  <si>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</si>
  <si>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</si>
  <si>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</si>
  <si>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</si>
  <si>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</si>
  <si>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</si>
  <si>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</si>
  <si>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</si>
  <si>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</si>
  <si>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</si>
  <si>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</si>
  <si>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</si>
  <si>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</si>
  <si>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</si>
  <si>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</si>
  <si>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</si>
  <si>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</si>
  <si>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</si>
  <si>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</si>
  <si>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</si>
  <si>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</si>
  <si>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</si>
  <si>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</si>
  <si>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</si>
  <si>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</si>
  <si>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</si>
  <si>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</si>
  <si>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</si>
  <si>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</si>
  <si>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</si>
  <si>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</si>
  <si>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</si>
  <si>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</si>
  <si>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</si>
  <si>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</si>
  <si>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</si>
  <si>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</si>
  <si>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</si>
  <si>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</si>
  <si>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</si>
  <si>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</si>
  <si>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</si>
  <si>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</si>
  <si>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</si>
  <si>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</si>
  <si>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</si>
  <si>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</si>
  <si>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</si>
  <si>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</si>
  <si>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</si>
  <si>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</si>
  <si>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</si>
  <si>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</si>
  <si>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</si>
  <si>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</si>
  <si>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</si>
  <si>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</si>
  <si>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</si>
  <si>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</si>
  <si>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</si>
  <si>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</si>
  <si>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</si>
  <si>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</si>
  <si>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</si>
  <si>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</si>
  <si>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</si>
  <si>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</si>
  <si>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</si>
  <si>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</si>
  <si>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</si>
  <si>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</si>
  <si>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</si>
  <si>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</si>
  <si>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</si>
  <si>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</si>
  <si>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</si>
  <si>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</si>
  <si>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</si>
  <si>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</si>
  <si>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</si>
  <si>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</si>
  <si>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</si>
  <si>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</si>
  <si>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</si>
  <si>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</si>
  <si>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</si>
  <si>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</si>
  <si>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</si>
  <si>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</si>
  <si>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</si>
  <si>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</si>
  <si>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</si>
  <si>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</si>
  <si>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</si>
  <si>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</si>
  <si>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</si>
  <si>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</si>
  <si>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</si>
  <si>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</si>
  <si>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</si>
  <si>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</si>
  <si>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</si>
  <si>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</si>
  <si>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</si>
  <si>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</si>
  <si>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</si>
  <si>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</si>
  <si>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</si>
  <si>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</si>
  <si>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</si>
  <si>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</si>
  <si>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</si>
  <si>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</si>
  <si>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</si>
  <si>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</si>
  <si>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</si>
  <si>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</si>
  <si>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</si>
  <si>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</si>
  <si>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</si>
  <si>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</si>
  <si>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</si>
  <si>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</si>
  <si>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</si>
  <si>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</si>
  <si>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</si>
  <si>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</si>
  <si>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</si>
  <si>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</si>
  <si>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</si>
  <si>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</si>
  <si>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</si>
  <si>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</si>
  <si>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</si>
  <si>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</si>
  <si>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</si>
  <si>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</si>
  <si>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</si>
  <si>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</si>
  <si>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</si>
  <si>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</si>
  <si>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</si>
  <si>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</si>
  <si>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</si>
  <si>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</si>
  <si>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</si>
  <si>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</si>
  <si>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</si>
  <si>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</si>
  <si>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</si>
  <si>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</si>
  <si>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</si>
  <si>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</si>
  <si>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</si>
  <si>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</si>
  <si>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</si>
  <si>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</si>
  <si>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</si>
  <si>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</si>
  <si>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</si>
  <si>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</si>
  <si>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</si>
  <si>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</si>
  <si>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</si>
  <si>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</si>
  <si>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</si>
  <si>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</si>
  <si>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</si>
  <si>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</si>
  <si>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</si>
  <si>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</si>
  <si>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</si>
  <si>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</si>
  <si>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</si>
  <si>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</si>
  <si>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</si>
  <si>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</si>
  <si>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</si>
  <si>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</si>
  <si>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</si>
  <si>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</si>
  <si>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</si>
  <si>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</si>
  <si>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</si>
  <si>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</si>
  <si>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</si>
  <si>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</si>
  <si>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</si>
  <si>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</si>
  <si>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</si>
  <si>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</si>
  <si>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</si>
  <si>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</si>
  <si>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</si>
  <si>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</si>
  <si>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</si>
  <si>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</si>
  <si>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</si>
  <si>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</si>
  <si>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</si>
  <si>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</si>
  <si>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</si>
  <si>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</si>
  <si>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</si>
  <si>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</si>
  <si>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</si>
  <si>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</si>
  <si>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</si>
  <si>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</si>
  <si>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</si>
  <si>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</si>
  <si>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</si>
  <si>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</si>
  <si>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</si>
  <si>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</si>
  <si>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</si>
  <si>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</si>
  <si>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</si>
  <si>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</si>
  <si>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</si>
  <si>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</si>
  <si>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</si>
  <si>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</si>
  <si>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</si>
  <si>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</si>
  <si>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</si>
  <si>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</si>
  <si>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</si>
  <si>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</si>
  <si>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</si>
  <si>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</si>
  <si>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</si>
  <si>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</si>
  <si>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</si>
  <si>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</si>
  <si>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</si>
  <si>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</si>
  <si>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</si>
  <si>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</si>
  <si>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</si>
  <si>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</si>
  <si>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</si>
  <si>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</si>
  <si>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</si>
  <si>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</si>
  <si>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</si>
  <si>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</si>
  <si>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</si>
  <si>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</si>
  <si>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</si>
  <si>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</si>
  <si>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</si>
  <si>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</si>
  <si>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</si>
  <si>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</si>
  <si>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</si>
  <si>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</si>
  <si>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</si>
  <si>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</si>
  <si>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</si>
  <si>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</si>
  <si>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</si>
  <si>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</si>
  <si>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</si>
  <si>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</si>
  <si>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</si>
  <si>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</si>
  <si>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</si>
  <si>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</si>
  <si>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</si>
  <si>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</si>
  <si>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</si>
  <si>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</si>
  <si>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</si>
  <si>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</si>
  <si>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</si>
  <si>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</si>
  <si>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</si>
  <si>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</si>
  <si>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</si>
  <si>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</si>
  <si>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</si>
  <si>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</si>
  <si>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</si>
  <si>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</si>
  <si>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</si>
  <si>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</si>
  <si>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</si>
  <si>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</si>
  <si>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</si>
  <si>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</si>
  <si>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</si>
  <si>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</si>
  <si>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</si>
  <si>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</si>
  <si>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</si>
  <si>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</si>
  <si>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</si>
  <si>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</si>
  <si>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</si>
  <si>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</si>
  <si>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</si>
  <si>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</si>
  <si>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</si>
  <si>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</si>
  <si>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</si>
  <si>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</si>
  <si>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</si>
  <si>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</si>
  <si>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</si>
  <si>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</si>
  <si>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</si>
  <si>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</si>
  <si>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</si>
  <si>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</si>
  <si>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</si>
  <si>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</si>
  <si>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</si>
  <si>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</si>
  <si>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</si>
  <si>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</si>
  <si>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</si>
  <si>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</si>
  <si>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</si>
  <si>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</si>
  <si>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</si>
  <si>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</si>
  <si>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</si>
  <si>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</si>
  <si>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</si>
  <si>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</si>
  <si>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</si>
  <si>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</si>
  <si>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</si>
  <si>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</si>
  <si>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</si>
  <si>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</si>
  <si>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</si>
  <si>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</si>
  <si>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</si>
  <si>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</si>
  <si>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</si>
  <si>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</si>
  <si>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</si>
  <si>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</si>
  <si>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212 WEST WILSON</t>
  </si>
  <si>
    <t xml:space="preserve">PEOTONE  </t>
  </si>
  <si>
    <t>STEVE STEIN</t>
  </si>
  <si>
    <t>(708)258-0991</t>
  </si>
  <si>
    <t>JILLE@GASSENSMITH.COM</t>
  </si>
  <si>
    <t>JILL GASSENSMITH</t>
  </si>
  <si>
    <t>TAXABLE REFUNDING BOND SERIES 2015B</t>
  </si>
  <si>
    <t>TAXABLE REFUNDING BOND SERIES 2018B</t>
  </si>
  <si>
    <t>1&amp;3</t>
  </si>
  <si>
    <t>GO LIMITED TAX SCHOOL BOND SERIES 2010G</t>
  </si>
  <si>
    <t>GO LIMITED TAX SCHOOL BOND SERIES 2012</t>
  </si>
  <si>
    <t>GO REFUNDING SCHOOL BOND 2014</t>
  </si>
  <si>
    <t>GO LIMITED TAX SCHOOL BOND SERIES 2018A</t>
  </si>
  <si>
    <t>TR-PURCHASED SERVICES</t>
  </si>
  <si>
    <t>ED-INTERNAL SERVICES-PURCHASED SERVICES</t>
  </si>
  <si>
    <t>SANTANDER</t>
  </si>
  <si>
    <t>CANON FINANCIAL SERVICES</t>
  </si>
  <si>
    <t>ESIC</t>
  </si>
  <si>
    <t>PROFESSIONAL DEVELOPMENT ALLIANCE, JOLIET</t>
  </si>
  <si>
    <t>BEECHER SCHOOLS</t>
  </si>
  <si>
    <t>KACC</t>
  </si>
  <si>
    <t xml:space="preserve">   Peotone CUSD 207U</t>
  </si>
  <si>
    <t xml:space="preserve">56099207U26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</si>
</sst>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A9589E5-5805-4031-94B7-16A50CC46D35}"/>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161059</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402</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2006</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521</v>
      </c>
      <c r="J4" s="2186"/>
      <c r="K4" s="2186"/>
      <c r="L4" s="2186"/>
      <c r="M4" s="2186"/>
      <c r="N4" s="2186"/>
      <c r="O4" s="2186"/>
      <c r="P4" s="2186"/>
      <c r="Q4" s="2186"/>
      <c r="R4" s="2186"/>
      <c r="S4" s="2186"/>
    </row>
    <row r="5" spans="1:32" ht="14.1" customHeight="1" x14ac:dyDescent="0.2">
      <c r="B5" s="101" t="s">
        <v>2065</v>
      </c>
      <c r="C5" s="26" t="s">
        <v>904</v>
      </c>
      <c r="D5" s="81"/>
      <c r="E5" s="81"/>
      <c r="H5" s="38"/>
      <c r="I5" s="2194" t="s">
        <v>675</v>
      </c>
      <c r="J5" s="2139"/>
      <c r="K5" s="2139"/>
      <c r="L5" s="2139"/>
      <c r="M5" s="2139"/>
      <c r="N5" s="2139"/>
      <c r="O5" s="2139"/>
      <c r="P5" s="2139"/>
      <c r="Q5" s="2139"/>
      <c r="R5" s="2139"/>
      <c r="S5" s="2139"/>
      <c r="AF5" s="1885"/>
    </row>
    <row r="6" spans="1:32" ht="14.1" customHeight="1" x14ac:dyDescent="0.2">
      <c r="B6" s="101"/>
      <c r="C6" s="26" t="s">
        <v>905</v>
      </c>
      <c r="D6" s="81"/>
      <c r="E6" s="81"/>
      <c r="I6" s="2193" t="s">
        <v>877</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669</v>
      </c>
      <c r="J9" s="2191"/>
      <c r="K9" s="2191"/>
      <c r="L9" s="2191"/>
      <c r="M9" s="2191"/>
      <c r="N9" s="2191"/>
      <c r="O9" s="2191"/>
      <c r="P9" s="2191"/>
      <c r="Q9" s="2191"/>
      <c r="R9" s="2191"/>
      <c r="S9" s="2192"/>
      <c r="T9" s="2135" t="s">
        <v>530</v>
      </c>
      <c r="U9" s="2136"/>
      <c r="V9" s="2136"/>
      <c r="W9" s="2136"/>
      <c r="X9" s="2136"/>
      <c r="Y9" s="2136"/>
      <c r="Z9" s="2136"/>
      <c r="AA9" s="2137"/>
    </row>
    <row r="10" spans="1:32" ht="13.5" customHeight="1" x14ac:dyDescent="0.2">
      <c r="A10" s="2144" t="s">
        <v>670</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949</v>
      </c>
      <c r="B11" s="2148"/>
      <c r="C11" s="2148"/>
      <c r="D11" s="2148"/>
      <c r="E11" s="2148"/>
      <c r="F11" s="2148"/>
      <c r="G11" s="2148"/>
      <c r="H11" s="2149"/>
      <c r="I11" s="27"/>
      <c r="J11" s="71"/>
      <c r="K11" s="27"/>
      <c r="O11" s="144" t="s">
        <v>2065</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5" t="s">
        <v>2089</v>
      </c>
      <c r="B13" s="2156"/>
      <c r="C13" s="2156"/>
      <c r="D13" s="2156"/>
      <c r="E13" s="2156"/>
      <c r="F13" s="2156"/>
      <c r="G13" s="2156"/>
      <c r="H13" s="2157"/>
      <c r="I13" s="31"/>
      <c r="J13" s="30"/>
      <c r="K13" s="28"/>
      <c r="L13" s="30"/>
      <c r="M13" s="30"/>
      <c r="N13" s="30"/>
      <c r="O13" s="30"/>
      <c r="P13" s="30"/>
      <c r="Q13" s="30"/>
      <c r="R13" s="30"/>
      <c r="S13" s="30"/>
      <c r="T13" s="2160" t="s">
        <v>2021</v>
      </c>
      <c r="U13" s="2161"/>
      <c r="V13" s="2161"/>
      <c r="W13" s="2161"/>
      <c r="X13" s="2161"/>
      <c r="Y13" s="2162"/>
      <c r="Z13" s="2162"/>
      <c r="AA13" s="21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2066</v>
      </c>
      <c r="B15" s="2158"/>
      <c r="C15" s="2158"/>
      <c r="D15" s="2158"/>
      <c r="E15" s="2158"/>
      <c r="F15" s="2158"/>
      <c r="G15" s="2158"/>
      <c r="H15" s="2159"/>
      <c r="T15" s="2121" t="s">
        <v>2072</v>
      </c>
      <c r="U15" s="2122"/>
      <c r="V15" s="2122"/>
      <c r="W15" s="2122"/>
      <c r="X15" s="2122"/>
      <c r="Y15" s="2164"/>
      <c r="Z15" s="2164"/>
      <c r="AA15" s="21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2088</v>
      </c>
      <c r="B17" s="2183"/>
      <c r="C17" s="2183"/>
      <c r="D17" s="2183"/>
      <c r="E17" s="2183"/>
      <c r="F17" s="2183"/>
      <c r="G17" s="2183"/>
      <c r="H17" s="2184"/>
      <c r="T17" s="2170" t="s">
        <v>2022</v>
      </c>
      <c r="U17" s="2171"/>
      <c r="V17" s="2171"/>
      <c r="W17" s="2171"/>
      <c r="X17" s="2171"/>
      <c r="Y17" s="2171"/>
      <c r="Z17" s="2171"/>
      <c r="AA17" s="2172"/>
    </row>
    <row r="18" spans="1:27" ht="13.5" customHeight="1" x14ac:dyDescent="0.2">
      <c r="A18" s="82" t="s">
        <v>527</v>
      </c>
      <c r="B18" s="73"/>
      <c r="C18" s="69"/>
      <c r="D18" s="73"/>
      <c r="E18" s="73"/>
      <c r="F18" s="73"/>
      <c r="G18" s="73"/>
      <c r="H18" s="53"/>
      <c r="I18" s="2180" t="s">
        <v>671</v>
      </c>
      <c r="J18" s="2181"/>
      <c r="K18" s="2181"/>
      <c r="L18" s="2181"/>
      <c r="M18" s="2181"/>
      <c r="N18" s="2181"/>
      <c r="O18" s="2181"/>
      <c r="P18" s="2181"/>
      <c r="Q18" s="2181"/>
      <c r="R18" s="2181"/>
      <c r="S18" s="2182"/>
      <c r="T18" s="82" t="s">
        <v>706</v>
      </c>
      <c r="U18" s="48"/>
      <c r="V18" s="69"/>
      <c r="W18" s="47"/>
      <c r="X18" s="82" t="s">
        <v>264</v>
      </c>
      <c r="Y18" s="78"/>
      <c r="Z18" s="154" t="s">
        <v>672</v>
      </c>
      <c r="AA18" s="44"/>
    </row>
    <row r="19" spans="1:27" ht="13.5" customHeight="1" x14ac:dyDescent="0.2">
      <c r="A19" s="2153" t="s">
        <v>2067</v>
      </c>
      <c r="B19" s="2154"/>
      <c r="C19" s="2154"/>
      <c r="D19" s="2154"/>
      <c r="E19" s="2154"/>
      <c r="F19" s="2154"/>
      <c r="G19" s="2154"/>
      <c r="H19" s="2152"/>
      <c r="I19" s="30"/>
      <c r="J19" s="96"/>
      <c r="K19" s="40"/>
      <c r="L19" s="38"/>
      <c r="M19" s="109" t="s">
        <v>312</v>
      </c>
      <c r="P19" s="27"/>
      <c r="Q19" s="27"/>
      <c r="R19" s="27"/>
      <c r="S19" s="31"/>
      <c r="T19" s="2153" t="s">
        <v>2023</v>
      </c>
      <c r="U19" s="2151"/>
      <c r="V19" s="2151"/>
      <c r="W19" s="2152"/>
      <c r="X19" s="2168" t="s">
        <v>2024</v>
      </c>
      <c r="Y19" s="2169"/>
      <c r="Z19" s="2166">
        <v>60435</v>
      </c>
      <c r="AA19" s="21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0" t="s">
        <v>2068</v>
      </c>
      <c r="B21" s="2151"/>
      <c r="C21" s="2151"/>
      <c r="D21" s="2151"/>
      <c r="E21" s="2151"/>
      <c r="F21" s="2151"/>
      <c r="G21" s="2151"/>
      <c r="H21" s="2152"/>
      <c r="I21" s="2176" t="s">
        <v>673</v>
      </c>
      <c r="J21" s="2139"/>
      <c r="K21" s="2139"/>
      <c r="L21" s="2139"/>
      <c r="M21" s="2139"/>
      <c r="N21" s="2139"/>
      <c r="O21" s="2139"/>
      <c r="P21" s="2139"/>
      <c r="Q21" s="2139"/>
      <c r="R21" s="2139"/>
      <c r="S21" s="2140"/>
      <c r="T21" s="2118" t="s">
        <v>2025</v>
      </c>
      <c r="U21" s="2119"/>
      <c r="V21" s="2119"/>
      <c r="W21" s="2119"/>
      <c r="X21" s="2132" t="s">
        <v>2026</v>
      </c>
      <c r="Y21" s="2133"/>
      <c r="Z21" s="2133"/>
      <c r="AA21" s="2134"/>
    </row>
    <row r="22" spans="1:27" ht="13.5" customHeight="1" x14ac:dyDescent="0.2">
      <c r="A22" s="84" t="s">
        <v>528</v>
      </c>
      <c r="B22" s="56"/>
      <c r="C22" s="56"/>
      <c r="D22" s="56"/>
      <c r="E22" s="56"/>
      <c r="F22" s="56"/>
      <c r="G22" s="56"/>
      <c r="H22" s="57"/>
      <c r="I22" s="2177" t="s">
        <v>1415</v>
      </c>
      <c r="J22" s="2178"/>
      <c r="K22" s="2178"/>
      <c r="L22" s="2178"/>
      <c r="M22" s="2178"/>
      <c r="N22" s="2178"/>
      <c r="O22" s="2178"/>
      <c r="P22" s="2178"/>
      <c r="Q22" s="2178"/>
      <c r="R22" s="2178"/>
      <c r="S22" s="2179"/>
      <c r="T22" s="82" t="s">
        <v>1502</v>
      </c>
      <c r="U22" s="48"/>
      <c r="V22" s="69"/>
      <c r="W22" s="48"/>
      <c r="X22" s="155" t="s">
        <v>1309</v>
      </c>
      <c r="Z22" s="43"/>
      <c r="AA22" s="44"/>
    </row>
    <row r="23" spans="1:27" ht="13.5" customHeight="1" x14ac:dyDescent="0.2">
      <c r="A23" s="2173"/>
      <c r="B23" s="2174"/>
      <c r="C23" s="2174"/>
      <c r="D23" s="2174"/>
      <c r="E23" s="2174"/>
      <c r="F23" s="2174"/>
      <c r="G23" s="2174"/>
      <c r="H23" s="2175"/>
      <c r="T23" s="2113" t="s">
        <v>2027</v>
      </c>
      <c r="U23" s="2114"/>
      <c r="V23" s="2114"/>
      <c r="W23" s="2114"/>
      <c r="X23" s="2129">
        <v>44530</v>
      </c>
      <c r="Y23" s="2130"/>
      <c r="Z23" s="2130"/>
      <c r="AA23" s="2131"/>
    </row>
    <row r="24" spans="1:27" ht="14.1" customHeight="1" x14ac:dyDescent="0.2">
      <c r="A24" s="85" t="s">
        <v>672</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528</v>
      </c>
      <c r="U24" s="103"/>
      <c r="V24" s="103"/>
      <c r="W24" s="103"/>
      <c r="X24" s="104"/>
      <c r="Y24" s="104"/>
      <c r="Z24" s="104"/>
      <c r="AA24" s="105"/>
    </row>
    <row r="25" spans="1:27" ht="14.1" customHeight="1" x14ac:dyDescent="0.2">
      <c r="A25" s="2150">
        <v>60468</v>
      </c>
      <c r="B25" s="2151"/>
      <c r="C25" s="2151"/>
      <c r="D25" s="2151"/>
      <c r="E25" s="2151"/>
      <c r="F25" s="2151"/>
      <c r="G25" s="2151"/>
      <c r="H25" s="2152"/>
      <c r="I25" s="110"/>
      <c r="J25" s="2217"/>
      <c r="K25" s="2217"/>
      <c r="L25" s="2217"/>
      <c r="M25" s="2217"/>
      <c r="N25" s="2217"/>
      <c r="O25" s="2217"/>
      <c r="P25" s="2217"/>
      <c r="Q25" s="2217"/>
      <c r="R25" s="2217"/>
      <c r="S25" s="2218"/>
      <c r="T25" s="2110" t="s">
        <v>2071</v>
      </c>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8" t="s">
        <v>1497</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2065</v>
      </c>
      <c r="M29" s="40" t="s">
        <v>99</v>
      </c>
      <c r="N29" s="32" t="s">
        <v>1509</v>
      </c>
      <c r="O29" s="32"/>
      <c r="P29" s="32"/>
      <c r="Q29" s="32"/>
      <c r="R29" s="32"/>
      <c r="S29" s="120"/>
      <c r="T29" s="6"/>
      <c r="U29" s="6"/>
      <c r="V29" s="6"/>
      <c r="W29" s="6"/>
      <c r="X29" s="6"/>
      <c r="Y29" s="6"/>
      <c r="Z29" s="6"/>
      <c r="AA29" s="129"/>
    </row>
    <row r="30" spans="1:27" ht="13.5" customHeight="1" x14ac:dyDescent="0.2">
      <c r="A30" s="149"/>
      <c r="B30" s="133" t="s">
        <v>2065</v>
      </c>
      <c r="C30" s="121" t="s">
        <v>1156</v>
      </c>
      <c r="D30" s="28"/>
      <c r="E30" s="28"/>
      <c r="F30" s="136"/>
      <c r="G30" s="111"/>
      <c r="H30" s="111"/>
      <c r="I30" s="51"/>
      <c r="J30" s="99"/>
      <c r="K30" s="28" t="s">
        <v>572</v>
      </c>
      <c r="L30" s="144" t="s">
        <v>2065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2069</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528</v>
      </c>
      <c r="B39" s="2207"/>
      <c r="C39" s="69"/>
      <c r="D39" s="66"/>
      <c r="E39" s="66"/>
      <c r="F39" s="76"/>
      <c r="G39" s="66"/>
      <c r="H39" s="53"/>
      <c r="I39" s="2206" t="s">
        <v>528</v>
      </c>
      <c r="J39" s="2207"/>
      <c r="K39" s="2207"/>
      <c r="L39" s="2207"/>
      <c r="M39" s="2207"/>
      <c r="N39" s="64"/>
      <c r="O39" s="69"/>
      <c r="P39" s="69"/>
      <c r="Q39" s="75"/>
      <c r="R39" s="69"/>
      <c r="S39" s="53"/>
      <c r="T39" s="69" t="s">
        <v>528</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9" t="s">
        <v>2070</v>
      </c>
      <c r="B42" s="2200"/>
      <c r="C42" s="2201"/>
      <c r="D42" s="2214"/>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8854824</v>
      </c>
      <c r="C4" s="1772">
        <v>4664234</v>
      </c>
      <c r="D4" s="1773">
        <f>B4-C4</f>
        <v>4190590</v>
      </c>
      <c r="E4" s="1772">
        <f>9491035</f>
        <v>9491035</v>
      </c>
      <c r="F4" s="1773">
        <f>E4-C4</f>
        <v>4826801</v>
      </c>
    </row>
    <row r="5" spans="1:8" ht="13.7" customHeight="1" x14ac:dyDescent="0.2">
      <c r="A5" s="579" t="s">
        <v>865</v>
      </c>
      <c r="B5" s="1774">
        <f>'Revenues 9-14'!D5</f>
        <v>1118712</v>
      </c>
      <c r="C5" s="1714">
        <v>582270</v>
      </c>
      <c r="D5" s="1775">
        <f t="shared" ref="D5:D18" si="0">B5-C5</f>
        <v>536442</v>
      </c>
      <c r="E5" s="1714">
        <f>1184833</f>
        <v>1184833</v>
      </c>
      <c r="F5" s="1775">
        <f>E5-C5</f>
        <v>602563</v>
      </c>
    </row>
    <row r="6" spans="1:8" ht="13.7" customHeight="1" x14ac:dyDescent="0.2">
      <c r="A6" s="579" t="s">
        <v>408</v>
      </c>
      <c r="B6" s="1774">
        <f>'Revenues 9-14'!E5</f>
        <v>4366493</v>
      </c>
      <c r="C6" s="1714">
        <v>1898597</v>
      </c>
      <c r="D6" s="1775">
        <f t="shared" si="0"/>
        <v>2467896</v>
      </c>
      <c r="E6" s="1714">
        <f>3863368</f>
        <v>3863368</v>
      </c>
      <c r="F6" s="1775">
        <f t="shared" ref="F6:F18" si="1">E6-C6</f>
        <v>1964771</v>
      </c>
    </row>
    <row r="7" spans="1:8" ht="13.7" customHeight="1" x14ac:dyDescent="0.2">
      <c r="A7" s="579" t="s">
        <v>154</v>
      </c>
      <c r="B7" s="1774">
        <f>'Revenues 9-14'!F5</f>
        <v>671520</v>
      </c>
      <c r="C7" s="1714">
        <v>349552</v>
      </c>
      <c r="D7" s="1775">
        <f t="shared" si="0"/>
        <v>321968</v>
      </c>
      <c r="E7" s="1714">
        <f>711286</f>
        <v>711286</v>
      </c>
      <c r="F7" s="1775">
        <f t="shared" si="1"/>
        <v>361734</v>
      </c>
    </row>
    <row r="8" spans="1:8" ht="13.7" customHeight="1" x14ac:dyDescent="0.2">
      <c r="A8" s="579" t="s">
        <v>1171</v>
      </c>
      <c r="B8" s="1774">
        <f>'Revenues 9-14'!G5</f>
        <v>203058</v>
      </c>
      <c r="C8" s="1714">
        <v>104865</v>
      </c>
      <c r="D8" s="1775">
        <f t="shared" si="0"/>
        <v>98193</v>
      </c>
      <c r="E8" s="1714">
        <f>213386</f>
        <v>213386</v>
      </c>
      <c r="F8" s="1775">
        <f t="shared" si="1"/>
        <v>108521</v>
      </c>
    </row>
    <row r="9" spans="1:8" ht="13.7" customHeight="1" x14ac:dyDescent="0.2">
      <c r="A9" s="579" t="s">
        <v>405</v>
      </c>
      <c r="B9" s="1774">
        <f>'Revenues 9-14'!H5</f>
        <v>0</v>
      </c>
      <c r="C9" s="1714">
        <v>0</v>
      </c>
      <c r="D9" s="1775">
        <f t="shared" si="0"/>
        <v>0</v>
      </c>
      <c r="E9" s="1714">
        <v>0</v>
      </c>
      <c r="F9" s="1775">
        <f t="shared" si="1"/>
        <v>0</v>
      </c>
    </row>
    <row r="10" spans="1:8" ht="13.7" customHeight="1" x14ac:dyDescent="0.2">
      <c r="A10" s="579" t="s">
        <v>404</v>
      </c>
      <c r="B10" s="1774">
        <f>'Revenues 9-14'!I5</f>
        <v>1087</v>
      </c>
      <c r="C10" s="1714">
        <v>570</v>
      </c>
      <c r="D10" s="1775">
        <f t="shared" si="0"/>
        <v>517</v>
      </c>
      <c r="E10" s="1714">
        <v>1160</v>
      </c>
      <c r="F10" s="1775">
        <f t="shared" si="1"/>
        <v>590</v>
      </c>
    </row>
    <row r="11" spans="1:8" x14ac:dyDescent="0.2">
      <c r="A11" s="579" t="s">
        <v>406</v>
      </c>
      <c r="B11" s="1774">
        <f>'Revenues 9-14'!J5</f>
        <v>83083</v>
      </c>
      <c r="C11" s="1714">
        <v>6079</v>
      </c>
      <c r="D11" s="1775">
        <f t="shared" si="0"/>
        <v>77004</v>
      </c>
      <c r="E11" s="1714">
        <f>12370</f>
        <v>12370</v>
      </c>
      <c r="F11" s="1775">
        <f t="shared" si="1"/>
        <v>6291</v>
      </c>
    </row>
    <row r="12" spans="1:8" ht="13.7" customHeight="1" x14ac:dyDescent="0.2">
      <c r="A12" s="579" t="s">
        <v>156</v>
      </c>
      <c r="B12" s="1774">
        <f>'Revenues 9-14'!K5</f>
        <v>0</v>
      </c>
      <c r="C12" s="1714">
        <v>0</v>
      </c>
      <c r="D12" s="1775">
        <f t="shared" si="0"/>
        <v>0</v>
      </c>
      <c r="E12" s="1714">
        <v>0</v>
      </c>
      <c r="F12" s="1775">
        <f t="shared" si="1"/>
        <v>0</v>
      </c>
    </row>
    <row r="13" spans="1:8" ht="13.7" customHeight="1" x14ac:dyDescent="0.2">
      <c r="A13" s="579" t="s">
        <v>930</v>
      </c>
      <c r="B13" s="1774">
        <f>SUM('Revenues 9-14'!C6:D6)</f>
        <v>1087</v>
      </c>
      <c r="C13" s="1714">
        <v>570</v>
      </c>
      <c r="D13" s="1775">
        <f t="shared" si="0"/>
        <v>517</v>
      </c>
      <c r="E13" s="1714">
        <v>1160</v>
      </c>
      <c r="F13" s="1775">
        <f t="shared" si="1"/>
        <v>590</v>
      </c>
    </row>
    <row r="14" spans="1:8" ht="13.7" customHeight="1" x14ac:dyDescent="0.2">
      <c r="A14" s="579" t="s">
        <v>407</v>
      </c>
      <c r="B14" s="1774">
        <f>SUM('Revenues 9-14'!C7:D7,'Revenues 9-14'!F7:H7)</f>
        <v>80365</v>
      </c>
      <c r="C14" s="1714">
        <v>41604</v>
      </c>
      <c r="D14" s="1775">
        <f t="shared" si="0"/>
        <v>38761</v>
      </c>
      <c r="E14" s="1714">
        <f>84659</f>
        <v>84659</v>
      </c>
      <c r="F14" s="1775">
        <f t="shared" si="1"/>
        <v>43055</v>
      </c>
    </row>
    <row r="15" spans="1:8" ht="13.7" customHeight="1" x14ac:dyDescent="0.2">
      <c r="A15" s="579" t="s">
        <v>1150</v>
      </c>
      <c r="B15" s="1774">
        <f>SUM('Revenues 9-14'!D9:E9,'Revenues 9-14'!H9)</f>
        <v>0</v>
      </c>
      <c r="C15" s="1714">
        <v>0</v>
      </c>
      <c r="D15" s="1775">
        <f t="shared" si="0"/>
        <v>0</v>
      </c>
      <c r="E15" s="1714">
        <v>0</v>
      </c>
      <c r="F15" s="1775">
        <f t="shared" si="1"/>
        <v>0</v>
      </c>
    </row>
    <row r="16" spans="1:8" ht="13.7" customHeight="1" x14ac:dyDescent="0.2">
      <c r="A16" s="579" t="s">
        <v>1151</v>
      </c>
      <c r="B16" s="1774">
        <f>'Revenues 9-14'!G8</f>
        <v>203058</v>
      </c>
      <c r="C16" s="1714">
        <v>104865</v>
      </c>
      <c r="D16" s="1775">
        <f t="shared" si="0"/>
        <v>98193</v>
      </c>
      <c r="E16" s="1714">
        <f>213386</f>
        <v>213386</v>
      </c>
      <c r="F16" s="1775">
        <f t="shared" si="1"/>
        <v>108521</v>
      </c>
    </row>
    <row r="17" spans="1:6" ht="13.7" customHeight="1" x14ac:dyDescent="0.2">
      <c r="A17" s="579" t="s">
        <v>1152</v>
      </c>
      <c r="B17" s="1774">
        <f>'Revenues 9-14'!C10</f>
        <v>0</v>
      </c>
      <c r="C17" s="1714">
        <v>0</v>
      </c>
      <c r="D17" s="1775">
        <f t="shared" si="0"/>
        <v>0</v>
      </c>
      <c r="E17" s="1714">
        <v>0</v>
      </c>
      <c r="F17" s="1775">
        <f t="shared" si="1"/>
        <v>0</v>
      </c>
    </row>
    <row r="18" spans="1:6" ht="13.7" customHeight="1" x14ac:dyDescent="0.2">
      <c r="A18" s="579" t="s">
        <v>757</v>
      </c>
      <c r="B18" s="1774">
        <f>SUM('Revenues 9-14'!C11:K11)</f>
        <v>0</v>
      </c>
      <c r="C18" s="1714">
        <v>0</v>
      </c>
      <c r="D18" s="1775">
        <f t="shared" si="0"/>
        <v>0</v>
      </c>
      <c r="E18" s="1714">
        <v>0</v>
      </c>
      <c r="F18" s="1775">
        <f t="shared" si="1"/>
        <v>0</v>
      </c>
    </row>
    <row r="19" spans="1:6" ht="13.7" customHeight="1" thickBot="1" x14ac:dyDescent="0.25">
      <c r="A19" s="1481" t="s">
        <v>1153</v>
      </c>
      <c r="B19" s="1776">
        <f>SUM(B4:B18)</f>
        <v>15583287</v>
      </c>
      <c r="C19" s="1776">
        <f>SUM(C4:C18)</f>
        <v>7753206</v>
      </c>
      <c r="D19" s="1776">
        <f>SUM(D4:D18)</f>
        <v>7830081</v>
      </c>
      <c r="E19" s="1776">
        <f>SUM(E4:E18)</f>
        <v>15776643</v>
      </c>
      <c r="F19" s="1776">
        <f>SUM(F4:F18)</f>
        <v>8023437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625</v>
      </c>
      <c r="B1" s="2364"/>
      <c r="C1" s="585"/>
    </row>
    <row r="2" spans="1:7" ht="33.75" x14ac:dyDescent="0.2">
      <c r="A2" s="2372" t="s">
        <v>1782</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1106</v>
      </c>
      <c r="B3" s="2377"/>
      <c r="C3" s="2365"/>
      <c r="D3" s="2366"/>
      <c r="E3" s="2366"/>
      <c r="F3" s="2367"/>
    </row>
    <row r="4" spans="1:7" ht="12.75" customHeight="1" thickBot="1" x14ac:dyDescent="0.25">
      <c r="A4" s="2374" t="s">
        <v>626</v>
      </c>
      <c r="B4" s="2375"/>
      <c r="C4" s="1706"/>
      <c r="D4" s="1706"/>
      <c r="E4" s="1706"/>
      <c r="F4" s="1782">
        <f>SUM(C4+D4)-E4</f>
        <v>0</v>
      </c>
    </row>
    <row r="5" spans="1:7" ht="15.75" customHeight="1" thickTop="1" x14ac:dyDescent="0.2">
      <c r="A5" s="2359" t="s">
        <v>1103</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1" t="s">
        <v>627</v>
      </c>
      <c r="B15" s="2362"/>
      <c r="C15" s="1782">
        <f>SUM(C6:C14)</f>
        <v>0</v>
      </c>
      <c r="D15" s="1782">
        <f>SUM(D6:D14)</f>
        <v>0</v>
      </c>
      <c r="E15" s="1782">
        <f>SUM(E6:E14)</f>
        <v>0</v>
      </c>
      <c r="F15" s="1782">
        <f>SUM(F6:F14)</f>
        <v>0</v>
      </c>
      <c r="G15" s="473"/>
    </row>
    <row r="16" spans="1:7" s="197" customFormat="1" ht="15.75" customHeight="1" thickTop="1" x14ac:dyDescent="0.2">
      <c r="A16" s="2371" t="s">
        <v>1104</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385</v>
      </c>
      <c r="B19" s="2385"/>
      <c r="C19" s="1783"/>
      <c r="D19" s="1714"/>
      <c r="E19" s="1783"/>
      <c r="F19" s="1782">
        <f>SUM(C19+D19)-E19</f>
        <v>0</v>
      </c>
    </row>
    <row r="20" spans="1:11" ht="12.75" customHeight="1" thickTop="1" thickBot="1" x14ac:dyDescent="0.25">
      <c r="A20" s="2384" t="s">
        <v>445</v>
      </c>
      <c r="B20" s="2385"/>
      <c r="C20" s="1783"/>
      <c r="D20" s="1714"/>
      <c r="E20" s="1783"/>
      <c r="F20" s="1782">
        <f>SUM(C20+D20)-E20</f>
        <v>0</v>
      </c>
    </row>
    <row r="21" spans="1:11" ht="14.25" thickTop="1" thickBot="1" x14ac:dyDescent="0.25">
      <c r="A21" s="2361" t="s">
        <v>628</v>
      </c>
      <c r="B21" s="2362"/>
      <c r="C21" s="1782">
        <f>SUM(C17:C20)</f>
        <v>0</v>
      </c>
      <c r="D21" s="1782">
        <f>SUM(D17:D20)</f>
        <v>0</v>
      </c>
      <c r="E21" s="1782">
        <f>SUM(E17:E20)</f>
        <v>0</v>
      </c>
      <c r="F21" s="1782">
        <f>SUM(F17:F20)</f>
        <v>0</v>
      </c>
      <c r="G21" s="473"/>
    </row>
    <row r="22" spans="1:11" ht="15.75" customHeight="1" thickTop="1" x14ac:dyDescent="0.2">
      <c r="A22" s="2386" t="s">
        <v>1105</v>
      </c>
      <c r="B22" s="2360"/>
      <c r="C22" s="2368"/>
      <c r="D22" s="2369"/>
      <c r="E22" s="2369"/>
      <c r="F22" s="2370"/>
    </row>
    <row r="23" spans="1:11" ht="13.5" thickBot="1" x14ac:dyDescent="0.25">
      <c r="A23" s="2374" t="s">
        <v>629</v>
      </c>
      <c r="B23" s="2375"/>
      <c r="C23" s="1706"/>
      <c r="D23" s="1706"/>
      <c r="E23" s="1706"/>
      <c r="F23" s="1782">
        <f>SUM(C23+D23)-E23</f>
        <v>0</v>
      </c>
      <c r="G23" s="473"/>
    </row>
    <row r="24" spans="1:11" ht="15.75" customHeight="1" thickTop="1" x14ac:dyDescent="0.2">
      <c r="A24" s="2386" t="s">
        <v>2009</v>
      </c>
      <c r="B24" s="2360"/>
      <c r="C24" s="2368"/>
      <c r="D24" s="2369"/>
      <c r="E24" s="2369"/>
      <c r="F24" s="2370"/>
    </row>
    <row r="25" spans="1:11" ht="13.5" thickBot="1" x14ac:dyDescent="0.25">
      <c r="A25" s="2374" t="s">
        <v>2010</v>
      </c>
      <c r="B25" s="2375"/>
      <c r="C25" s="1706"/>
      <c r="D25" s="1706"/>
      <c r="E25" s="1706"/>
      <c r="F25" s="1782">
        <f>SUM(C25+D25)-E25</f>
        <v>0</v>
      </c>
      <c r="G25" s="473"/>
    </row>
    <row r="26" spans="1:11" ht="15.75" customHeight="1" thickTop="1" x14ac:dyDescent="0.2">
      <c r="A26" s="2359" t="s">
        <v>652</v>
      </c>
      <c r="B26" s="2360"/>
      <c r="C26" s="589"/>
      <c r="D26" s="589"/>
      <c r="E26" s="589"/>
      <c r="F26" s="590"/>
    </row>
    <row r="27" spans="1:11" ht="13.5" thickBot="1" x14ac:dyDescent="0.25">
      <c r="A27" s="2361" t="s">
        <v>1063</v>
      </c>
      <c r="B27" s="2362"/>
      <c r="C27" s="1714"/>
      <c r="D27" s="1714"/>
      <c r="E27" s="1714"/>
      <c r="F27" s="1782">
        <f>SUM(C27+D27)-E27</f>
        <v>0</v>
      </c>
      <c r="G27" s="473"/>
    </row>
    <row r="28" spans="1:11" ht="7.5" customHeight="1" thickTop="1" x14ac:dyDescent="0.2">
      <c r="A28" s="489"/>
    </row>
    <row r="29" spans="1:11" ht="23.25" customHeight="1" x14ac:dyDescent="0.2">
      <c r="A29" s="2387" t="s">
        <v>578</v>
      </c>
      <c r="B29" s="236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2076</v>
      </c>
      <c r="B31" s="595">
        <v>40514</v>
      </c>
      <c r="C31" s="1784">
        <v>5120000</v>
      </c>
      <c r="D31" s="1785">
        <v>3</v>
      </c>
      <c r="E31" s="1784">
        <v>2595000</v>
      </c>
      <c r="F31" s="1784"/>
      <c r="G31" s="1784"/>
      <c r="H31" s="1784">
        <v>2595000</v>
      </c>
      <c r="I31" s="1786">
        <f>((E31+F31)-H31)+G31</f>
        <v>0</v>
      </c>
      <c r="J31" s="1784"/>
      <c r="K31" s="596"/>
    </row>
    <row r="32" spans="1:11" ht="12" customHeight="1" x14ac:dyDescent="0.2">
      <c r="A32" s="594" t="s">
        <v>2077</v>
      </c>
      <c r="B32" s="595">
        <v>41183</v>
      </c>
      <c r="C32" s="1784">
        <v>3040000</v>
      </c>
      <c r="D32" s="1785">
        <v>3</v>
      </c>
      <c r="E32" s="1784">
        <v>1760000</v>
      </c>
      <c r="F32" s="1784"/>
      <c r="G32" s="1784"/>
      <c r="H32" s="1784">
        <v>685000</v>
      </c>
      <c r="I32" s="1786">
        <f>((E32+F32)-H32)+G32</f>
        <v>1075000</v>
      </c>
      <c r="J32" s="1784">
        <v>824480</v>
      </c>
      <c r="K32" s="596"/>
    </row>
    <row r="33" spans="1:11" ht="12" customHeight="1" x14ac:dyDescent="0.2">
      <c r="A33" s="594" t="s">
        <v>2078</v>
      </c>
      <c r="B33" s="595">
        <v>41857</v>
      </c>
      <c r="C33" s="1784">
        <v>2435000</v>
      </c>
      <c r="D33" s="1785">
        <v>3</v>
      </c>
      <c r="E33" s="1784">
        <v>920000</v>
      </c>
      <c r="F33" s="1784"/>
      <c r="G33" s="1784"/>
      <c r="H33" s="1784">
        <v>920000</v>
      </c>
      <c r="I33" s="1786">
        <f t="shared" ref="I33:I48" si="1">((E33+F33)-H33)+G33</f>
        <v>0</v>
      </c>
      <c r="J33" s="1784"/>
      <c r="K33" s="596"/>
    </row>
    <row r="34" spans="1:11" ht="12" customHeight="1" x14ac:dyDescent="0.2">
      <c r="A34" s="594" t="s">
        <v>2073</v>
      </c>
      <c r="B34" s="595">
        <v>42355</v>
      </c>
      <c r="C34" s="1784">
        <v>4690000</v>
      </c>
      <c r="D34" s="1785" t="s">
        <v>2075</v>
      </c>
      <c r="E34" s="1784">
        <v>2225000</v>
      </c>
      <c r="F34" s="1784"/>
      <c r="G34" s="1784"/>
      <c r="H34" s="1784"/>
      <c r="I34" s="1786">
        <f t="shared" si="1"/>
        <v>2225000</v>
      </c>
      <c r="J34" s="1784">
        <v>1706301</v>
      </c>
      <c r="K34" s="597"/>
    </row>
    <row r="35" spans="1:11" ht="12" customHeight="1" x14ac:dyDescent="0.2">
      <c r="A35" s="594" t="s">
        <v>2079</v>
      </c>
      <c r="B35" s="595">
        <v>43439</v>
      </c>
      <c r="C35" s="1787">
        <v>4725000</v>
      </c>
      <c r="D35" s="1785">
        <v>1</v>
      </c>
      <c r="E35" s="1787">
        <v>4725000</v>
      </c>
      <c r="F35" s="1787"/>
      <c r="G35" s="1787"/>
      <c r="H35" s="1787"/>
      <c r="I35" s="1786">
        <f t="shared" si="1"/>
        <v>4725000</v>
      </c>
      <c r="J35" s="1787">
        <v>3623565</v>
      </c>
      <c r="K35" s="597"/>
    </row>
    <row r="36" spans="1:11" ht="12" customHeight="1" x14ac:dyDescent="0.2">
      <c r="A36" s="594" t="s">
        <v>2074</v>
      </c>
      <c r="B36" s="595">
        <v>43439</v>
      </c>
      <c r="C36" s="1784">
        <v>970000</v>
      </c>
      <c r="D36" s="1785">
        <v>3</v>
      </c>
      <c r="E36" s="1784">
        <v>970000</v>
      </c>
      <c r="F36" s="1784"/>
      <c r="G36" s="1784"/>
      <c r="H36" s="1784">
        <v>670000</v>
      </c>
      <c r="I36" s="1786">
        <f t="shared" si="1"/>
        <v>300000</v>
      </c>
      <c r="J36" s="1784">
        <v>230141</v>
      </c>
      <c r="K36" s="598"/>
    </row>
    <row r="37" spans="1:11" ht="12" customHeight="1" x14ac:dyDescent="0.2">
      <c r="A37" s="594" t="s">
        <v>2074</v>
      </c>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20980000</v>
      </c>
      <c r="D49" s="1792"/>
      <c r="E49" s="1786">
        <f t="shared" ref="E49:J49" si="2">SUM(E31:E48)</f>
        <v>13195000</v>
      </c>
      <c r="F49" s="1786">
        <f t="shared" si="2"/>
        <v>0</v>
      </c>
      <c r="G49" s="1786">
        <f t="shared" si="2"/>
        <v>0</v>
      </c>
      <c r="H49" s="1786">
        <f t="shared" si="2"/>
        <v>4870000</v>
      </c>
      <c r="I49" s="1786">
        <f t="shared" si="2"/>
        <v>8325000</v>
      </c>
      <c r="J49" s="1786">
        <f t="shared" si="2"/>
        <v>6384487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8" t="s">
        <v>580</v>
      </c>
      <c r="C52" s="2379"/>
      <c r="D52" s="2379"/>
      <c r="E52" s="603" t="s">
        <v>840</v>
      </c>
      <c r="F52" s="2380"/>
      <c r="G52" s="2381"/>
      <c r="H52" s="596"/>
      <c r="I52" s="596"/>
      <c r="J52" s="600"/>
    </row>
    <row r="53" spans="1:11" ht="11.25" customHeight="1" x14ac:dyDescent="0.2">
      <c r="A53" s="604" t="s">
        <v>907</v>
      </c>
      <c r="B53" s="605" t="s">
        <v>945</v>
      </c>
      <c r="C53" s="600"/>
      <c r="D53" s="597"/>
      <c r="E53" s="603" t="s">
        <v>494</v>
      </c>
      <c r="F53" s="2382"/>
      <c r="G53" s="2383"/>
      <c r="H53" s="596"/>
      <c r="I53" s="596"/>
      <c r="J53" s="600"/>
    </row>
    <row r="54" spans="1:11" ht="11.25" customHeight="1" x14ac:dyDescent="0.2">
      <c r="A54" s="606" t="s">
        <v>908</v>
      </c>
      <c r="B54" s="601" t="s">
        <v>946</v>
      </c>
      <c r="C54" s="600"/>
      <c r="D54" s="597"/>
      <c r="E54" s="603" t="s">
        <v>495</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851</v>
      </c>
      <c r="B1" s="2415"/>
      <c r="C1" s="2415"/>
      <c r="D1" s="2415"/>
      <c r="E1" s="2415"/>
      <c r="F1" s="2415"/>
      <c r="G1" s="2416"/>
      <c r="H1" s="1343"/>
      <c r="I1" s="614"/>
      <c r="J1" s="400"/>
    </row>
    <row r="2" spans="1:11" ht="26.25" x14ac:dyDescent="0.2">
      <c r="A2" s="2391" t="s">
        <v>1661</v>
      </c>
      <c r="B2" s="2392"/>
      <c r="C2" s="2392"/>
      <c r="D2" s="2392"/>
      <c r="E2" s="2393"/>
      <c r="F2" s="615" t="s">
        <v>898</v>
      </c>
      <c r="G2" s="616" t="s">
        <v>1658</v>
      </c>
      <c r="H2" s="616" t="s">
        <v>407</v>
      </c>
      <c r="I2" s="616" t="s">
        <v>1150</v>
      </c>
      <c r="J2" s="616" t="s">
        <v>1792</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v>-2941</v>
      </c>
    </row>
    <row r="4" spans="1:11" x14ac:dyDescent="0.2">
      <c r="A4" s="2397" t="s">
        <v>366</v>
      </c>
      <c r="B4" s="2398"/>
      <c r="C4" s="2398"/>
      <c r="D4" s="2398"/>
      <c r="E4" s="2379"/>
      <c r="F4" s="620"/>
      <c r="G4" s="1796"/>
      <c r="H4" s="1797"/>
      <c r="I4" s="1796"/>
      <c r="J4" s="1798"/>
      <c r="K4" s="1798"/>
    </row>
    <row r="5" spans="1:11" x14ac:dyDescent="0.2">
      <c r="A5" s="2417" t="s">
        <v>1062</v>
      </c>
      <c r="B5" s="2388"/>
      <c r="C5" s="2388"/>
      <c r="D5" s="2388"/>
      <c r="E5" s="2418"/>
      <c r="F5" s="622" t="s">
        <v>843</v>
      </c>
      <c r="G5" s="1799"/>
      <c r="H5" s="1794">
        <v>80365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5630</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8843</v>
      </c>
    </row>
    <row r="10" spans="1:11" x14ac:dyDescent="0.2">
      <c r="A10" s="2417" t="s">
        <v>1793</v>
      </c>
      <c r="B10" s="2388"/>
      <c r="C10" s="2388"/>
      <c r="D10" s="2388"/>
      <c r="E10" s="2419"/>
      <c r="F10" s="633" t="s">
        <v>857</v>
      </c>
      <c r="G10" s="1803"/>
      <c r="H10" s="1804"/>
      <c r="I10" s="1794"/>
      <c r="J10" s="1795"/>
      <c r="K10" s="1795"/>
    </row>
    <row r="11" spans="1:11" x14ac:dyDescent="0.2">
      <c r="A11" s="2417" t="s">
        <v>159</v>
      </c>
      <c r="B11" s="2388"/>
      <c r="C11" s="2388"/>
      <c r="D11" s="2388"/>
      <c r="E11" s="2418"/>
      <c r="F11" s="622" t="s">
        <v>847</v>
      </c>
      <c r="G11" s="1799"/>
      <c r="H11" s="1794"/>
      <c r="I11" s="1794"/>
      <c r="J11" s="1795"/>
      <c r="K11" s="1801"/>
    </row>
    <row r="12" spans="1:11" ht="13.5" thickBot="1" x14ac:dyDescent="0.25">
      <c r="A12" s="2405" t="s">
        <v>899</v>
      </c>
      <c r="B12" s="2406"/>
      <c r="C12" s="2406"/>
      <c r="D12" s="2406"/>
      <c r="E12" s="2407"/>
      <c r="F12" s="1482"/>
      <c r="G12" s="1805">
        <f>SUM(G5:G11)</f>
        <v>0</v>
      </c>
      <c r="H12" s="1805">
        <f>SUM(H5:H11)</f>
        <v>80365</v>
      </c>
      <c r="I12" s="1805">
        <f>SUM(I5:I11)</f>
        <v>0</v>
      </c>
      <c r="J12" s="1805">
        <f>SUM(J5:J11)</f>
        <v>0</v>
      </c>
      <c r="K12" s="1805">
        <f>SUM(K5:K11)</f>
        <v>14473</v>
      </c>
    </row>
    <row r="13" spans="1:11" ht="13.5" thickTop="1" x14ac:dyDescent="0.2">
      <c r="A13" s="2399" t="s">
        <v>367</v>
      </c>
      <c r="B13" s="2400"/>
      <c r="C13" s="2400"/>
      <c r="D13" s="2400"/>
      <c r="E13" s="2401"/>
      <c r="F13" s="634"/>
      <c r="G13" s="1806"/>
      <c r="H13" s="1807"/>
      <c r="I13" s="1808"/>
      <c r="J13" s="1808"/>
      <c r="K13" s="1808"/>
    </row>
    <row r="14" spans="1:11" x14ac:dyDescent="0.2">
      <c r="A14" s="2423" t="s">
        <v>453</v>
      </c>
      <c r="B14" s="2423"/>
      <c r="C14" s="2423"/>
      <c r="D14" s="2423"/>
      <c r="E14" s="2424"/>
      <c r="F14" s="635" t="s">
        <v>849</v>
      </c>
      <c r="G14" s="1803"/>
      <c r="H14" s="1794">
        <v>80365</v>
      </c>
      <c r="I14" s="1799"/>
      <c r="J14" s="1801"/>
      <c r="K14" s="1795">
        <f>5439+8159+610+50+371+10</f>
        <v>14639</v>
      </c>
    </row>
    <row r="15" spans="1:11" x14ac:dyDescent="0.2">
      <c r="A15" s="2388" t="s">
        <v>4</v>
      </c>
      <c r="B15" s="2388"/>
      <c r="C15" s="2388"/>
      <c r="D15" s="2388"/>
      <c r="E15" s="2418"/>
      <c r="F15" s="635" t="s">
        <v>850</v>
      </c>
      <c r="G15" s="1799"/>
      <c r="H15" s="1794"/>
      <c r="I15" s="1794"/>
      <c r="J15" s="1795"/>
      <c r="K15" s="1795"/>
    </row>
    <row r="16" spans="1:11" x14ac:dyDescent="0.2">
      <c r="A16" s="2388" t="s">
        <v>295</v>
      </c>
      <c r="B16" s="2388"/>
      <c r="C16" s="2388"/>
      <c r="D16" s="2388"/>
      <c r="E16" s="2418"/>
      <c r="F16" s="635" t="s">
        <v>917</v>
      </c>
      <c r="G16" s="1800"/>
      <c r="H16" s="1796"/>
      <c r="I16" s="1796"/>
      <c r="J16" s="1798"/>
      <c r="K16" s="1798"/>
    </row>
    <row r="17" spans="1:15" x14ac:dyDescent="0.2">
      <c r="A17" s="2412" t="s">
        <v>929</v>
      </c>
      <c r="B17" s="2412"/>
      <c r="C17" s="2412"/>
      <c r="D17" s="2412"/>
      <c r="E17" s="2413"/>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25" t="s">
        <v>1789</v>
      </c>
      <c r="B19" s="2425"/>
      <c r="C19" s="2425"/>
      <c r="D19" s="2425"/>
      <c r="E19" s="2426"/>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08" t="s">
        <v>633</v>
      </c>
      <c r="B21" s="2408"/>
      <c r="C21" s="2408"/>
      <c r="D21" s="2408"/>
      <c r="E21" s="2408"/>
      <c r="F21" s="1483"/>
      <c r="G21" s="1810"/>
      <c r="H21" s="1814"/>
      <c r="I21" s="1814"/>
      <c r="J21" s="1815">
        <f>SUM(J18:J20)</f>
        <v>0</v>
      </c>
      <c r="K21" s="1811"/>
    </row>
    <row r="22" spans="1:15" ht="13.5" thickTop="1" x14ac:dyDescent="0.2">
      <c r="A22" s="2388" t="s">
        <v>1795</v>
      </c>
      <c r="B22" s="2388"/>
      <c r="C22" s="2388"/>
      <c r="D22" s="2388"/>
      <c r="E22" s="2418"/>
      <c r="F22" s="635" t="s">
        <v>857</v>
      </c>
      <c r="G22" s="1803"/>
      <c r="H22" s="1794"/>
      <c r="I22" s="1794"/>
      <c r="J22" s="1816"/>
      <c r="K22" s="1795"/>
    </row>
    <row r="23" spans="1:15" ht="13.5" thickBot="1" x14ac:dyDescent="0.25">
      <c r="A23" s="2409" t="s">
        <v>900</v>
      </c>
      <c r="B23" s="2408"/>
      <c r="C23" s="2408"/>
      <c r="D23" s="2408"/>
      <c r="E23" s="2408"/>
      <c r="F23" s="1485"/>
      <c r="G23" s="1805">
        <f>SUM(G14:G16,G21,G22)</f>
        <v>0</v>
      </c>
      <c r="H23" s="1805">
        <f>SUM(H14:H16,H21,H22)</f>
        <v>80365</v>
      </c>
      <c r="I23" s="1805">
        <f>SUM(I14:I16,I21,I22)</f>
        <v>0</v>
      </c>
      <c r="J23" s="1805">
        <f>SUM(J14:J16,J21,J22)</f>
        <v>0</v>
      </c>
      <c r="K23" s="1805">
        <f>SUM(K14:K16,K21,K22)</f>
        <v>14639</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-3107</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-3107</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0"/>
      <c r="I31" s="2421"/>
      <c r="J31" s="2421"/>
      <c r="K31" s="2421"/>
    </row>
    <row r="32" spans="1:15" x14ac:dyDescent="0.2">
      <c r="A32" s="649"/>
      <c r="B32" s="232"/>
      <c r="C32" s="232"/>
      <c r="D32" s="232"/>
      <c r="E32" s="645"/>
      <c r="F32" s="651" t="s">
        <v>537</v>
      </c>
      <c r="G32" s="618"/>
      <c r="H32" s="2422"/>
      <c r="I32" s="2421"/>
      <c r="J32" s="2421"/>
      <c r="K32" s="2421"/>
    </row>
    <row r="33" spans="1:11" ht="1.5" customHeight="1" x14ac:dyDescent="0.2">
      <c r="A33" s="652" t="s">
        <v>1161</v>
      </c>
      <c r="B33" s="341"/>
      <c r="C33" s="341"/>
      <c r="D33" s="341"/>
      <c r="E33" s="341"/>
      <c r="F33" s="341"/>
      <c r="G33" s="653"/>
      <c r="H33" s="2422"/>
      <c r="I33" s="2421"/>
      <c r="J33" s="2421"/>
      <c r="K33" s="242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8" t="s">
        <v>538</v>
      </c>
      <c r="B41" s="2389"/>
      <c r="C41" s="2389"/>
      <c r="D41" s="2389"/>
      <c r="E41" s="2389"/>
      <c r="F41" s="23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2973996</v>
      </c>
      <c r="D5" s="1820"/>
      <c r="E5" s="1820"/>
      <c r="F5" s="1815">
        <f>(C5+D5)-E5</f>
        <v>2973996</v>
      </c>
      <c r="G5" s="676"/>
      <c r="H5" s="680"/>
      <c r="I5" s="680"/>
      <c r="J5" s="680"/>
      <c r="K5" s="637"/>
      <c r="L5" s="1491">
        <f>F5-K5</f>
        <v>2973996</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28374199</v>
      </c>
      <c r="D8" s="1821"/>
      <c r="E8" s="1821"/>
      <c r="F8" s="1815">
        <f>(C8+D8)-E8</f>
        <v>28374199</v>
      </c>
      <c r="G8" s="681">
        <v>50</v>
      </c>
      <c r="H8" s="619">
        <v>12887877</v>
      </c>
      <c r="I8" s="619">
        <v>567484</v>
      </c>
      <c r="J8" s="619"/>
      <c r="K8" s="1491">
        <f>(H8+I8)-J8</f>
        <v>13455361</v>
      </c>
      <c r="L8" s="1491">
        <f>F8-K8</f>
        <v>14918838</v>
      </c>
    </row>
    <row r="9" spans="1:14" ht="14.25" thickTop="1" thickBot="1" x14ac:dyDescent="0.25">
      <c r="A9" s="629" t="s">
        <v>1111</v>
      </c>
      <c r="B9" s="679">
        <v>232</v>
      </c>
      <c r="C9" s="1795">
        <v>100503</v>
      </c>
      <c r="D9" s="1795"/>
      <c r="E9" s="1795"/>
      <c r="F9" s="1815">
        <f>(C9+D9)-E9</f>
        <v>100503</v>
      </c>
      <c r="G9" s="681">
        <v>20</v>
      </c>
      <c r="H9" s="619">
        <v>17346</v>
      </c>
      <c r="I9" s="619">
        <v>2010</v>
      </c>
      <c r="J9" s="619"/>
      <c r="K9" s="1491">
        <f>(H9+I9)-J9</f>
        <v>19356</v>
      </c>
      <c r="L9" s="1491">
        <f>F9-K9</f>
        <v>81147</v>
      </c>
    </row>
    <row r="10" spans="1:14" ht="24" thickTop="1" thickBot="1" x14ac:dyDescent="0.25">
      <c r="A10" s="682" t="s">
        <v>1112</v>
      </c>
      <c r="B10" s="679">
        <v>240</v>
      </c>
      <c r="C10" s="1822">
        <v>1335576</v>
      </c>
      <c r="D10" s="1822">
        <v>212076</v>
      </c>
      <c r="E10" s="1822"/>
      <c r="F10" s="1823">
        <f>(C10+D10)-E10</f>
        <v>1547652</v>
      </c>
      <c r="G10" s="681">
        <v>20</v>
      </c>
      <c r="H10" s="683">
        <v>869398</v>
      </c>
      <c r="I10" s="683">
        <v>39099</v>
      </c>
      <c r="J10" s="683"/>
      <c r="K10" s="1491">
        <f>(H10+I10)-J10</f>
        <v>908497</v>
      </c>
      <c r="L10" s="1491">
        <f>F10-K10</f>
        <v>639155</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4338494</v>
      </c>
      <c r="D12" s="1821">
        <v>170974</v>
      </c>
      <c r="E12" s="1821"/>
      <c r="F12" s="1815">
        <f>(C12+D12)-E12</f>
        <v>4509468</v>
      </c>
      <c r="G12" s="681">
        <v>10</v>
      </c>
      <c r="H12" s="619">
        <v>4151167</v>
      </c>
      <c r="I12" s="619">
        <v>32801</v>
      </c>
      <c r="J12" s="619"/>
      <c r="K12" s="1491">
        <f>(H12+I12)-J12</f>
        <v>4183968</v>
      </c>
      <c r="L12" s="1491">
        <f>F12-K12</f>
        <v>325500</v>
      </c>
    </row>
    <row r="13" spans="1:14" ht="14.25" thickTop="1" thickBot="1" x14ac:dyDescent="0.25">
      <c r="A13" s="684" t="s">
        <v>1114</v>
      </c>
      <c r="B13" s="679">
        <v>252</v>
      </c>
      <c r="C13" s="1821">
        <f>3255437+36771</f>
        <v>3292208</v>
      </c>
      <c r="D13" s="1821">
        <v>77952</v>
      </c>
      <c r="E13" s="1821"/>
      <c r="F13" s="1815">
        <f>(C13+D13)-E13</f>
        <v>3370160</v>
      </c>
      <c r="G13" s="681">
        <v>5</v>
      </c>
      <c r="H13" s="619">
        <f>3205210+36771</f>
        <v>3241981</v>
      </c>
      <c r="I13" s="619">
        <v>19609</v>
      </c>
      <c r="J13" s="619"/>
      <c r="K13" s="1491">
        <f>(H13+I13)-J13</f>
        <v>3261590</v>
      </c>
      <c r="L13" s="1491">
        <f>F13-K13</f>
        <v>108570</v>
      </c>
    </row>
    <row r="14" spans="1:14" ht="14.25" thickTop="1" thickBot="1" x14ac:dyDescent="0.25">
      <c r="A14" s="684" t="s">
        <v>1115</v>
      </c>
      <c r="B14" s="679">
        <v>253</v>
      </c>
      <c r="C14" s="1795">
        <v>451691</v>
      </c>
      <c r="D14" s="1795"/>
      <c r="E14" s="1795"/>
      <c r="F14" s="1815">
        <f>(C14+D14)-E14</f>
        <v>451691</v>
      </c>
      <c r="G14" s="681">
        <v>3</v>
      </c>
      <c r="H14" s="619">
        <v>444006</v>
      </c>
      <c r="I14" s="619">
        <v>7685</v>
      </c>
      <c r="J14" s="619"/>
      <c r="K14" s="1491">
        <f>(H14+I14)-J14</f>
        <v>451691</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40866667</v>
      </c>
      <c r="D16" s="1815">
        <f>SUM(D3,D5:D6,D8:D10,D12:D15)</f>
        <v>461002</v>
      </c>
      <c r="E16" s="1815">
        <f>SUM(E3,E5:E6,E8:E10,E12:E15)</f>
        <v>0</v>
      </c>
      <c r="F16" s="1815">
        <f>SUM(F3,F5:F6,F8:F10,F12:F15)</f>
        <v>41327669</v>
      </c>
      <c r="G16" s="681"/>
      <c r="H16" s="1484">
        <f>SUM(H3,H6,H8:H10,H12:H14,)</f>
        <v>21611775</v>
      </c>
      <c r="I16" s="1484">
        <f>SUM(I3,I6,I8:I10,I12:I14,)</f>
        <v>668688</v>
      </c>
      <c r="J16" s="1484">
        <f>SUM(J3,J6,J8:J10,J12:J14,)</f>
        <v>0</v>
      </c>
      <c r="K16" s="1484">
        <f>(H16+I16)-J16</f>
        <v>22280463</v>
      </c>
      <c r="L16" s="1484">
        <f>F16-K16</f>
        <v>19047206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49913</v>
      </c>
      <c r="G17" s="676">
        <v>10</v>
      </c>
      <c r="H17" s="621"/>
      <c r="I17" s="1491">
        <f>F17/G17</f>
        <v>4991.3</v>
      </c>
      <c r="J17" s="621"/>
      <c r="K17" s="638"/>
      <c r="L17" s="638"/>
    </row>
    <row r="18" spans="1:12" ht="14.25" thickTop="1" thickBot="1" x14ac:dyDescent="0.25">
      <c r="A18" s="1489" t="s">
        <v>680</v>
      </c>
      <c r="B18" s="1490"/>
      <c r="C18" s="623"/>
      <c r="D18" s="623"/>
      <c r="E18" s="623"/>
      <c r="F18" s="686"/>
      <c r="G18" s="687"/>
      <c r="H18" s="624"/>
      <c r="I18" s="1484">
        <f>SUM(I16,I17)</f>
        <v>673679.3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12874304</v>
      </c>
      <c r="G8" s="701"/>
    </row>
    <row r="9" spans="1:9" x14ac:dyDescent="0.2">
      <c r="A9" s="705" t="s">
        <v>457</v>
      </c>
      <c r="B9" s="706" t="s">
        <v>1851</v>
      </c>
      <c r="C9" s="707"/>
      <c r="D9" s="705" t="s">
        <v>498</v>
      </c>
      <c r="E9" s="704"/>
      <c r="F9" s="1825">
        <f>'Expenditures 15-22'!K151</f>
        <v>2385880</v>
      </c>
      <c r="G9" s="708"/>
    </row>
    <row r="10" spans="1:9" x14ac:dyDescent="0.2">
      <c r="A10" s="705" t="s">
        <v>496</v>
      </c>
      <c r="B10" s="706" t="s">
        <v>1852</v>
      </c>
      <c r="C10" s="707"/>
      <c r="D10" s="705" t="s">
        <v>498</v>
      </c>
      <c r="E10" s="704"/>
      <c r="F10" s="1825">
        <f>'Expenditures 15-22'!K174</f>
        <v>5259536</v>
      </c>
      <c r="G10" s="708"/>
    </row>
    <row r="11" spans="1:9" x14ac:dyDescent="0.2">
      <c r="A11" s="705" t="s">
        <v>458</v>
      </c>
      <c r="B11" s="706" t="s">
        <v>1853</v>
      </c>
      <c r="C11" s="707"/>
      <c r="D11" s="705" t="s">
        <v>498</v>
      </c>
      <c r="E11" s="704"/>
      <c r="F11" s="1825">
        <f>'Expenditures 15-22'!K210</f>
        <v>1703136</v>
      </c>
      <c r="G11" s="708"/>
    </row>
    <row r="12" spans="1:9" x14ac:dyDescent="0.2">
      <c r="A12" s="705" t="s">
        <v>459</v>
      </c>
      <c r="B12" s="706" t="s">
        <v>1854</v>
      </c>
      <c r="C12" s="707"/>
      <c r="D12" s="705" t="s">
        <v>498</v>
      </c>
      <c r="E12" s="704"/>
      <c r="F12" s="1825">
        <f>'Expenditures 15-22'!K295</f>
        <v>580266</v>
      </c>
      <c r="G12" s="708"/>
    </row>
    <row r="13" spans="1:9" x14ac:dyDescent="0.2">
      <c r="A13" s="705" t="s">
        <v>106</v>
      </c>
      <c r="B13" s="706" t="s">
        <v>1855</v>
      </c>
      <c r="C13" s="707"/>
      <c r="D13" s="705" t="s">
        <v>498</v>
      </c>
      <c r="E13" s="704"/>
      <c r="F13" s="1825">
        <f>'Expenditures 15-22'!K342</f>
        <v>203665</v>
      </c>
      <c r="G13" s="709"/>
    </row>
    <row r="14" spans="1:9" ht="12" customHeight="1" thickBot="1" x14ac:dyDescent="0.25">
      <c r="A14" s="1492"/>
      <c r="B14" s="1493"/>
      <c r="C14" s="1494"/>
      <c r="D14" s="1495" t="s">
        <v>498</v>
      </c>
      <c r="E14" s="1496" t="s">
        <v>952</v>
      </c>
      <c r="F14" s="1826">
        <f>SUM(F8:F13)</f>
        <v>23006787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2211</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87764</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26479</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2637</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477155</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2052</v>
      </c>
      <c r="G52" s="701"/>
    </row>
    <row r="53" spans="1:7" x14ac:dyDescent="0.2">
      <c r="A53" s="705" t="s">
        <v>456</v>
      </c>
      <c r="B53" s="705" t="s">
        <v>1461</v>
      </c>
      <c r="C53" s="724">
        <f>'Expenditures 15-22'!B102</f>
        <v>4000</v>
      </c>
      <c r="D53" s="723" t="str">
        <f>'Expenditures 15-22'!A102</f>
        <v>Total Payments to Other Govt Units</v>
      </c>
      <c r="E53" s="704"/>
      <c r="F53" s="1832">
        <f>'Expenditures 15-22'!K102</f>
        <v>636593</v>
      </c>
      <c r="G53" s="701"/>
    </row>
    <row r="54" spans="1:7" x14ac:dyDescent="0.2">
      <c r="A54" s="705" t="s">
        <v>456</v>
      </c>
      <c r="B54" s="705" t="s">
        <v>1462</v>
      </c>
      <c r="C54" s="724" t="s">
        <v>975</v>
      </c>
      <c r="D54" s="720" t="s">
        <v>1088</v>
      </c>
      <c r="E54" s="704"/>
      <c r="F54" s="1832">
        <f>'Expenditures 15-22'!G114</f>
        <v>9159</v>
      </c>
      <c r="G54" s="701"/>
    </row>
    <row r="55" spans="1:7" x14ac:dyDescent="0.2">
      <c r="A55" s="705" t="s">
        <v>456</v>
      </c>
      <c r="B55" s="705" t="s">
        <v>1463</v>
      </c>
      <c r="C55" s="724" t="s">
        <v>975</v>
      </c>
      <c r="D55" s="720" t="s">
        <v>288</v>
      </c>
      <c r="E55" s="704"/>
      <c r="F55" s="1832">
        <f>'Expenditures 15-22'!I114</f>
        <v>26283</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377877</v>
      </c>
      <c r="G58" s="701"/>
    </row>
    <row r="59" spans="1:7" x14ac:dyDescent="0.2">
      <c r="A59" s="728" t="s">
        <v>457</v>
      </c>
      <c r="B59" s="692" t="s">
        <v>1858</v>
      </c>
      <c r="C59" s="729" t="s">
        <v>975</v>
      </c>
      <c r="D59" s="692" t="s">
        <v>288</v>
      </c>
      <c r="F59" s="1835">
        <f>'Expenditures 15-22'!I151</f>
        <v>23630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4870000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876</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896</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6543612</v>
      </c>
      <c r="G77" s="701"/>
    </row>
    <row r="78" spans="1:9" s="728" customFormat="1" ht="12" customHeight="1" thickTop="1" thickBot="1" x14ac:dyDescent="0.25">
      <c r="A78" s="1499"/>
      <c r="B78" s="1497"/>
      <c r="C78" s="1494"/>
      <c r="D78" s="1498" t="s">
        <v>2015</v>
      </c>
      <c r="E78" s="1496"/>
      <c r="F78" s="1838">
        <f>(F14-F77)</f>
        <v>16463175</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1390.3</v>
      </c>
      <c r="G79" s="733"/>
      <c r="H79" s="705"/>
      <c r="I79" s="705"/>
    </row>
    <row r="80" spans="1:9" s="728" customFormat="1" ht="12" customHeight="1" thickBot="1" x14ac:dyDescent="0.25">
      <c r="A80" s="1501"/>
      <c r="B80" s="1497"/>
      <c r="C80" s="1494"/>
      <c r="D80" s="1498" t="s">
        <v>2016</v>
      </c>
      <c r="E80" s="1496" t="s">
        <v>952</v>
      </c>
      <c r="F80" s="1840">
        <f>IF(F79&gt;0,F78/F79," Complete Line 79")</f>
        <v>11841.455081637057</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3885</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157151</v>
      </c>
      <c r="G95" s="745"/>
    </row>
    <row r="96" spans="1:7" x14ac:dyDescent="0.2">
      <c r="A96" s="741" t="s">
        <v>139</v>
      </c>
      <c r="B96" s="741" t="s">
        <v>174</v>
      </c>
      <c r="C96" s="743">
        <v>1700</v>
      </c>
      <c r="D96" s="751" t="str">
        <f>'Revenues 9-14'!A82</f>
        <v>Total District/School Activity Income</v>
      </c>
      <c r="E96" s="739"/>
      <c r="F96" s="1843">
        <f>SUM('Revenues 9-14'!C82,'Revenues 9-14'!D82)</f>
        <v>138439</v>
      </c>
      <c r="G96" s="745"/>
    </row>
    <row r="97" spans="1:7" x14ac:dyDescent="0.2">
      <c r="A97" s="741" t="s">
        <v>456</v>
      </c>
      <c r="B97" s="741" t="s">
        <v>175</v>
      </c>
      <c r="C97" s="743">
        <f>'Revenues 9-14'!B84</f>
        <v>1811</v>
      </c>
      <c r="D97" s="744" t="str">
        <f>'Revenues 9-14'!A84</f>
        <v>Rentals - Regular Textbooks</v>
      </c>
      <c r="E97" s="739"/>
      <c r="F97" s="1843">
        <f>'Revenues 9-14'!C84</f>
        <v>254398</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19710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6245</v>
      </c>
      <c r="G105" s="745"/>
    </row>
    <row r="106" spans="1:7" x14ac:dyDescent="0.2">
      <c r="A106" s="741" t="s">
        <v>500</v>
      </c>
      <c r="B106" s="741" t="s">
        <v>1913</v>
      </c>
      <c r="C106" s="746">
        <v>3100</v>
      </c>
      <c r="D106" s="752" t="str">
        <f>'Revenues 9-14'!A132</f>
        <v>Total Special Education</v>
      </c>
      <c r="E106" s="739"/>
      <c r="F106" s="1843">
        <f>SUM('Revenues 9-14'!C132:D132,'Revenues 9-14'!F132)</f>
        <v>373813</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12204</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1037</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8843</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968340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87082</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121120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11431</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226285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31411</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36449</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76603</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587080</v>
      </c>
      <c r="G172" s="760"/>
    </row>
    <row r="173" spans="1:7" x14ac:dyDescent="0.2">
      <c r="A173" s="1579" t="s">
        <v>659</v>
      </c>
      <c r="B173" s="1580" t="s">
        <v>1888</v>
      </c>
      <c r="C173" s="1581">
        <v>3300</v>
      </c>
      <c r="D173" s="1582" t="s">
        <v>1891</v>
      </c>
      <c r="E173" s="739"/>
      <c r="F173" s="1844">
        <v>584</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3172110</v>
      </c>
    </row>
    <row r="176" spans="1:7" ht="12" customHeight="1" x14ac:dyDescent="0.2">
      <c r="A176" s="1492"/>
      <c r="B176" s="1502"/>
      <c r="C176" s="1503"/>
      <c r="D176" s="1504" t="s">
        <v>2017</v>
      </c>
      <c r="E176" s="1505"/>
      <c r="F176" s="1843">
        <f>'PCTC-OEPP 27-28'!F78-F175</f>
        <v>13291065</v>
      </c>
    </row>
    <row r="177" spans="1:9" ht="12" customHeight="1" x14ac:dyDescent="0.2">
      <c r="A177" s="1492"/>
      <c r="B177" s="1502"/>
      <c r="C177" s="1503"/>
      <c r="D177" s="1504" t="s">
        <v>1797</v>
      </c>
      <c r="E177" s="1505"/>
      <c r="F177" s="1843">
        <f>'Cap Outlay Deprec 26'!I18</f>
        <v>673679.3</v>
      </c>
    </row>
    <row r="178" spans="1:9" ht="12" customHeight="1" x14ac:dyDescent="0.2">
      <c r="A178" s="1492"/>
      <c r="B178" s="1502"/>
      <c r="C178" s="1503"/>
      <c r="D178" s="1504" t="s">
        <v>2018</v>
      </c>
      <c r="E178" s="1505"/>
      <c r="F178" s="1843">
        <f>F176+F177</f>
        <v>13964744.300000001</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1390.3</v>
      </c>
      <c r="G179" s="763"/>
      <c r="I179" s="701"/>
    </row>
    <row r="180" spans="1:9" ht="12" customHeight="1" thickBot="1" x14ac:dyDescent="0.25">
      <c r="A180" s="1492"/>
      <c r="B180" s="1506"/>
      <c r="C180" s="1503"/>
      <c r="D180" s="1504" t="s">
        <v>2020</v>
      </c>
      <c r="E180" s="1505" t="s">
        <v>1531</v>
      </c>
      <c r="F180" s="1848">
        <f>F178/F179</f>
        <v>10044.410774652953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2080</v>
      </c>
      <c r="B18" s="1971">
        <v>402550300</v>
      </c>
      <c r="C18" s="2105" t="s">
        <v>2082</v>
      </c>
      <c r="D18" s="1949">
        <v>443172</v>
      </c>
      <c r="E18" s="1969" t="str">
        <f t="shared" ref="E18:E81" si="0">IF(D18&lt;25000,D18,"25,000")</f>
        <v>25,000</v>
      </c>
      <c r="F18" s="1969">
        <f t="shared" ref="F18:F81" si="1">IF(D18&gt;=25000,(D18-E18),"0")</f>
        <v>418172</v>
      </c>
      <c r="G18" s="1950"/>
    </row>
    <row r="19" spans="1:7" x14ac:dyDescent="0.25">
      <c r="A19" s="2104" t="s">
        <v>2081</v>
      </c>
      <c r="B19" s="1971">
        <v>102570300</v>
      </c>
      <c r="C19" s="2105" t="s">
        <v>2083</v>
      </c>
      <c r="D19" s="1949">
        <v>110253</v>
      </c>
      <c r="E19" s="1969" t="str">
        <f t="shared" si="0"/>
        <v>25,000</v>
      </c>
      <c r="F19" s="1969">
        <f t="shared" si="1"/>
        <v>85253</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553425</v>
      </c>
      <c r="E142" s="1956">
        <f>SUM(E18:E141)</f>
        <v>0</v>
      </c>
      <c r="F142" s="1957">
        <f>SUM(F18:F141)</f>
        <v>503425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76530</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26648</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9037194</v>
      </c>
      <c r="F19" s="1852"/>
      <c r="G19" s="1854">
        <f>'Expenditures 15-22'!K33-SUM('Expenditures 15-22'!G33,'Expenditures 15-22'!I33)+'Expenditures 15-22'!D229</f>
        <v>9037194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1029947</v>
      </c>
      <c r="F21" s="1855"/>
      <c r="G21" s="1858">
        <f>'Expenditures 15-22'!K42-SUM('Expenditures 15-22'!G42,'Expenditures 15-22'!I42)+'Expenditures 15-22'!K120-SUM('Expenditures 15-22'!G120,'Expenditures 15-22'!I120)+'Expenditures 15-22'!K180-SUM('Expenditures 15-22'!G180,'Expenditures 15-22'!I180)+'Expenditures 15-22'!D238</f>
        <v>1029947</v>
      </c>
      <c r="H21" s="817"/>
      <c r="I21" s="157"/>
    </row>
    <row r="22" spans="1:9" s="542" customFormat="1" ht="12" customHeight="1" x14ac:dyDescent="0.2">
      <c r="A22" s="824" t="s">
        <v>560</v>
      </c>
      <c r="B22" s="825"/>
      <c r="C22" s="823">
        <v>2200</v>
      </c>
      <c r="D22" s="1855"/>
      <c r="E22" s="1857">
        <f>'Expenditures 15-22'!K47-SUM('Expenditures 15-22'!G47,'Expenditures 15-22'!I47)+'Expenditures 15-22'!D243</f>
        <v>241303</v>
      </c>
      <c r="F22" s="1855"/>
      <c r="G22" s="1858">
        <f>'Expenditures 15-22'!K47-SUM('Expenditures 15-22'!G47,'Expenditures 15-22'!I47)+'Expenditures 15-22'!D243</f>
        <v>241303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608859</v>
      </c>
      <c r="F23" s="1855"/>
      <c r="G23" s="1857">
        <f>'Expenditures 15-22'!K53-SUM('Expenditures 15-22'!G53,'Expenditures 15-22'!I53)+'Expenditures 15-22'!D257+'Expenditures 15-22'!K330-SUM('Expenditures 15-22'!G330,'Expenditures 15-22'!I330)</f>
        <v>608859</v>
      </c>
      <c r="H23" s="817"/>
      <c r="I23" s="157"/>
    </row>
    <row r="24" spans="1:9" s="542" customFormat="1" ht="12" customHeight="1" x14ac:dyDescent="0.2">
      <c r="A24" s="824" t="s">
        <v>562</v>
      </c>
      <c r="B24" s="825"/>
      <c r="C24" s="823">
        <v>2400</v>
      </c>
      <c r="D24" s="1855"/>
      <c r="E24" s="1857">
        <f>'Expenditures 15-22'!K57-SUM('Expenditures 15-22'!G57,'Expenditures 15-22'!I57)+'Expenditures 15-22'!D261</f>
        <v>599186</v>
      </c>
      <c r="F24" s="1855"/>
      <c r="G24" s="1858">
        <f>'Expenditures 15-22'!K57-SUM('Expenditures 15-22'!G57,'Expenditures 15-22'!I57)+'Expenditures 15-22'!D261</f>
        <v>599186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137155</v>
      </c>
      <c r="E26" s="1857">
        <f>'Expenditures 15-22'!K122-SUM('Expenditures 15-22'!G122,'Expenditures 15-22'!I122)+E7</f>
        <v>0</v>
      </c>
      <c r="F26" s="1857">
        <f>'Expenditures 15-22'!K59-SUM('Expenditures 15-22'!G59,'Expenditures 15-22'!I59)+'Expenditures 15-22'!D263-E7</f>
        <v>137155</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180600</v>
      </c>
      <c r="E27" s="1857">
        <f>E8</f>
        <v>0</v>
      </c>
      <c r="F27" s="1857">
        <f>'Expenditures 15-22'!K60-SUM('Expenditures 15-22'!G60,'Expenditures 15-22'!I60)+'Expenditures 15-22'!D264-E8</f>
        <v>180600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2073715</v>
      </c>
      <c r="F28" s="1859">
        <f>'Expenditures 15-22'!K61-SUM('Expenditures 15-22'!G61,'Expenditures 15-22'!I61)+'Expenditures 15-22'!K124-SUM('Expenditures 15-22'!G124,'Expenditures 15-22'!I124)+'Expenditures 15-22'!D266-E9</f>
        <v>2073715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1858255</v>
      </c>
      <c r="F29" s="1855"/>
      <c r="G29" s="1858">
        <f>'Expenditures 15-22'!K62-SUM('Expenditures 15-22'!G62,'Expenditures 15-22'!I62)+'Expenditures 15-22'!K125-SUM('Expenditures 15-22'!G125,'Expenditures 15-22'!I125)+'Expenditures 15-22'!K182-SUM('Expenditures 15-22'!G182,'Expenditures 15-22'!I182)+'Expenditures 15-22'!D267</f>
        <v>1858255</v>
      </c>
      <c r="H29" s="815"/>
    </row>
    <row r="30" spans="1:9" ht="12" customHeight="1" x14ac:dyDescent="0.2">
      <c r="A30" s="824" t="s">
        <v>100</v>
      </c>
      <c r="B30" s="827"/>
      <c r="C30" s="823">
        <v>2560</v>
      </c>
      <c r="D30" s="1855"/>
      <c r="E30" s="1857">
        <f>'Expenditures 15-22'!K63-SUM('Expenditures 15-22'!G63,'Expenditures 15-22'!I63)+'Expenditures 15-22'!D268-E10</f>
        <v>201137</v>
      </c>
      <c r="F30" s="1855"/>
      <c r="G30" s="1857">
        <f>'Expenditures 15-22'!K63-SUM('Expenditures 15-22'!G63,'Expenditures 15-22'!I63)+'Expenditures 15-22'!D268-E10</f>
        <v>201137</v>
      </c>
    </row>
    <row r="31" spans="1:9" ht="12" customHeight="1" x14ac:dyDescent="0.2">
      <c r="A31" s="824" t="s">
        <v>101</v>
      </c>
      <c r="B31" s="827"/>
      <c r="C31" s="823">
        <v>2570</v>
      </c>
      <c r="D31" s="1857">
        <f>'Expenditures 15-22'!K64-SUM('Expenditures 15-22'!G64,'Expenditures 15-22'!I64)+'Expenditures 15-22'!D269-E12</f>
        <v>125908</v>
      </c>
      <c r="E31" s="1857">
        <f>E12</f>
        <v>0</v>
      </c>
      <c r="F31" s="1857">
        <f>'Expenditures 15-22'!K64-SUM('Expenditures 15-22'!G64,'Expenditures 15-22'!I64)+'Expenditures 15-22'!D269-E12</f>
        <v>125908</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458499</v>
      </c>
      <c r="F35" s="1855"/>
      <c r="G35" s="1857">
        <f>'Expenditures 15-22'!K69-SUM('Expenditures 15-22'!G69,'Expenditures 15-22'!I69)+'Expenditures 15-22'!D274</f>
        <v>458499</v>
      </c>
    </row>
    <row r="36" spans="1:7" ht="12" customHeight="1" x14ac:dyDescent="0.2">
      <c r="A36" s="824" t="s">
        <v>400</v>
      </c>
      <c r="B36" s="827"/>
      <c r="C36" s="823">
        <v>2640</v>
      </c>
      <c r="D36" s="1857">
        <f>'Expenditures 15-22'!K70-SUM('Expenditures 15-22'!G70,'Expenditures 15-22'!I70)+'Expenditures 15-22'!D275-E13</f>
        <v>1737</v>
      </c>
      <c r="E36" s="1857">
        <f>E13</f>
        <v>0</v>
      </c>
      <c r="F36" s="1857">
        <f>'Expenditures 15-22'!K70-SUM('Expenditures 15-22'!G70,'Expenditures 15-22'!I70)+'Expenditures 15-22'!D275-E13</f>
        <v>1737</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2052</v>
      </c>
      <c r="F39" s="1855"/>
      <c r="G39" s="1857">
        <f>'Expenditures 15-22'!K75-SUM('Expenditures 15-22'!G75,'Expenditures 15-22'!I75)+'Expenditures 15-22'!K130-SUM('Expenditures 15-22'!G130,'Expenditures 15-22'!I130)+'Expenditures 15-22'!K185-SUM('Expenditures 15-22'!G185,'Expenditures 15-22'!I185)+'Expenditures 15-22'!D280</f>
        <v>2052</v>
      </c>
    </row>
    <row r="40" spans="1:7" ht="12" customHeight="1" x14ac:dyDescent="0.2">
      <c r="A40" s="820" t="s">
        <v>1801</v>
      </c>
      <c r="B40" s="821"/>
      <c r="C40" s="823"/>
      <c r="D40" s="1855"/>
      <c r="E40" s="1859">
        <f>-'Contracts Paid in CY 29'!F142</f>
        <v>-503425</v>
      </c>
      <c r="F40" s="1855"/>
      <c r="G40" s="1859">
        <f>-'Contracts Paid in CY 29'!F142</f>
        <v>-503425</v>
      </c>
    </row>
    <row r="41" spans="1:7" ht="12" customHeight="1" x14ac:dyDescent="0.2">
      <c r="A41" s="828" t="s">
        <v>155</v>
      </c>
      <c r="B41" s="829"/>
      <c r="C41" s="830"/>
      <c r="D41" s="1859">
        <f>SUM(D19:D39)</f>
        <v>445400</v>
      </c>
      <c r="E41" s="1859">
        <f>SUM(E19:E40)</f>
        <v>15606722</v>
      </c>
      <c r="F41" s="1859">
        <f>SUM(F19:F39)</f>
        <v>2519115</v>
      </c>
      <c r="G41" s="1859">
        <f>SUM(G19:G40)</f>
        <v>13533007</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445400</v>
      </c>
      <c r="F43" s="1507" t="s">
        <v>470</v>
      </c>
      <c r="G43" s="1860">
        <f>F41</f>
        <v>2519115</v>
      </c>
    </row>
    <row r="44" spans="1:7" ht="12" customHeight="1" x14ac:dyDescent="0.2">
      <c r="A44" s="817"/>
      <c r="B44" s="157"/>
      <c r="C44" s="831"/>
      <c r="D44" s="1507" t="s">
        <v>471</v>
      </c>
      <c r="E44" s="1860">
        <f>E41</f>
        <v>15606722</v>
      </c>
      <c r="F44" s="1507" t="s">
        <v>471</v>
      </c>
      <c r="G44" s="1860">
        <f>G41</f>
        <v>13533007</v>
      </c>
    </row>
    <row r="45" spans="1:7" ht="12" customHeight="1" x14ac:dyDescent="0.2">
      <c r="A45" s="817"/>
      <c r="B45" s="157"/>
      <c r="C45" s="157"/>
      <c r="D45" s="1508" t="s">
        <v>999</v>
      </c>
      <c r="E45" s="1861">
        <f>(E43/E44)</f>
        <v>2.8538984675962064E-2</v>
      </c>
      <c r="F45" s="1508" t="s">
        <v>999</v>
      </c>
      <c r="G45" s="1861">
        <f>(G43/G44)</f>
        <v>0.18614599105727206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pane="bottomLeft" sqref="A1:F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1365</v>
      </c>
      <c r="B1" s="2469"/>
      <c r="C1" s="2469"/>
      <c r="D1" s="2469"/>
      <c r="E1" s="2469"/>
      <c r="F1" s="246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1532</v>
      </c>
      <c r="B5" s="2471"/>
      <c r="C5" s="2472"/>
      <c r="D5" s="2472"/>
      <c r="E5" s="2472"/>
      <c r="F5" s="2472"/>
      <c r="G5" s="1556"/>
      <c r="L5" s="1556"/>
      <c r="M5" s="1913"/>
      <c r="N5" s="1913"/>
      <c r="O5" s="1913"/>
    </row>
    <row r="6" spans="1:15" ht="12" customHeight="1" x14ac:dyDescent="0.25">
      <c r="A6" s="1529"/>
      <c r="B6" s="1530"/>
      <c r="C6" s="2473" t="str">
        <f>COVER!A17</f>
        <v xml:space="preserve">   Peotone CUSD 207U</v>
      </c>
      <c r="D6" s="2473"/>
      <c r="E6" s="2473"/>
      <c r="F6" s="1531"/>
      <c r="G6" s="1556"/>
      <c r="L6" s="1556"/>
      <c r="M6" s="1913"/>
      <c r="N6" s="1913"/>
      <c r="O6" s="1913"/>
    </row>
    <row r="7" spans="1:15" ht="11.25" customHeight="1" thickBot="1" x14ac:dyDescent="0.3">
      <c r="A7" s="1529"/>
      <c r="B7" s="1530"/>
      <c r="C7" s="2474" t="str">
        <f>COVER!A13</f>
        <v xml:space="preserve">56099207U26  </v>
      </c>
      <c r="D7" s="2474"/>
      <c r="E7" s="247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2065</v>
      </c>
      <c r="D14" s="1544" t="s">
        <v>2065</v>
      </c>
      <c r="E14" s="1547" t="s">
        <v>2065</v>
      </c>
      <c r="F14" s="1546" t="s">
        <v>2084</v>
      </c>
      <c r="G14" s="1556"/>
      <c r="H14" s="1556">
        <f t="shared" si="0"/>
        <v>5</v>
      </c>
      <c r="I14" s="1556">
        <f t="shared" si="1"/>
        <v>5</v>
      </c>
      <c r="J14" s="1556">
        <f t="shared" si="2"/>
        <v>5</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2065</v>
      </c>
      <c r="D24" s="1544" t="s">
        <v>2065</v>
      </c>
      <c r="E24" s="1547" t="s">
        <v>2065</v>
      </c>
      <c r="F24" s="1546" t="s">
        <v>2085</v>
      </c>
      <c r="G24" s="1556"/>
      <c r="H24" s="1556">
        <f t="shared" si="0"/>
        <v>5</v>
      </c>
      <c r="I24" s="1556">
        <f t="shared" si="1"/>
        <v>5</v>
      </c>
      <c r="J24" s="1556">
        <f t="shared" si="2"/>
        <v>5</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2065</v>
      </c>
      <c r="D30" s="1544" t="s">
        <v>2065</v>
      </c>
      <c r="E30" s="1547" t="s">
        <v>2065</v>
      </c>
      <c r="F30" s="1546" t="s">
        <v>2086</v>
      </c>
      <c r="G30" s="1556"/>
      <c r="H30" s="1556">
        <f t="shared" si="0"/>
        <v>5</v>
      </c>
      <c r="I30" s="1556">
        <f t="shared" si="1"/>
        <v>5</v>
      </c>
      <c r="J30" s="1556">
        <f t="shared" si="2"/>
        <v>5</v>
      </c>
      <c r="L30" s="1556"/>
      <c r="M30" s="1913"/>
      <c r="N30" s="1913"/>
      <c r="O30" s="1913"/>
    </row>
    <row r="31" spans="1:15" ht="12" customHeight="1" x14ac:dyDescent="0.2">
      <c r="A31" s="1542" t="s">
        <v>1525</v>
      </c>
      <c r="B31" s="1543"/>
      <c r="C31" s="1544" t="s">
        <v>2065</v>
      </c>
      <c r="D31" s="1544" t="s">
        <v>2065</v>
      </c>
      <c r="E31" s="1547" t="s">
        <v>2065</v>
      </c>
      <c r="F31" s="1546" t="s">
        <v>2087</v>
      </c>
      <c r="G31" s="1556"/>
      <c r="H31" s="1556">
        <f t="shared" si="0"/>
        <v>5</v>
      </c>
      <c r="I31" s="1556">
        <f t="shared" si="1"/>
        <v>5</v>
      </c>
      <c r="J31" s="1556">
        <f t="shared" si="2"/>
        <v>5</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20</v>
      </c>
      <c r="I34" s="1556">
        <f>SUM(I11:I32)</f>
        <v>20</v>
      </c>
      <c r="J34" s="1556">
        <f>SUM(J11:J32)</f>
        <v>20</v>
      </c>
      <c r="K34" s="1556">
        <f>SUM(H34:J34)</f>
        <v>60</v>
      </c>
      <c r="L34" s="1556"/>
      <c r="M34" s="1913"/>
      <c r="N34" s="1913"/>
      <c r="O34" s="1913"/>
    </row>
    <row r="35" spans="1:15" ht="12" customHeight="1" x14ac:dyDescent="0.2">
      <c r="A35" s="1549" t="s">
        <v>1378</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Peotone CUSD 207U</v>
      </c>
      <c r="J6" s="2494"/>
      <c r="K6" s="2495"/>
      <c r="R6" s="1427"/>
    </row>
    <row r="7" spans="1:18" x14ac:dyDescent="0.2">
      <c r="A7" s="2496" t="s">
        <v>864</v>
      </c>
      <c r="B7" s="2497"/>
      <c r="C7" s="2497"/>
      <c r="D7" s="2497"/>
      <c r="E7" s="2498"/>
      <c r="F7" s="847"/>
      <c r="G7" s="839"/>
      <c r="H7" s="846" t="s">
        <v>369</v>
      </c>
      <c r="I7" s="2499" t="str">
        <f>COVER!A13</f>
        <v xml:space="preserve">56099207U26  </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212364</v>
      </c>
      <c r="F12" s="1864"/>
      <c r="G12" s="1863">
        <f t="shared" ref="G12:G18" si="0">SUM(E12:F12)</f>
        <v>212364</v>
      </c>
      <c r="H12" s="1865">
        <v>217503</v>
      </c>
      <c r="I12" s="1864"/>
      <c r="J12" s="1865"/>
      <c r="K12" s="1863">
        <f t="shared" ref="K12:K18" si="1">SUM(H12:J12)</f>
        <v>217503</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134416</v>
      </c>
      <c r="F15" s="1863">
        <f>'Expenditures 15-22'!K122</f>
        <v>0</v>
      </c>
      <c r="G15" s="1863">
        <f t="shared" si="0"/>
        <v>134416</v>
      </c>
      <c r="H15" s="1865">
        <v>141788</v>
      </c>
      <c r="I15" s="1865"/>
      <c r="J15" s="1865"/>
      <c r="K15" s="1863">
        <f t="shared" si="1"/>
        <v>141788</v>
      </c>
    </row>
    <row r="16" spans="1:18" ht="15" customHeight="1" x14ac:dyDescent="0.2">
      <c r="A16" s="863">
        <v>5</v>
      </c>
      <c r="B16" s="864" t="s">
        <v>101</v>
      </c>
      <c r="C16" s="865"/>
      <c r="D16" s="866">
        <v>2570</v>
      </c>
      <c r="E16" s="1863">
        <f>'Expenditures 15-22'!K64</f>
        <v>125908</v>
      </c>
      <c r="F16" s="1864"/>
      <c r="G16" s="1863">
        <f t="shared" si="0"/>
        <v>125908</v>
      </c>
      <c r="H16" s="1865">
        <v>99819</v>
      </c>
      <c r="I16" s="1864"/>
      <c r="J16" s="1865"/>
      <c r="K16" s="1863">
        <f t="shared" si="1"/>
        <v>99819</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472688</v>
      </c>
      <c r="F19" s="1868">
        <f t="shared" si="2"/>
        <v>0</v>
      </c>
      <c r="G19" s="1868">
        <f t="shared" si="2"/>
        <v>472688</v>
      </c>
      <c r="H19" s="1868">
        <f t="shared" si="2"/>
        <v>459110</v>
      </c>
      <c r="I19" s="1868">
        <f t="shared" si="2"/>
        <v>0</v>
      </c>
      <c r="J19" s="1868">
        <f t="shared" si="2"/>
        <v>0</v>
      </c>
      <c r="K19" s="1868">
        <f t="shared" si="2"/>
        <v>459110</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-2.872507869884575E-2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ABC15-6457-4908-93D1-78A4449CD1EC}">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5" t="str">
        <f>COVER!A17</f>
        <v xml:space="preserve">   Peotone CUSD 207U</v>
      </c>
      <c r="K6" s="2515"/>
      <c r="L6" s="2516"/>
      <c r="M6" s="899"/>
      <c r="N6" s="1997"/>
    </row>
    <row r="7" spans="1:14" x14ac:dyDescent="0.25">
      <c r="A7" s="2517" t="s">
        <v>864</v>
      </c>
      <c r="B7" s="2518"/>
      <c r="C7" s="2518"/>
      <c r="D7" s="2518"/>
      <c r="E7" s="2519"/>
      <c r="F7" s="2001"/>
      <c r="G7" s="899"/>
      <c r="H7" s="899"/>
      <c r="I7" s="2000" t="s">
        <v>369</v>
      </c>
      <c r="J7" s="2520" t="str">
        <f>COVER!A13</f>
        <v xml:space="preserve">56099207U26  </v>
      </c>
      <c r="K7" s="2520"/>
      <c r="L7" s="2520"/>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1" t="s">
        <v>478</v>
      </c>
      <c r="B11" s="2522"/>
      <c r="C11" s="2523"/>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212364</v>
      </c>
      <c r="F12" s="2027"/>
      <c r="G12" s="2028">
        <f>G68</f>
        <v>0</v>
      </c>
      <c r="H12" s="2029">
        <f t="shared" ref="H12:H18" si="0">SUM(E12:G12)</f>
        <v>212364</v>
      </c>
      <c r="I12" s="2030">
        <v>217503</v>
      </c>
      <c r="J12" s="2027"/>
      <c r="K12" s="2030"/>
      <c r="L12" s="2029">
        <f t="shared" ref="L12:L18" si="1">SUM(I12:K12)</f>
        <v>217503</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134416</v>
      </c>
      <c r="F15" s="2026">
        <f>'Expenditures 15-22'!K122</f>
        <v>0</v>
      </c>
      <c r="G15" s="2028">
        <f>J68</f>
        <v>0</v>
      </c>
      <c r="H15" s="2029">
        <f t="shared" si="0"/>
        <v>134416</v>
      </c>
      <c r="I15" s="2030">
        <v>141788</v>
      </c>
      <c r="J15" s="2030"/>
      <c r="K15" s="2030"/>
      <c r="L15" s="2029">
        <f t="shared" si="1"/>
        <v>141788</v>
      </c>
      <c r="M15" s="899"/>
      <c r="N15" s="1997"/>
    </row>
    <row r="16" spans="1:14" x14ac:dyDescent="0.25">
      <c r="A16" s="2022">
        <v>5</v>
      </c>
      <c r="B16" s="2023" t="s">
        <v>101</v>
      </c>
      <c r="C16" s="2024"/>
      <c r="D16" s="2025">
        <v>2570</v>
      </c>
      <c r="E16" s="2026">
        <f>'Expenditures 15-22'!K64</f>
        <v>125908</v>
      </c>
      <c r="F16" s="2027"/>
      <c r="G16" s="2028">
        <f>K68</f>
        <v>0</v>
      </c>
      <c r="H16" s="2029">
        <f t="shared" si="0"/>
        <v>125908</v>
      </c>
      <c r="I16" s="2030">
        <v>99819</v>
      </c>
      <c r="J16" s="2027"/>
      <c r="K16" s="2030"/>
      <c r="L16" s="2029">
        <f t="shared" si="1"/>
        <v>99819</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472688</v>
      </c>
      <c r="F19" s="2035">
        <f t="shared" si="2"/>
        <v>0</v>
      </c>
      <c r="G19" s="2035">
        <f t="shared" ref="G19" si="3">SUM(G12:G17)-G18</f>
        <v>0</v>
      </c>
      <c r="H19" s="2035">
        <f t="shared" si="2"/>
        <v>472688</v>
      </c>
      <c r="I19" s="2035">
        <f t="shared" si="2"/>
        <v>459110</v>
      </c>
      <c r="J19" s="2035">
        <f t="shared" si="2"/>
        <v>0</v>
      </c>
      <c r="K19" s="2035">
        <f t="shared" si="2"/>
        <v>0</v>
      </c>
      <c r="L19" s="2035">
        <f t="shared" si="2"/>
        <v>459110</v>
      </c>
      <c r="M19" s="899"/>
      <c r="N19" s="1997"/>
    </row>
    <row r="20" spans="1:14" ht="15.75" thickTop="1" x14ac:dyDescent="0.25">
      <c r="A20" s="2022">
        <v>9</v>
      </c>
      <c r="B20" s="2513" t="s">
        <v>2031</v>
      </c>
      <c r="C20" s="2513"/>
      <c r="D20" s="2514"/>
      <c r="E20" s="2036"/>
      <c r="F20" s="2036"/>
      <c r="G20" s="2036"/>
      <c r="H20" s="2036"/>
      <c r="I20" s="2036"/>
      <c r="J20" s="2036"/>
      <c r="K20" s="2036"/>
      <c r="L20" s="2037">
        <f>IF(AND(H19&gt;0,L19&gt;0),(((L19-H19)/H19)),"Enter Budget Data")</f>
        <v>-2.872507869884575E-2</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6"/>
      <c r="D27" s="2526"/>
      <c r="E27" s="2049"/>
      <c r="F27" s="2511"/>
      <c r="G27" s="2511"/>
      <c r="H27" s="2511"/>
      <c r="I27" s="899"/>
      <c r="J27" s="899"/>
      <c r="K27" s="899"/>
      <c r="L27" s="899"/>
      <c r="M27" s="899"/>
      <c r="N27" s="1997"/>
    </row>
    <row r="28" spans="1:14" x14ac:dyDescent="0.25">
      <c r="A28" s="1995"/>
      <c r="B28" s="2043"/>
      <c r="C28" s="2050" t="s">
        <v>1026</v>
      </c>
      <c r="D28" s="2051"/>
      <c r="E28" s="2052"/>
      <c r="F28" s="2527" t="s">
        <v>1495</v>
      </c>
      <c r="G28" s="2527"/>
      <c r="H28" s="2527"/>
      <c r="I28" s="899"/>
      <c r="J28" s="899"/>
      <c r="K28" s="899"/>
      <c r="L28" s="899"/>
      <c r="M28" s="899"/>
      <c r="N28" s="1997"/>
    </row>
    <row r="29" spans="1:14" x14ac:dyDescent="0.25">
      <c r="A29" s="1995"/>
      <c r="B29" s="2043"/>
      <c r="C29" s="2528"/>
      <c r="D29" s="2528"/>
      <c r="E29" s="898"/>
      <c r="F29" s="2528"/>
      <c r="G29" s="2528"/>
      <c r="H29" s="2528"/>
      <c r="I29" s="899"/>
      <c r="J29" s="899"/>
      <c r="K29" s="899"/>
      <c r="L29" s="899"/>
      <c r="M29" s="899"/>
      <c r="N29" s="1997"/>
    </row>
    <row r="30" spans="1:14" x14ac:dyDescent="0.25">
      <c r="A30" s="1995"/>
      <c r="B30" s="2043"/>
      <c r="C30" s="2053" t="s">
        <v>1547</v>
      </c>
      <c r="D30" s="899"/>
      <c r="E30" s="2054"/>
      <c r="F30" s="2529" t="s">
        <v>1496</v>
      </c>
      <c r="G30" s="2529"/>
      <c r="H30" s="2529"/>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0" t="s">
        <v>2035</v>
      </c>
      <c r="D34" s="2530"/>
      <c r="E34" s="2530"/>
      <c r="F34" s="2530"/>
      <c r="G34" s="2530"/>
      <c r="H34" s="2530"/>
      <c r="I34" s="2530"/>
      <c r="J34" s="2530"/>
      <c r="K34" s="2059"/>
      <c r="L34" s="899"/>
      <c r="M34" s="899"/>
      <c r="N34" s="1997"/>
    </row>
    <row r="35" spans="1:14" x14ac:dyDescent="0.25">
      <c r="A35" s="1995"/>
      <c r="B35" s="899"/>
      <c r="C35" s="2530"/>
      <c r="D35" s="2530"/>
      <c r="E35" s="2530"/>
      <c r="F35" s="2530"/>
      <c r="G35" s="2530"/>
      <c r="H35" s="2530"/>
      <c r="I35" s="2530"/>
      <c r="J35" s="2530"/>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0" t="s">
        <v>2036</v>
      </c>
      <c r="D37" s="2530"/>
      <c r="E37" s="2530"/>
      <c r="F37" s="2530"/>
      <c r="G37" s="2530"/>
      <c r="H37" s="2530"/>
      <c r="I37" s="2530"/>
      <c r="J37" s="2530"/>
      <c r="K37" s="2059"/>
      <c r="L37" s="887"/>
      <c r="M37" s="899"/>
      <c r="N37" s="1997"/>
    </row>
    <row r="38" spans="1:14" x14ac:dyDescent="0.25">
      <c r="A38" s="1995"/>
      <c r="B38" s="899"/>
      <c r="C38" s="2530"/>
      <c r="D38" s="2530"/>
      <c r="E38" s="2530"/>
      <c r="F38" s="2530"/>
      <c r="G38" s="2530"/>
      <c r="H38" s="2530"/>
      <c r="I38" s="2530"/>
      <c r="J38" s="2530"/>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1" t="s">
        <v>2037</v>
      </c>
      <c r="D40" s="2532"/>
      <c r="E40" s="2532"/>
      <c r="F40" s="2532"/>
      <c r="G40" s="2532"/>
      <c r="H40" s="2532"/>
      <c r="I40" s="2532"/>
      <c r="J40" s="2532"/>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3" t="s">
        <v>2038</v>
      </c>
      <c r="B43" s="2534"/>
      <c r="C43" s="2534"/>
      <c r="D43" s="2534"/>
      <c r="E43" s="2534"/>
      <c r="F43" s="2534"/>
      <c r="G43" s="2534"/>
      <c r="H43" s="2534"/>
      <c r="I43" s="2534"/>
      <c r="J43" s="2534"/>
      <c r="K43" s="2534"/>
      <c r="L43" s="2534"/>
      <c r="M43" s="2534"/>
      <c r="N43" s="2535"/>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36" t="s">
        <v>2040</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4" t="str">
        <f>J6</f>
        <v xml:space="preserve">   Peotone CUSD 207U</v>
      </c>
      <c r="M52" s="2524"/>
      <c r="N52" s="2525"/>
    </row>
    <row r="53" spans="1:14" x14ac:dyDescent="0.25">
      <c r="A53" s="2067"/>
      <c r="B53" s="2068"/>
      <c r="C53" s="2068"/>
      <c r="D53" s="2068"/>
      <c r="E53" s="2068"/>
      <c r="F53" s="2068"/>
      <c r="G53" s="2068"/>
      <c r="H53" s="2068"/>
      <c r="I53" s="2068"/>
      <c r="J53" s="2068"/>
      <c r="K53" s="2000" t="s">
        <v>369</v>
      </c>
      <c r="L53" s="2541" t="str">
        <f>J7</f>
        <v xml:space="preserve">56099207U26  </v>
      </c>
      <c r="M53" s="2541"/>
      <c r="N53" s="2542"/>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3"/>
      <c r="B55" s="2544"/>
      <c r="C55" s="2544"/>
      <c r="D55" s="2077"/>
      <c r="E55" s="2077"/>
      <c r="F55" s="2077"/>
      <c r="G55" s="2545" t="s">
        <v>2043</v>
      </c>
      <c r="H55" s="2545"/>
      <c r="I55" s="2545"/>
      <c r="J55" s="2545"/>
      <c r="K55" s="2545"/>
      <c r="L55" s="2545"/>
      <c r="M55" s="2545"/>
      <c r="N55" s="2546"/>
    </row>
    <row r="56" spans="1:14" ht="64.5" x14ac:dyDescent="0.25">
      <c r="A56" s="2547" t="s">
        <v>2044</v>
      </c>
      <c r="B56" s="2548"/>
      <c r="C56" s="2549"/>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50" t="s">
        <v>296</v>
      </c>
      <c r="B57" s="2551"/>
      <c r="C57" s="2551"/>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2" t="s">
        <v>2055</v>
      </c>
      <c r="B58" s="2553"/>
      <c r="C58" s="2553"/>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39" t="s">
        <v>297</v>
      </c>
      <c r="B59" s="2540"/>
      <c r="C59" s="2540"/>
      <c r="D59" s="2087">
        <v>2363</v>
      </c>
      <c r="E59" s="2082">
        <f>'Expenditures 15-22'!K321</f>
        <v>522</v>
      </c>
      <c r="F59" s="2083"/>
      <c r="G59" s="2088"/>
      <c r="H59" s="2089"/>
      <c r="I59" s="2089"/>
      <c r="J59" s="2089"/>
      <c r="K59" s="2089"/>
      <c r="L59" s="2089"/>
      <c r="M59" s="2089">
        <v>522</v>
      </c>
      <c r="N59" s="2086">
        <f t="shared" ref="N59:N67" si="4">IF((SUM(G59:M59))=E59,SUM(G59:M59),"Column N does not agree with Column E")</f>
        <v>522</v>
      </c>
    </row>
    <row r="60" spans="1:14" ht="24.75" customHeight="1" x14ac:dyDescent="0.25">
      <c r="A60" s="2539" t="s">
        <v>236</v>
      </c>
      <c r="B60" s="2540"/>
      <c r="C60" s="2540"/>
      <c r="D60" s="2087">
        <v>2364</v>
      </c>
      <c r="E60" s="2082">
        <f>'Expenditures 15-22'!K322</f>
        <v>195202</v>
      </c>
      <c r="F60" s="2083"/>
      <c r="G60" s="2088"/>
      <c r="H60" s="2089"/>
      <c r="I60" s="2089"/>
      <c r="J60" s="2089"/>
      <c r="K60" s="2089"/>
      <c r="L60" s="2089"/>
      <c r="M60" s="2089">
        <v>195202</v>
      </c>
      <c r="N60" s="2086">
        <f t="shared" si="4"/>
        <v>195202</v>
      </c>
    </row>
    <row r="61" spans="1:14" ht="24.75" customHeight="1" x14ac:dyDescent="0.25">
      <c r="A61" s="2539" t="s">
        <v>697</v>
      </c>
      <c r="B61" s="2540"/>
      <c r="C61" s="2540"/>
      <c r="D61" s="2087">
        <v>2365</v>
      </c>
      <c r="E61" s="2082">
        <f>'Expenditures 15-22'!K323</f>
        <v>2071</v>
      </c>
      <c r="F61" s="2083"/>
      <c r="G61" s="2088"/>
      <c r="H61" s="2089"/>
      <c r="I61" s="2089"/>
      <c r="J61" s="2089"/>
      <c r="K61" s="2089"/>
      <c r="L61" s="2089"/>
      <c r="M61" s="2089">
        <v>2071</v>
      </c>
      <c r="N61" s="2086">
        <f t="shared" si="4"/>
        <v>2071</v>
      </c>
    </row>
    <row r="62" spans="1:14" ht="24.75" customHeight="1" x14ac:dyDescent="0.25">
      <c r="A62" s="2539" t="s">
        <v>237</v>
      </c>
      <c r="B62" s="2540"/>
      <c r="C62" s="2540"/>
      <c r="D62" s="2087">
        <v>2366</v>
      </c>
      <c r="E62" s="2082">
        <f>'Expenditures 15-22'!K324</f>
        <v>0</v>
      </c>
      <c r="F62" s="2083"/>
      <c r="G62" s="2088"/>
      <c r="H62" s="2089"/>
      <c r="I62" s="2089"/>
      <c r="J62" s="2089"/>
      <c r="K62" s="2089"/>
      <c r="L62" s="2089"/>
      <c r="M62" s="2089"/>
      <c r="N62" s="2086">
        <f t="shared" si="4"/>
        <v>0</v>
      </c>
    </row>
    <row r="63" spans="1:14" ht="24.75" customHeight="1" x14ac:dyDescent="0.25">
      <c r="A63" s="2552" t="s">
        <v>1022</v>
      </c>
      <c r="B63" s="2553"/>
      <c r="C63" s="2553"/>
      <c r="D63" s="2087">
        <v>2367</v>
      </c>
      <c r="E63" s="2082">
        <f>'Expenditures 15-22'!K325</f>
        <v>5870</v>
      </c>
      <c r="F63" s="2083"/>
      <c r="G63" s="2088"/>
      <c r="H63" s="2089"/>
      <c r="I63" s="2089"/>
      <c r="J63" s="2089"/>
      <c r="K63" s="2089"/>
      <c r="L63" s="2089"/>
      <c r="M63" s="2089">
        <v>5870</v>
      </c>
      <c r="N63" s="2086">
        <f t="shared" si="4"/>
        <v>5870</v>
      </c>
    </row>
    <row r="64" spans="1:14" ht="24.75" customHeight="1" x14ac:dyDescent="0.25">
      <c r="A64" s="2539" t="s">
        <v>1023</v>
      </c>
      <c r="B64" s="2540"/>
      <c r="C64" s="2540"/>
      <c r="D64" s="2087">
        <v>2368</v>
      </c>
      <c r="E64" s="2082">
        <f>'Expenditures 15-22'!K326</f>
        <v>0</v>
      </c>
      <c r="F64" s="2083"/>
      <c r="G64" s="2088"/>
      <c r="H64" s="2089"/>
      <c r="I64" s="2089"/>
      <c r="J64" s="2089"/>
      <c r="K64" s="2089"/>
      <c r="L64" s="2089"/>
      <c r="M64" s="2089"/>
      <c r="N64" s="2086">
        <f t="shared" si="4"/>
        <v>0</v>
      </c>
    </row>
    <row r="65" spans="1:14" ht="24" customHeight="1" x14ac:dyDescent="0.25">
      <c r="A65" s="2539" t="s">
        <v>965</v>
      </c>
      <c r="B65" s="2540"/>
      <c r="C65" s="2540"/>
      <c r="D65" s="2087">
        <v>2369</v>
      </c>
      <c r="E65" s="2082">
        <f>'Expenditures 15-22'!K327</f>
        <v>0</v>
      </c>
      <c r="F65" s="2083"/>
      <c r="G65" s="2088"/>
      <c r="H65" s="2089"/>
      <c r="I65" s="2089"/>
      <c r="J65" s="2089"/>
      <c r="K65" s="2089"/>
      <c r="L65" s="2089"/>
      <c r="M65" s="2089"/>
      <c r="N65" s="2086">
        <f t="shared" si="4"/>
        <v>0</v>
      </c>
    </row>
    <row r="66" spans="1:14" ht="24.75" customHeight="1" x14ac:dyDescent="0.25">
      <c r="A66" s="2539" t="s">
        <v>469</v>
      </c>
      <c r="B66" s="2540"/>
      <c r="C66" s="2540"/>
      <c r="D66" s="2087">
        <v>2371</v>
      </c>
      <c r="E66" s="2082">
        <f>'Expenditures 15-22'!K328</f>
        <v>0</v>
      </c>
      <c r="F66" s="2083"/>
      <c r="G66" s="2088"/>
      <c r="H66" s="2089"/>
      <c r="I66" s="2089"/>
      <c r="J66" s="2089"/>
      <c r="K66" s="2089"/>
      <c r="L66" s="2089"/>
      <c r="M66" s="2089"/>
      <c r="N66" s="2086">
        <f t="shared" si="4"/>
        <v>0</v>
      </c>
    </row>
    <row r="67" spans="1:14" ht="24.75" customHeight="1" x14ac:dyDescent="0.25">
      <c r="A67" s="2558" t="s">
        <v>2056</v>
      </c>
      <c r="B67" s="2559"/>
      <c r="C67" s="2559"/>
      <c r="D67" s="2090">
        <v>2372</v>
      </c>
      <c r="E67" s="2082">
        <f>'Expenditures 15-22'!K329</f>
        <v>0</v>
      </c>
      <c r="F67" s="2083"/>
      <c r="G67" s="2091"/>
      <c r="H67" s="2092"/>
      <c r="I67" s="2092"/>
      <c r="J67" s="2092"/>
      <c r="K67" s="2092"/>
      <c r="L67" s="2092"/>
      <c r="M67" s="2092"/>
      <c r="N67" s="2086">
        <f t="shared" si="4"/>
        <v>0</v>
      </c>
    </row>
    <row r="68" spans="1:14" x14ac:dyDescent="0.25">
      <c r="A68" s="2560" t="s">
        <v>1153</v>
      </c>
      <c r="B68" s="2561"/>
      <c r="C68" s="2561"/>
      <c r="D68" s="2077"/>
      <c r="E68" s="2093">
        <f>SUM(E57:E67)</f>
        <v>203665</v>
      </c>
      <c r="F68" s="2094"/>
      <c r="G68" s="2093">
        <f t="shared" ref="G68:N68" si="5">SUM(G57:G67)</f>
        <v>0</v>
      </c>
      <c r="H68" s="2093">
        <f t="shared" si="5"/>
        <v>0</v>
      </c>
      <c r="I68" s="2093">
        <f t="shared" si="5"/>
        <v>0</v>
      </c>
      <c r="J68" s="2093">
        <f t="shared" si="5"/>
        <v>0</v>
      </c>
      <c r="K68" s="2093">
        <f t="shared" si="5"/>
        <v>0</v>
      </c>
      <c r="L68" s="2093">
        <f t="shared" si="5"/>
        <v>0</v>
      </c>
      <c r="M68" s="2093">
        <f t="shared" si="5"/>
        <v>203665</v>
      </c>
      <c r="N68" s="2095">
        <f t="shared" si="5"/>
        <v>203665</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54" t="s">
        <v>2060</v>
      </c>
      <c r="I70" s="2554"/>
      <c r="J70" s="2554"/>
      <c r="K70" s="2097"/>
      <c r="L70" s="2554" t="s">
        <v>2061</v>
      </c>
      <c r="M70" s="2554"/>
      <c r="N70" s="2562"/>
    </row>
    <row r="71" spans="1:14" ht="42.75" customHeight="1" x14ac:dyDescent="0.25">
      <c r="A71" s="2096"/>
      <c r="B71" s="2097"/>
      <c r="C71" s="2097"/>
      <c r="D71" s="2097"/>
      <c r="E71" s="2097"/>
      <c r="F71" s="2097"/>
      <c r="G71" s="2097"/>
      <c r="H71" s="2554" t="s">
        <v>2062</v>
      </c>
      <c r="I71" s="2554"/>
      <c r="J71" s="2554"/>
      <c r="K71" s="2097"/>
      <c r="L71" s="2555" t="s">
        <v>2063</v>
      </c>
      <c r="M71" s="2555"/>
      <c r="N71" s="2556"/>
    </row>
    <row r="72" spans="1:14" ht="52.5" customHeight="1" thickBot="1" x14ac:dyDescent="0.3">
      <c r="A72" s="2101"/>
      <c r="B72" s="2102"/>
      <c r="C72" s="2102"/>
      <c r="D72" s="2102"/>
      <c r="E72" s="2102"/>
      <c r="F72" s="2102"/>
      <c r="G72" s="2102"/>
      <c r="H72" s="2557" t="s">
        <v>2064</v>
      </c>
      <c r="I72" s="2557"/>
      <c r="J72" s="2557"/>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FB5982A-E764-41F4-BD54-418FD72898E1}"/>
    <dataValidation allowBlank="1" showInputMessage="1" showErrorMessage="1" prompt="Link cell K328 from &quot;Expenditures 15-22&quot; tab" sqref="E66" xr:uid="{69C90E33-7A46-40FB-B59A-9CAA5F8607D8}"/>
    <dataValidation allowBlank="1" showInputMessage="1" showErrorMessage="1" prompt="Link cell K327 from &quot;Expenditures 15-22&quot; tab" sqref="E65" xr:uid="{018E3C2F-03AB-4501-A4CA-456A7FCB761B}"/>
    <dataValidation allowBlank="1" showInputMessage="1" showErrorMessage="1" prompt="Link cell K326 from &quot;Expenditures 15-22&quot; tab" sqref="E64" xr:uid="{06E5B99C-76E7-4AB5-861D-7DFCA1C6EA9C}"/>
    <dataValidation allowBlank="1" showInputMessage="1" showErrorMessage="1" prompt="Link cell K325 from &quot;Expenditures 15-22&quot; tab" sqref="E63" xr:uid="{7CF6B2A3-C113-49F7-B626-1F627CE69872}"/>
    <dataValidation allowBlank="1" showInputMessage="1" showErrorMessage="1" prompt="Link cell K324 from &quot;Expenditures 15-22&quot; tab" sqref="E62" xr:uid="{A01EA605-6A35-4996-8BF4-1C22794E5F57}"/>
    <dataValidation allowBlank="1" showInputMessage="1" showErrorMessage="1" prompt="Link cell K323 from &quot;Expenditures 15-22&quot; tab" sqref="E61" xr:uid="{DAE27B77-3477-4B6A-B22D-C381398AFE97}"/>
    <dataValidation allowBlank="1" showInputMessage="1" showErrorMessage="1" prompt="Link cell K322 from &quot;Expenditures 15-22&quot; tab" sqref="E60" xr:uid="{900B0DDF-DFDF-4647-BC28-7834541F9158}"/>
    <dataValidation allowBlank="1" showInputMessage="1" showErrorMessage="1" prompt="Link cell K321 from &quot;Expenditures 15-22&quot; tab" sqref="E59" xr:uid="{5406533E-0B73-4F22-8E57-3C7BEC369B30}"/>
    <dataValidation allowBlank="1" showInputMessage="1" showErrorMessage="1" prompt="Link cell K320 from &quot;Expenditures 15-22&quot; tab" sqref="E58" xr:uid="{D3B1610F-B697-4C5E-BEF3-29A50BBAB068}"/>
    <dataValidation allowBlank="1" showInputMessage="1" showErrorMessage="1" prompt="Link cell K319 from &quot;Expenditures 15-22&quot; tab" sqref="E57" xr:uid="{366B3695-D092-42E3-854D-FE72FE78B22E}"/>
    <dataValidation allowBlank="1" showInputMessage="1" showErrorMessage="1" prompt="Link cell K122 from &quot;Expenditures 15-22&quot; tab" sqref="F15" xr:uid="{28031831-8C25-4A52-B1E9-1D651F34A275}"/>
    <dataValidation allowBlank="1" showInputMessage="1" showErrorMessage="1" prompt="Link cell K67 from &quot;Expenditures 15-22&quot; tab" sqref="E17" xr:uid="{366A6D6C-928D-4981-BF59-838A0C301A2C}"/>
    <dataValidation allowBlank="1" showInputMessage="1" showErrorMessage="1" prompt="Link cell K64 from &quot;Expenditures 15-22&quot; tab" sqref="E16" xr:uid="{5DF0C738-C03E-43E6-9E65-2097E57B2B8C}"/>
    <dataValidation allowBlank="1" showInputMessage="1" showErrorMessage="1" prompt="Link cell K59 from &quot;Expenditures 15-22&quot; tab" sqref="E15" xr:uid="{9CB501EF-9603-427F-8167-138E51C09E78}"/>
    <dataValidation allowBlank="1" showInputMessage="1" showErrorMessage="1" prompt="Link cell K56 from &quot;Expenditures 15-22&quot; tab" sqref="E14" xr:uid="{983E906B-5548-447D-94DD-48BDEE45732F}"/>
    <dataValidation allowBlank="1" showInputMessage="1" showErrorMessage="1" prompt="Link cell K51 from &quot;Expenditures 15-22&quot; tab" sqref="E13" xr:uid="{D1D19E27-D692-4871-8259-961344C7A37E}"/>
    <dataValidation allowBlank="1" showInputMessage="1" showErrorMessage="1" prompt="Link cell K50 from &quot;Expenditures 15-22&quot; tab " sqref="E12" xr:uid="{57C55504-6AC1-4F6F-A1B7-28F6A533042B}"/>
    <dataValidation allowBlank="1" showInputMessage="1" showErrorMessage="1" prompt="Link cell A13 from &quot;Cover&quot; tab" sqref="J7:L7" xr:uid="{3F77754B-BF2E-4FA8-B2AB-AEEC525A242B}"/>
    <dataValidation allowBlank="1" showInputMessage="1" showErrorMessage="1" prompt="Link cell A17 from &quot;Cover&quot; tab" sqref="J6:L6" xr:uid="{391AE336-BA79-4441-BF61-BCA63B420D0B}"/>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Peotone CUSD 207U</v>
      </c>
    </row>
    <row r="65" spans="2:2" x14ac:dyDescent="0.2">
      <c r="B65" s="894" t="str">
        <f>COVER!A13</f>
        <v xml:space="preserve">56099207U26  </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3</xdr:row>
                <xdr:rowOff>0</xdr:rowOff>
              </from>
              <to>
                <xdr:col>1</xdr:col>
                <xdr:colOff>933450</xdr:colOff>
                <xdr:row>7</xdr:row>
                <xdr:rowOff>142875</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12659799</v>
      </c>
      <c r="C8" s="1871">
        <f>'Acct Summary 7-8'!D8</f>
        <v>1353509</v>
      </c>
      <c r="D8" s="1871">
        <f>'Acct Summary 7-8'!F8</f>
        <v>1651066</v>
      </c>
      <c r="E8" s="1871">
        <f>'Acct Summary 7-8'!I8</f>
        <v>152075</v>
      </c>
      <c r="F8" s="1871">
        <f>SUM(B8:E8)</f>
        <v>15816449</v>
      </c>
    </row>
    <row r="9" spans="1:8" s="903" customFormat="1" ht="14.25" customHeight="1" thickBot="1" x14ac:dyDescent="0.25">
      <c r="A9" s="902" t="s">
        <v>1355</v>
      </c>
      <c r="B9" s="1872">
        <f>'Acct Summary 7-8'!C17</f>
        <v>12874304</v>
      </c>
      <c r="C9" s="1872">
        <f>'Acct Summary 7-8'!D17</f>
        <v>2385880</v>
      </c>
      <c r="D9" s="1872">
        <f>'Acct Summary 7-8'!F17</f>
        <v>1703136</v>
      </c>
      <c r="E9" s="1871"/>
      <c r="F9" s="1871">
        <f>SUM(B9:E9)</f>
        <v>16963320</v>
      </c>
    </row>
    <row r="10" spans="1:8" s="903" customFormat="1" ht="14.25" thickTop="1" thickBot="1" x14ac:dyDescent="0.25">
      <c r="A10" s="904" t="s">
        <v>1356</v>
      </c>
      <c r="B10" s="1873">
        <f>(B8-B9)</f>
        <v>-214505</v>
      </c>
      <c r="C10" s="1873">
        <f>(C8-C9)</f>
        <v>-1032371</v>
      </c>
      <c r="D10" s="1873">
        <f>(D8-D9)</f>
        <v>-52070</v>
      </c>
      <c r="E10" s="1872">
        <f>(E8-E9)</f>
        <v>152075</v>
      </c>
      <c r="F10" s="1874">
        <f>SUM(F8-F9)</f>
        <v>-1146871</v>
      </c>
    </row>
    <row r="11" spans="1:8" s="903" customFormat="1" ht="14.25" thickTop="1" thickBot="1" x14ac:dyDescent="0.25">
      <c r="A11" s="905" t="s">
        <v>1906</v>
      </c>
      <c r="B11" s="1875">
        <f>'Acct Summary 7-8'!C81</f>
        <v>5761905</v>
      </c>
      <c r="C11" s="1875">
        <f>'Acct Summary 7-8'!D81</f>
        <v>1333618</v>
      </c>
      <c r="D11" s="1875">
        <f>'Acct Summary 7-8'!F81</f>
        <v>983489</v>
      </c>
      <c r="E11" s="1875">
        <f>'Acct Summary 7-8'!I81</f>
        <v>2599374</v>
      </c>
      <c r="F11" s="1876">
        <f>SUM(B11:E11)</f>
        <v>10678386</v>
      </c>
    </row>
    <row r="12" spans="1:8" ht="16.5" customHeight="1" thickTop="1" x14ac:dyDescent="0.2">
      <c r="A12" s="906"/>
      <c r="B12" s="907"/>
      <c r="C12" s="2568" t="str">
        <f>IF(AND(F10&lt;0,F11&gt;=0,ABS(F10*3)&gt;ABS(F11)),A16,IF(AND(F10&lt;0,F11&gt;0,ABS(F10*3)&lt;=ABS(F11)),A17,IF(AND(F10&lt;0,F11&lt;0),A16,IF(F11=0,A19,A18))))</f>
        <v>Unbalanced -  however, a deficit reduction plan is not required at this time.</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 xml:space="preserve">56099207U26  </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 xml:space="preserve">   Peotone CUSD 207U</v>
      </c>
      <c r="E4" s="1886">
        <v>44119</v>
      </c>
      <c r="F4" s="1887">
        <v>44151</v>
      </c>
      <c r="G4" s="1962">
        <v>101000600</v>
      </c>
    </row>
    <row r="5" spans="1:7" ht="15" x14ac:dyDescent="0.25">
      <c r="A5" t="s">
        <v>699</v>
      </c>
      <c r="B5" s="135" t="str">
        <f>COVER!A38</f>
        <v>STEVE STEIN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36495</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5761905</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5761905</v>
      </c>
      <c r="D92" s="2" t="str">
        <f t="shared" si="0"/>
        <v>Error?</v>
      </c>
      <c r="G92" s="1962">
        <v>102640600</v>
      </c>
    </row>
    <row r="93" spans="1:7" ht="15" x14ac:dyDescent="0.25">
      <c r="A93" s="5">
        <v>32</v>
      </c>
      <c r="B93" s="1890">
        <f>'Assets-Liab 5-6'!C41</f>
        <v>5761905</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1333618</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1333618</v>
      </c>
      <c r="D123" s="2" t="str">
        <f t="shared" si="0"/>
        <v>Error?</v>
      </c>
      <c r="G123" s="1962">
        <v>203000400</v>
      </c>
    </row>
    <row r="124" spans="1:7" ht="15" x14ac:dyDescent="0.25">
      <c r="A124" s="5">
        <v>63</v>
      </c>
      <c r="B124" s="1890">
        <f>'Assets-Liab 5-6'!D41</f>
        <v>1333618</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1945562</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1945562</v>
      </c>
      <c r="D140" s="2" t="str">
        <f t="shared" si="1"/>
        <v>Error?</v>
      </c>
    </row>
    <row r="141" spans="1:7" x14ac:dyDescent="0.2">
      <c r="A141" s="5">
        <v>80</v>
      </c>
      <c r="B141" s="1890">
        <f>'Assets-Liab 5-6'!E41</f>
        <v>1945562</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983489</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983489</v>
      </c>
      <c r="D170" s="2" t="str">
        <f t="shared" si="1"/>
        <v>Error?</v>
      </c>
    </row>
    <row r="171" spans="1:4" x14ac:dyDescent="0.2">
      <c r="A171" s="5">
        <v>110</v>
      </c>
      <c r="B171" s="1890">
        <f>'Assets-Liab 5-6'!F41</f>
        <v>983489</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258996</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258996</v>
      </c>
      <c r="D189" s="2" t="str">
        <f t="shared" si="1"/>
        <v>Error?</v>
      </c>
    </row>
    <row r="190" spans="1:4" x14ac:dyDescent="0.2">
      <c r="A190" s="5">
        <v>129</v>
      </c>
      <c r="B190" s="1890">
        <f>'Assets-Liab 5-6'!G41</f>
        <v>258996</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3929</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3929</v>
      </c>
      <c r="D212" s="2" t="str">
        <f t="shared" si="2"/>
        <v>Error?</v>
      </c>
    </row>
    <row r="213" spans="1:4" x14ac:dyDescent="0.2">
      <c r="A213" s="12">
        <v>152</v>
      </c>
      <c r="B213" s="1890">
        <f>'Assets-Liab 5-6'!H41</f>
        <v>3929</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2973996</v>
      </c>
      <c r="D273" s="2" t="str">
        <f t="shared" si="3"/>
        <v>Error?</v>
      </c>
    </row>
    <row r="274" spans="1:4" x14ac:dyDescent="0.2">
      <c r="A274" s="5">
        <v>213</v>
      </c>
      <c r="B274" s="1890">
        <f>'Assets-Liab 5-6'!M17</f>
        <v>28474702</v>
      </c>
      <c r="D274" s="2" t="str">
        <f t="shared" si="3"/>
        <v>Error?</v>
      </c>
    </row>
    <row r="275" spans="1:4" x14ac:dyDescent="0.2">
      <c r="A275" s="5">
        <v>214</v>
      </c>
      <c r="B275" s="1890">
        <f>'Assets-Liab 5-6'!M18</f>
        <v>1547652</v>
      </c>
      <c r="D275" s="2" t="str">
        <f t="shared" si="3"/>
        <v>Error?</v>
      </c>
    </row>
    <row r="276" spans="1:4" x14ac:dyDescent="0.2">
      <c r="A276" s="5">
        <v>215</v>
      </c>
      <c r="B276" s="1890">
        <f>'Assets-Liab 5-6'!M19</f>
        <v>8331319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41327669</v>
      </c>
      <c r="C279" s="2" t="s">
        <v>569</v>
      </c>
      <c r="D279" s="2" t="str">
        <f t="shared" si="3"/>
        <v>Error?</v>
      </c>
    </row>
    <row r="280" spans="1:4" x14ac:dyDescent="0.2">
      <c r="A280" s="5">
        <v>219</v>
      </c>
      <c r="B280" s="1890">
        <f>'Assets-Liab 5-6'!M40</f>
        <v>41327669</v>
      </c>
      <c r="D280" s="2" t="str">
        <f t="shared" si="3"/>
        <v>Error?</v>
      </c>
    </row>
    <row r="281" spans="1:4" x14ac:dyDescent="0.2">
      <c r="A281" s="5">
        <v>220</v>
      </c>
      <c r="B281" s="1890">
        <f>'Assets-Liab 5-6'!M41</f>
        <v>41327669</v>
      </c>
      <c r="C281" s="2" t="s">
        <v>569</v>
      </c>
      <c r="D281" s="2" t="str">
        <f t="shared" si="3"/>
        <v>Error?</v>
      </c>
    </row>
    <row r="282" spans="1:4" x14ac:dyDescent="0.2">
      <c r="A282" s="5">
        <v>221</v>
      </c>
      <c r="B282" s="1890">
        <f>'Assets-Liab 5-6'!N21</f>
        <v>1940513</v>
      </c>
      <c r="D282" s="2" t="str">
        <f t="shared" si="3"/>
        <v>Error?</v>
      </c>
    </row>
    <row r="283" spans="1:4" x14ac:dyDescent="0.2">
      <c r="A283" s="5">
        <v>222</v>
      </c>
      <c r="B283" s="1890">
        <f>'Assets-Liab 5-6'!N22</f>
        <v>6384487</v>
      </c>
      <c r="D283" s="2" t="str">
        <f t="shared" si="3"/>
        <v>Error?</v>
      </c>
    </row>
    <row r="284" spans="1:4" x14ac:dyDescent="0.2">
      <c r="A284" s="5">
        <v>223</v>
      </c>
      <c r="B284" s="1890">
        <f>'Assets-Liab 5-6'!N23</f>
        <v>8325000</v>
      </c>
      <c r="C284" s="2" t="s">
        <v>569</v>
      </c>
      <c r="D284" s="2" t="str">
        <f t="shared" si="3"/>
        <v>Error?</v>
      </c>
    </row>
    <row r="285" spans="1:4" x14ac:dyDescent="0.2">
      <c r="A285" s="5">
        <v>224</v>
      </c>
      <c r="B285" s="1890">
        <f>'Assets-Liab 5-6'!N36</f>
        <v>8325000</v>
      </c>
      <c r="D285" s="2" t="str">
        <f t="shared" si="3"/>
        <v>Error?</v>
      </c>
    </row>
    <row r="286" spans="1:4" x14ac:dyDescent="0.2">
      <c r="A286" s="10">
        <v>225</v>
      </c>
      <c r="B286" s="1890"/>
      <c r="D286" s="2" t="str">
        <f t="shared" si="3"/>
        <v>OK</v>
      </c>
    </row>
    <row r="287" spans="1:4" x14ac:dyDescent="0.2">
      <c r="A287" s="5">
        <v>226</v>
      </c>
      <c r="B287" s="1890">
        <f>'Assets-Liab 5-6'!N37</f>
        <v>8325000</v>
      </c>
      <c r="C287" s="2" t="s">
        <v>569</v>
      </c>
      <c r="D287" s="2" t="str">
        <f t="shared" si="3"/>
        <v>Error?</v>
      </c>
    </row>
    <row r="288" spans="1:4" x14ac:dyDescent="0.2">
      <c r="A288" s="5">
        <v>227</v>
      </c>
      <c r="B288" s="1890">
        <f>'Assets-Liab 5-6'!N41</f>
        <v>8325000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3924831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133292</v>
      </c>
      <c r="D717" s="2" t="str">
        <f t="shared" si="10"/>
        <v>Error?</v>
      </c>
    </row>
    <row r="718" spans="1:4" x14ac:dyDescent="0.2">
      <c r="A718" s="5">
        <v>657</v>
      </c>
      <c r="B718" s="1890">
        <f>'Expenditures 15-22'!C14</f>
        <v>247003</v>
      </c>
      <c r="D718" s="2" t="str">
        <f t="shared" si="10"/>
        <v>Error?</v>
      </c>
    </row>
    <row r="719" spans="1:4" x14ac:dyDescent="0.2">
      <c r="A719" s="5">
        <v>658</v>
      </c>
      <c r="B719" s="1890">
        <f>'Expenditures 15-22'!C15</f>
        <v>21196</v>
      </c>
      <c r="D719" s="2" t="str">
        <f t="shared" si="10"/>
        <v>Error?</v>
      </c>
    </row>
    <row r="720" spans="1:4" x14ac:dyDescent="0.2">
      <c r="A720" s="5">
        <v>659</v>
      </c>
      <c r="B720" s="1890">
        <f>'Expenditures 15-22'!C33</f>
        <v>6152701</v>
      </c>
      <c r="C720" s="2" t="s">
        <v>569</v>
      </c>
      <c r="D720" s="2" t="str">
        <f t="shared" si="10"/>
        <v>Error?</v>
      </c>
    </row>
    <row r="721" spans="1:4" x14ac:dyDescent="0.2">
      <c r="A721" s="5">
        <v>660</v>
      </c>
      <c r="B721" s="1890">
        <f>'Expenditures 15-22'!C36</f>
        <v>130112</v>
      </c>
      <c r="D721" s="2" t="str">
        <f t="shared" si="10"/>
        <v>Error?</v>
      </c>
    </row>
    <row r="722" spans="1:4" x14ac:dyDescent="0.2">
      <c r="A722" s="5">
        <v>661</v>
      </c>
      <c r="B722" s="1890">
        <f>'Expenditures 15-22'!C37</f>
        <v>169758</v>
      </c>
      <c r="D722" s="2" t="str">
        <f t="shared" si="10"/>
        <v>Error?</v>
      </c>
    </row>
    <row r="723" spans="1:4" x14ac:dyDescent="0.2">
      <c r="A723" s="5">
        <v>662</v>
      </c>
      <c r="B723" s="1890">
        <f>'Expenditures 15-22'!C38</f>
        <v>135520</v>
      </c>
      <c r="D723" s="2" t="str">
        <f t="shared" si="10"/>
        <v>Error?</v>
      </c>
    </row>
    <row r="724" spans="1:4" x14ac:dyDescent="0.2">
      <c r="A724" s="5">
        <v>663</v>
      </c>
      <c r="B724" s="1890">
        <f>'Expenditures 15-22'!C39</f>
        <v>168433</v>
      </c>
      <c r="D724" s="2" t="str">
        <f t="shared" si="10"/>
        <v>Error?</v>
      </c>
    </row>
    <row r="725" spans="1:4" x14ac:dyDescent="0.2">
      <c r="A725" s="5">
        <v>664</v>
      </c>
      <c r="B725" s="1890">
        <f>'Expenditures 15-22'!C40</f>
        <v>175026</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778849</v>
      </c>
      <c r="C727" s="2" t="s">
        <v>569</v>
      </c>
      <c r="D727" s="2" t="str">
        <f t="shared" si="10"/>
        <v>Error?</v>
      </c>
    </row>
    <row r="728" spans="1:4" x14ac:dyDescent="0.2">
      <c r="A728" s="5">
        <v>667</v>
      </c>
      <c r="B728" s="1890">
        <f>'Expenditures 15-22'!C44</f>
        <v>65035</v>
      </c>
      <c r="D728" s="2" t="str">
        <f t="shared" si="10"/>
        <v>Error?</v>
      </c>
    </row>
    <row r="729" spans="1:4" x14ac:dyDescent="0.2">
      <c r="A729" s="5">
        <v>668</v>
      </c>
      <c r="B729" s="1890">
        <f>'Expenditures 15-22'!C45</f>
        <v>55287</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120322</v>
      </c>
      <c r="C731" s="2" t="s">
        <v>569</v>
      </c>
      <c r="D731" s="2" t="str">
        <f t="shared" si="10"/>
        <v>Error?</v>
      </c>
    </row>
    <row r="732" spans="1:4" x14ac:dyDescent="0.2">
      <c r="A732" s="5">
        <v>671</v>
      </c>
      <c r="B732" s="1890">
        <f>'Expenditures 15-22'!C49</f>
        <v>45107</v>
      </c>
      <c r="D732" s="2" t="str">
        <f t="shared" si="10"/>
        <v>Error?</v>
      </c>
    </row>
    <row r="733" spans="1:4" x14ac:dyDescent="0.2">
      <c r="A733" s="5">
        <v>672</v>
      </c>
      <c r="B733" s="1890">
        <f>'Expenditures 15-22'!C50</f>
        <v>163879</v>
      </c>
      <c r="D733" s="2" t="str">
        <f t="shared" si="10"/>
        <v>Error?</v>
      </c>
    </row>
    <row r="734" spans="1:4" x14ac:dyDescent="0.2">
      <c r="A734" s="5">
        <v>673</v>
      </c>
      <c r="B734" s="1890">
        <f>'Expenditures 15-22'!C53</f>
        <v>208986</v>
      </c>
      <c r="C734" s="2" t="s">
        <v>569</v>
      </c>
      <c r="D734" s="2" t="str">
        <f t="shared" si="10"/>
        <v>Error?</v>
      </c>
    </row>
    <row r="735" spans="1:4" x14ac:dyDescent="0.2">
      <c r="A735" s="5">
        <v>674</v>
      </c>
      <c r="B735" s="1890">
        <f>'Expenditures 15-22'!C55</f>
        <v>475012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475012</v>
      </c>
      <c r="C737" s="2" t="s">
        <v>569</v>
      </c>
      <c r="D737" s="2" t="str">
        <f t="shared" si="10"/>
        <v>Error?</v>
      </c>
    </row>
    <row r="738" spans="1:4" x14ac:dyDescent="0.2">
      <c r="A738" s="5">
        <v>677</v>
      </c>
      <c r="B738" s="1890">
        <f>'Expenditures 15-22'!C59</f>
        <v>98000</v>
      </c>
      <c r="D738" s="2" t="str">
        <f t="shared" si="10"/>
        <v>Error?</v>
      </c>
    </row>
    <row r="739" spans="1:4" x14ac:dyDescent="0.2">
      <c r="A739" s="5">
        <v>678</v>
      </c>
      <c r="B739" s="1890">
        <f>'Expenditures 15-22'!C60</f>
        <v>94121</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152812</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344933</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203784</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203784</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2131886</v>
      </c>
      <c r="C755" s="2" t="s">
        <v>569</v>
      </c>
      <c r="D755" s="2" t="str">
        <f t="shared" si="10"/>
        <v>Error?</v>
      </c>
    </row>
    <row r="756" spans="1:4" x14ac:dyDescent="0.2">
      <c r="A756" s="5">
        <v>695</v>
      </c>
      <c r="B756" s="1890">
        <f>'Expenditures 15-22'!C75</f>
        <v>60</v>
      </c>
      <c r="D756" s="2" t="str">
        <f t="shared" si="10"/>
        <v>Error?</v>
      </c>
    </row>
    <row r="757" spans="1:4" x14ac:dyDescent="0.2">
      <c r="A757" s="5">
        <v>696</v>
      </c>
      <c r="B757" s="1890">
        <f>'Expenditures 15-22'!C114</f>
        <v>8284647</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1015610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42749</v>
      </c>
      <c r="D775" s="2" t="str">
        <f t="shared" si="11"/>
        <v>Error?</v>
      </c>
    </row>
    <row r="776" spans="1:4" x14ac:dyDescent="0.2">
      <c r="A776" s="5">
        <v>715</v>
      </c>
      <c r="B776" s="1890">
        <f>'Expenditures 15-22'!D14</f>
        <v>34822</v>
      </c>
      <c r="D776" s="2" t="str">
        <f t="shared" si="11"/>
        <v>Error?</v>
      </c>
    </row>
    <row r="777" spans="1:4" x14ac:dyDescent="0.2">
      <c r="A777" s="5">
        <v>716</v>
      </c>
      <c r="B777" s="1890">
        <f>'Expenditures 15-22'!D15</f>
        <v>4771</v>
      </c>
      <c r="D777" s="2" t="str">
        <f t="shared" si="11"/>
        <v>Error?</v>
      </c>
    </row>
    <row r="778" spans="1:4" x14ac:dyDescent="0.2">
      <c r="A778" s="5">
        <v>717</v>
      </c>
      <c r="B778" s="1890">
        <f>'Expenditures 15-22'!D33</f>
        <v>1552147</v>
      </c>
      <c r="C778" s="2" t="s">
        <v>569</v>
      </c>
      <c r="D778" s="2" t="str">
        <f t="shared" si="11"/>
        <v>Error?</v>
      </c>
    </row>
    <row r="779" spans="1:4" x14ac:dyDescent="0.2">
      <c r="A779" s="5">
        <v>718</v>
      </c>
      <c r="B779" s="1890">
        <f>'Expenditures 15-22'!D36</f>
        <v>42698</v>
      </c>
      <c r="D779" s="2" t="str">
        <f t="shared" si="11"/>
        <v>Error?</v>
      </c>
    </row>
    <row r="780" spans="1:4" x14ac:dyDescent="0.2">
      <c r="A780" s="5">
        <v>719</v>
      </c>
      <c r="B780" s="1890">
        <f>'Expenditures 15-22'!D37</f>
        <v>45952</v>
      </c>
      <c r="D780" s="2" t="str">
        <f t="shared" si="11"/>
        <v>Error?</v>
      </c>
    </row>
    <row r="781" spans="1:4" x14ac:dyDescent="0.2">
      <c r="A781" s="5">
        <v>720</v>
      </c>
      <c r="B781" s="1890">
        <f>'Expenditures 15-22'!D38</f>
        <v>21090</v>
      </c>
      <c r="D781" s="2" t="str">
        <f t="shared" si="11"/>
        <v>Error?</v>
      </c>
    </row>
    <row r="782" spans="1:4" x14ac:dyDescent="0.2">
      <c r="A782" s="5">
        <v>721</v>
      </c>
      <c r="B782" s="1890">
        <f>'Expenditures 15-22'!D39</f>
        <v>33451</v>
      </c>
      <c r="D782" s="2" t="str">
        <f t="shared" si="11"/>
        <v>Error?</v>
      </c>
    </row>
    <row r="783" spans="1:4" x14ac:dyDescent="0.2">
      <c r="A783" s="5">
        <v>722</v>
      </c>
      <c r="B783" s="1890">
        <f>'Expenditures 15-22'!D40</f>
        <v>41809</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185000</v>
      </c>
      <c r="C785" s="2" t="s">
        <v>569</v>
      </c>
      <c r="D785" s="2" t="str">
        <f t="shared" si="11"/>
        <v>Error?</v>
      </c>
    </row>
    <row r="786" spans="1:4" x14ac:dyDescent="0.2">
      <c r="A786" s="5">
        <v>725</v>
      </c>
      <c r="B786" s="1890">
        <f>'Expenditures 15-22'!D44</f>
        <v>20883</v>
      </c>
      <c r="D786" s="2" t="str">
        <f t="shared" si="11"/>
        <v>Error?</v>
      </c>
    </row>
    <row r="787" spans="1:4" x14ac:dyDescent="0.2">
      <c r="A787" s="5">
        <v>726</v>
      </c>
      <c r="B787" s="1890">
        <f>'Expenditures 15-22'!D45</f>
        <v>12853</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33736</v>
      </c>
      <c r="C789" s="2" t="s">
        <v>569</v>
      </c>
      <c r="D789" s="2" t="str">
        <f t="shared" si="11"/>
        <v>Error?</v>
      </c>
    </row>
    <row r="790" spans="1:4" x14ac:dyDescent="0.2">
      <c r="A790" s="5">
        <v>729</v>
      </c>
      <c r="B790" s="1890">
        <f>'Expenditures 15-22'!D49</f>
        <v>24738</v>
      </c>
      <c r="D790" s="2" t="str">
        <f t="shared" si="11"/>
        <v>Error?</v>
      </c>
    </row>
    <row r="791" spans="1:4" x14ac:dyDescent="0.2">
      <c r="A791" s="5">
        <v>730</v>
      </c>
      <c r="B791" s="1890">
        <f>'Expenditures 15-22'!D50</f>
        <v>45310</v>
      </c>
      <c r="D791" s="2" t="str">
        <f t="shared" si="11"/>
        <v>Error?</v>
      </c>
    </row>
    <row r="792" spans="1:4" x14ac:dyDescent="0.2">
      <c r="A792" s="5">
        <v>731</v>
      </c>
      <c r="B792" s="1890">
        <f>'Expenditures 15-22'!D53</f>
        <v>70048</v>
      </c>
      <c r="C792" s="2" t="s">
        <v>569</v>
      </c>
      <c r="D792" s="2" t="str">
        <f t="shared" si="11"/>
        <v>Error?</v>
      </c>
    </row>
    <row r="793" spans="1:4" x14ac:dyDescent="0.2">
      <c r="A793" s="5">
        <v>732</v>
      </c>
      <c r="B793" s="1890">
        <f>'Expenditures 15-22'!D55</f>
        <v>111156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111156</v>
      </c>
      <c r="C795" s="2" t="s">
        <v>569</v>
      </c>
      <c r="D795" s="2" t="str">
        <f t="shared" si="11"/>
        <v>Error?</v>
      </c>
    </row>
    <row r="796" spans="1:4" x14ac:dyDescent="0.2">
      <c r="A796" s="5">
        <v>735</v>
      </c>
      <c r="B796" s="1890">
        <f>'Expenditures 15-22'!D59</f>
        <v>31454</v>
      </c>
      <c r="D796" s="2" t="str">
        <f t="shared" si="11"/>
        <v>Error?</v>
      </c>
    </row>
    <row r="797" spans="1:4" x14ac:dyDescent="0.2">
      <c r="A797" s="5">
        <v>736</v>
      </c>
      <c r="B797" s="1890">
        <f>'Expenditures 15-22'!D60</f>
        <v>22292</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23025</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76771</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27941</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27941</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504652</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2056799</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8608</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123667</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243465</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11966</v>
      </c>
      <c r="D838" s="2" t="str">
        <f t="shared" si="12"/>
        <v>Error?</v>
      </c>
    </row>
    <row r="839" spans="1:4" x14ac:dyDescent="0.2">
      <c r="A839" s="5">
        <v>778</v>
      </c>
      <c r="B839" s="1890">
        <f>'Expenditures 15-22'!E38</f>
        <v>2019</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850</v>
      </c>
      <c r="D842" s="2" t="str">
        <f t="shared" si="12"/>
        <v>Error?</v>
      </c>
    </row>
    <row r="843" spans="1:4" x14ac:dyDescent="0.2">
      <c r="A843" s="5">
        <v>782</v>
      </c>
      <c r="B843" s="1890">
        <f>'Expenditures 15-22'!E42</f>
        <v>14835</v>
      </c>
      <c r="C843" s="2" t="s">
        <v>569</v>
      </c>
      <c r="D843" s="2" t="str">
        <f t="shared" si="12"/>
        <v>Error?</v>
      </c>
    </row>
    <row r="844" spans="1:4" x14ac:dyDescent="0.2">
      <c r="A844" s="5">
        <v>783</v>
      </c>
      <c r="B844" s="1890">
        <f>'Expenditures 15-22'!E44</f>
        <v>40429</v>
      </c>
      <c r="D844" s="2" t="str">
        <f t="shared" si="12"/>
        <v>Error?</v>
      </c>
    </row>
    <row r="845" spans="1:4" x14ac:dyDescent="0.2">
      <c r="A845" s="5">
        <v>784</v>
      </c>
      <c r="B845" s="1890">
        <f>'Expenditures 15-22'!E45</f>
        <v>3051</v>
      </c>
      <c r="D845" s="2" t="str">
        <f t="shared" si="12"/>
        <v>Error?</v>
      </c>
    </row>
    <row r="846" spans="1:4" x14ac:dyDescent="0.2">
      <c r="A846" s="5">
        <v>785</v>
      </c>
      <c r="B846" s="1890">
        <f>'Expenditures 15-22'!E46</f>
        <v>7926</v>
      </c>
      <c r="D846" s="2" t="str">
        <f t="shared" si="12"/>
        <v>Error?</v>
      </c>
    </row>
    <row r="847" spans="1:4" x14ac:dyDescent="0.2">
      <c r="A847" s="5">
        <v>786</v>
      </c>
      <c r="B847" s="1890">
        <f>'Expenditures 15-22'!E47</f>
        <v>51406</v>
      </c>
      <c r="C847" s="2" t="s">
        <v>569</v>
      </c>
      <c r="D847" s="2" t="str">
        <f t="shared" si="12"/>
        <v>Error?</v>
      </c>
    </row>
    <row r="848" spans="1:4" x14ac:dyDescent="0.2">
      <c r="A848" s="5">
        <v>787</v>
      </c>
      <c r="B848" s="1890">
        <f>'Expenditures 15-22'!E49</f>
        <v>76094</v>
      </c>
      <c r="D848" s="2" t="str">
        <f t="shared" si="12"/>
        <v>Error?</v>
      </c>
    </row>
    <row r="849" spans="1:4" x14ac:dyDescent="0.2">
      <c r="A849" s="5">
        <v>788</v>
      </c>
      <c r="B849" s="1890">
        <f>'Expenditures 15-22'!E50</f>
        <v>1629</v>
      </c>
      <c r="D849" s="2" t="str">
        <f t="shared" si="12"/>
        <v>Error?</v>
      </c>
    </row>
    <row r="850" spans="1:4" x14ac:dyDescent="0.2">
      <c r="A850" s="5">
        <v>789</v>
      </c>
      <c r="B850" s="1890">
        <f>'Expenditures 15-22'!E53</f>
        <v>77723</v>
      </c>
      <c r="C850" s="2" t="s">
        <v>569</v>
      </c>
      <c r="D850" s="2" t="str">
        <f t="shared" si="12"/>
        <v>Error?</v>
      </c>
    </row>
    <row r="851" spans="1:4" x14ac:dyDescent="0.2">
      <c r="A851" s="5">
        <v>790</v>
      </c>
      <c r="B851" s="1890">
        <f>'Expenditures 15-22'!E55</f>
        <v>1020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1020</v>
      </c>
      <c r="C853" s="2" t="s">
        <v>569</v>
      </c>
      <c r="D853" s="2" t="str">
        <f t="shared" si="12"/>
        <v>Error?</v>
      </c>
    </row>
    <row r="854" spans="1:4" x14ac:dyDescent="0.2">
      <c r="A854" s="5">
        <v>793</v>
      </c>
      <c r="B854" s="1890">
        <f>'Expenditures 15-22'!E59</f>
        <v>3593</v>
      </c>
      <c r="D854" s="2" t="str">
        <f t="shared" si="12"/>
        <v>Error?</v>
      </c>
    </row>
    <row r="855" spans="1:4" x14ac:dyDescent="0.2">
      <c r="A855" s="5">
        <v>794</v>
      </c>
      <c r="B855" s="1890">
        <f>'Expenditures 15-22'!E60</f>
        <v>21467</v>
      </c>
      <c r="D855" s="2" t="str">
        <f t="shared" si="12"/>
        <v>Error?</v>
      </c>
    </row>
    <row r="856" spans="1:4" x14ac:dyDescent="0.2">
      <c r="A856" s="5">
        <v>795</v>
      </c>
      <c r="B856" s="1890">
        <f>'Expenditures 15-22'!E61</f>
        <v>31017</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2234</v>
      </c>
      <c r="D858" s="2" t="str">
        <f t="shared" si="12"/>
        <v>Error?</v>
      </c>
    </row>
    <row r="859" spans="1:4" x14ac:dyDescent="0.2">
      <c r="A859" s="5">
        <v>798</v>
      </c>
      <c r="B859" s="1890">
        <f>'Expenditures 15-22'!E64</f>
        <v>110253</v>
      </c>
      <c r="D859" s="2" t="str">
        <f t="shared" si="12"/>
        <v>Error?</v>
      </c>
    </row>
    <row r="860" spans="1:4" x14ac:dyDescent="0.2">
      <c r="A860" s="10">
        <v>799</v>
      </c>
      <c r="B860" s="1890"/>
      <c r="D860" s="2" t="str">
        <f t="shared" si="12"/>
        <v>OK</v>
      </c>
    </row>
    <row r="861" spans="1:4" x14ac:dyDescent="0.2">
      <c r="A861" s="5">
        <v>800</v>
      </c>
      <c r="B861" s="1890">
        <f>'Expenditures 15-22'!E65</f>
        <v>168564</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64962</v>
      </c>
      <c r="D864" s="2" t="str">
        <f t="shared" si="12"/>
        <v>Error?</v>
      </c>
    </row>
    <row r="865" spans="1:4" x14ac:dyDescent="0.2">
      <c r="A865" s="5">
        <v>804</v>
      </c>
      <c r="B865" s="1890">
        <f>'Expenditures 15-22'!E70</f>
        <v>1737</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66699</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380247</v>
      </c>
      <c r="C871" s="2" t="s">
        <v>569</v>
      </c>
      <c r="D871" s="2" t="str">
        <f t="shared" si="12"/>
        <v>Error?</v>
      </c>
    </row>
    <row r="872" spans="1:4" x14ac:dyDescent="0.2">
      <c r="A872" s="5">
        <v>811</v>
      </c>
      <c r="B872" s="1890">
        <f>'Expenditures 15-22'!E75</f>
        <v>950</v>
      </c>
      <c r="D872" s="2" t="str">
        <f t="shared" si="12"/>
        <v>Error?</v>
      </c>
    </row>
    <row r="873" spans="1:4" x14ac:dyDescent="0.2">
      <c r="A873" s="5">
        <v>812</v>
      </c>
      <c r="B873" s="1890">
        <f>'Expenditures 15-22'!E114</f>
        <v>1261255</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335777</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5774</v>
      </c>
      <c r="D891" s="2" t="str">
        <f t="shared" si="12"/>
        <v>Error?</v>
      </c>
    </row>
    <row r="892" spans="1:4" x14ac:dyDescent="0.2">
      <c r="A892" s="5">
        <v>831</v>
      </c>
      <c r="B892" s="1890">
        <f>'Expenditures 15-22'!F14</f>
        <v>28578</v>
      </c>
      <c r="D892" s="2" t="str">
        <f t="shared" si="12"/>
        <v>Error?</v>
      </c>
    </row>
    <row r="893" spans="1:4" x14ac:dyDescent="0.2">
      <c r="A893" s="5">
        <v>832</v>
      </c>
      <c r="B893" s="1890">
        <f>'Expenditures 15-22'!F15</f>
        <v>456</v>
      </c>
      <c r="D893" s="2" t="str">
        <f t="shared" si="12"/>
        <v>Error?</v>
      </c>
    </row>
    <row r="894" spans="1:4" x14ac:dyDescent="0.2">
      <c r="A894" s="5">
        <v>833</v>
      </c>
      <c r="B894" s="1890">
        <f>'Expenditures 15-22'!F33</f>
        <v>388213</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1112</v>
      </c>
      <c r="D896" s="2" t="str">
        <f t="shared" si="13"/>
        <v>Error?</v>
      </c>
    </row>
    <row r="897" spans="1:4" x14ac:dyDescent="0.2">
      <c r="A897" s="5">
        <v>836</v>
      </c>
      <c r="B897" s="1890">
        <f>'Expenditures 15-22'!F38</f>
        <v>2573</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5802</v>
      </c>
      <c r="D900" s="2" t="str">
        <f t="shared" si="13"/>
        <v>Error?</v>
      </c>
    </row>
    <row r="901" spans="1:4" x14ac:dyDescent="0.2">
      <c r="A901" s="5">
        <v>840</v>
      </c>
      <c r="B901" s="1890">
        <f>'Expenditures 15-22'!F42</f>
        <v>9487</v>
      </c>
      <c r="C901" s="2" t="s">
        <v>569</v>
      </c>
      <c r="D901" s="2" t="str">
        <f t="shared" si="13"/>
        <v>Error?</v>
      </c>
    </row>
    <row r="902" spans="1:4" x14ac:dyDescent="0.2">
      <c r="A902" s="5">
        <v>841</v>
      </c>
      <c r="B902" s="1890">
        <f>'Expenditures 15-22'!F44</f>
        <v>15847</v>
      </c>
      <c r="D902" s="2" t="str">
        <f t="shared" si="13"/>
        <v>Error?</v>
      </c>
    </row>
    <row r="903" spans="1:4" x14ac:dyDescent="0.2">
      <c r="A903" s="5">
        <v>842</v>
      </c>
      <c r="B903" s="1890">
        <f>'Expenditures 15-22'!F45</f>
        <v>15198</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31045</v>
      </c>
      <c r="C905" s="2" t="s">
        <v>569</v>
      </c>
      <c r="D905" s="2" t="str">
        <f t="shared" si="13"/>
        <v>Error?</v>
      </c>
    </row>
    <row r="906" spans="1:4" x14ac:dyDescent="0.2">
      <c r="A906" s="5">
        <v>845</v>
      </c>
      <c r="B906" s="1890">
        <f>'Expenditures 15-22'!F49</f>
        <v>17999</v>
      </c>
      <c r="D906" s="2" t="str">
        <f t="shared" si="13"/>
        <v>Error?</v>
      </c>
    </row>
    <row r="907" spans="1:4" x14ac:dyDescent="0.2">
      <c r="A907" s="5">
        <v>846</v>
      </c>
      <c r="B907" s="1890">
        <f>'Expenditures 15-22'!F50</f>
        <v>285</v>
      </c>
      <c r="D907" s="2" t="str">
        <f t="shared" si="13"/>
        <v>Error?</v>
      </c>
    </row>
    <row r="908" spans="1:4" x14ac:dyDescent="0.2">
      <c r="A908" s="5">
        <v>847</v>
      </c>
      <c r="B908" s="1890">
        <f>'Expenditures 15-22'!F53</f>
        <v>18284</v>
      </c>
      <c r="C908" s="2" t="s">
        <v>569</v>
      </c>
      <c r="D908" s="2" t="str">
        <f t="shared" si="13"/>
        <v>Error?</v>
      </c>
    </row>
    <row r="909" spans="1:4" x14ac:dyDescent="0.2">
      <c r="A909" s="5">
        <v>848</v>
      </c>
      <c r="B909" s="1890">
        <f>'Expenditures 15-22'!F55</f>
        <v>2217</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2217</v>
      </c>
      <c r="C911" s="2" t="s">
        <v>569</v>
      </c>
      <c r="D911" s="2" t="str">
        <f t="shared" si="13"/>
        <v>Error?</v>
      </c>
    </row>
    <row r="912" spans="1:4" x14ac:dyDescent="0.2">
      <c r="A912" s="5">
        <v>851</v>
      </c>
      <c r="B912" s="1890">
        <f>'Expenditures 15-22'!F59</f>
        <v>45</v>
      </c>
      <c r="D912" s="2" t="str">
        <f t="shared" si="13"/>
        <v>Error?</v>
      </c>
    </row>
    <row r="913" spans="1:4" x14ac:dyDescent="0.2">
      <c r="A913" s="5">
        <v>852</v>
      </c>
      <c r="B913" s="1890">
        <f>'Expenditures 15-22'!F60</f>
        <v>27097</v>
      </c>
      <c r="D913" s="2" t="str">
        <f t="shared" si="13"/>
        <v>Error?</v>
      </c>
    </row>
    <row r="914" spans="1:4" x14ac:dyDescent="0.2">
      <c r="A914" s="5">
        <v>853</v>
      </c>
      <c r="B914" s="1890">
        <f>'Expenditures 15-22'!F61</f>
        <v>12556</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76530</v>
      </c>
      <c r="D916" s="2" t="str">
        <f t="shared" si="13"/>
        <v>Error?</v>
      </c>
    </row>
    <row r="917" spans="1:4" x14ac:dyDescent="0.2">
      <c r="A917" s="5">
        <v>856</v>
      </c>
      <c r="B917" s="1890">
        <f>'Expenditures 15-22'!F64</f>
        <v>15655</v>
      </c>
      <c r="D917" s="2" t="str">
        <f t="shared" si="13"/>
        <v>Error?</v>
      </c>
    </row>
    <row r="918" spans="1:4" x14ac:dyDescent="0.2">
      <c r="A918" s="10">
        <v>857</v>
      </c>
      <c r="B918" s="1890"/>
      <c r="D918" s="2" t="str">
        <f t="shared" si="13"/>
        <v>OK</v>
      </c>
    </row>
    <row r="919" spans="1:4" x14ac:dyDescent="0.2">
      <c r="A919" s="5">
        <v>858</v>
      </c>
      <c r="B919" s="1890">
        <f>'Expenditures 15-22'!F65</f>
        <v>131883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136147</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136147</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329063</v>
      </c>
      <c r="C929" s="2" t="s">
        <v>569</v>
      </c>
      <c r="D929" s="2" t="str">
        <f t="shared" si="13"/>
        <v>Error?</v>
      </c>
    </row>
    <row r="930" spans="1:4" x14ac:dyDescent="0.2">
      <c r="A930" s="5">
        <v>869</v>
      </c>
      <c r="B930" s="1890">
        <f>'Expenditures 15-22'!F75</f>
        <v>1042</v>
      </c>
      <c r="D930" s="2" t="str">
        <f t="shared" si="13"/>
        <v>Error?</v>
      </c>
    </row>
    <row r="931" spans="1:4" x14ac:dyDescent="0.2">
      <c r="A931" s="5">
        <v>870</v>
      </c>
      <c r="B931" s="1890">
        <f>'Expenditures 15-22'!F114</f>
        <v>718318</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9159</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9159</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9159</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9159</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384</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8219</v>
      </c>
      <c r="D1008" s="2" t="str">
        <f t="shared" si="14"/>
        <v>Error?</v>
      </c>
    </row>
    <row r="1009" spans="1:4" x14ac:dyDescent="0.2">
      <c r="A1009" s="5">
        <v>948</v>
      </c>
      <c r="B1009" s="1890">
        <f>'Expenditures 15-22'!H15</f>
        <v>56</v>
      </c>
      <c r="D1009" s="2" t="str">
        <f t="shared" si="14"/>
        <v>Error?</v>
      </c>
    </row>
    <row r="1010" spans="1:4" x14ac:dyDescent="0.2">
      <c r="A1010" s="5">
        <v>949</v>
      </c>
      <c r="B1010" s="1890">
        <f>'Expenditures 15-22'!H33</f>
        <v>488461</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680</v>
      </c>
      <c r="D1012" s="2" t="str">
        <f t="shared" si="14"/>
        <v>Error?</v>
      </c>
    </row>
    <row r="1013" spans="1:4" x14ac:dyDescent="0.2">
      <c r="A1013" s="5">
        <v>952</v>
      </c>
      <c r="B1013" s="1890">
        <f>'Expenditures 15-22'!H38</f>
        <v>146</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826</v>
      </c>
      <c r="C1017" s="2" t="s">
        <v>569</v>
      </c>
      <c r="D1017" s="2" t="str">
        <f t="shared" si="14"/>
        <v>Error?</v>
      </c>
    </row>
    <row r="1018" spans="1:4" x14ac:dyDescent="0.2">
      <c r="A1018" s="5">
        <v>957</v>
      </c>
      <c r="B1018" s="1890">
        <f>'Expenditures 15-22'!H44</f>
        <v>2257</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2257</v>
      </c>
      <c r="C1021" s="2" t="s">
        <v>569</v>
      </c>
      <c r="D1021" s="2" t="str">
        <f t="shared" si="14"/>
        <v>Error?</v>
      </c>
    </row>
    <row r="1022" spans="1:4" x14ac:dyDescent="0.2">
      <c r="A1022" s="5">
        <v>961</v>
      </c>
      <c r="B1022" s="1890">
        <f>'Expenditures 15-22'!H49</f>
        <v>19776</v>
      </c>
      <c r="D1022" s="2" t="str">
        <f t="shared" si="14"/>
        <v>Error?</v>
      </c>
    </row>
    <row r="1023" spans="1:4" x14ac:dyDescent="0.2">
      <c r="A1023" s="5">
        <v>962</v>
      </c>
      <c r="B1023" s="1890">
        <f>'Expenditures 15-22'!H50</f>
        <v>1261</v>
      </c>
      <c r="D1023" s="2" t="str">
        <f t="shared" ref="D1023:D1086" si="15">IF(ISBLANK(B1023),"OK",IF(A1023-B1023=0,"OK","Error?"))</f>
        <v>Error?</v>
      </c>
    </row>
    <row r="1024" spans="1:4" x14ac:dyDescent="0.2">
      <c r="A1024" s="5">
        <v>963</v>
      </c>
      <c r="B1024" s="1890">
        <f>'Expenditures 15-22'!H53</f>
        <v>21037</v>
      </c>
      <c r="C1024" s="2" t="s">
        <v>569</v>
      </c>
      <c r="D1024" s="2" t="str">
        <f t="shared" si="15"/>
        <v>Error?</v>
      </c>
    </row>
    <row r="1025" spans="1:4" x14ac:dyDescent="0.2">
      <c r="A1025" s="5">
        <v>964</v>
      </c>
      <c r="B1025" s="1890">
        <f>'Expenditures 15-22'!H55</f>
        <v>2937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2937</v>
      </c>
      <c r="C1027" s="2" t="s">
        <v>569</v>
      </c>
      <c r="D1027" s="2" t="str">
        <f t="shared" si="15"/>
        <v>Error?</v>
      </c>
    </row>
    <row r="1028" spans="1:4" x14ac:dyDescent="0.2">
      <c r="A1028" s="5">
        <v>967</v>
      </c>
      <c r="B1028" s="1890">
        <f>'Expenditures 15-22'!H59</f>
        <v>1324</v>
      </c>
      <c r="D1028" s="2" t="str">
        <f t="shared" si="15"/>
        <v>Error?</v>
      </c>
    </row>
    <row r="1029" spans="1:4" x14ac:dyDescent="0.2">
      <c r="A1029" s="5">
        <v>968</v>
      </c>
      <c r="B1029" s="1890">
        <f>'Expenditures 15-22'!H60</f>
        <v>249</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752</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2325</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29382</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517843</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5285859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184369</v>
      </c>
      <c r="C1105" s="2" t="s">
        <v>569</v>
      </c>
      <c r="D1105" s="2" t="str">
        <f t="shared" si="16"/>
        <v>Error?</v>
      </c>
    </row>
    <row r="1106" spans="1:4" x14ac:dyDescent="0.2">
      <c r="A1106" s="5">
        <v>1045</v>
      </c>
      <c r="B1106" s="1890">
        <f>'Expenditures 15-22'!K14</f>
        <v>447739</v>
      </c>
      <c r="C1106" s="2" t="s">
        <v>569</v>
      </c>
      <c r="D1106" s="2" t="str">
        <f t="shared" si="16"/>
        <v>Error?</v>
      </c>
    </row>
    <row r="1107" spans="1:4" x14ac:dyDescent="0.2">
      <c r="A1107" s="5">
        <v>1046</v>
      </c>
      <c r="B1107" s="1890">
        <f>'Expenditures 15-22'!K15</f>
        <v>26479</v>
      </c>
      <c r="C1107" s="2" t="s">
        <v>569</v>
      </c>
      <c r="D1107" s="2" t="str">
        <f t="shared" si="16"/>
        <v>Error?</v>
      </c>
    </row>
    <row r="1108" spans="1:4" x14ac:dyDescent="0.2">
      <c r="A1108" s="5">
        <v>1047</v>
      </c>
      <c r="B1108" s="1890">
        <f>'Expenditures 15-22'!K33</f>
        <v>8833640</v>
      </c>
      <c r="C1108" s="2" t="s">
        <v>569</v>
      </c>
      <c r="D1108" s="2" t="str">
        <f t="shared" si="16"/>
        <v>Error?</v>
      </c>
    </row>
    <row r="1109" spans="1:4" x14ac:dyDescent="0.2">
      <c r="A1109" s="5">
        <v>1048</v>
      </c>
      <c r="B1109" s="1890">
        <f>'Expenditures 15-22'!K36</f>
        <v>172810</v>
      </c>
      <c r="C1109" s="2" t="s">
        <v>569</v>
      </c>
      <c r="D1109" s="2" t="str">
        <f t="shared" si="16"/>
        <v>Error?</v>
      </c>
    </row>
    <row r="1110" spans="1:4" x14ac:dyDescent="0.2">
      <c r="A1110" s="5">
        <v>1049</v>
      </c>
      <c r="B1110" s="1890">
        <f>'Expenditures 15-22'!K37</f>
        <v>229468</v>
      </c>
      <c r="C1110" s="2" t="s">
        <v>569</v>
      </c>
      <c r="D1110" s="2" t="str">
        <f t="shared" si="16"/>
        <v>Error?</v>
      </c>
    </row>
    <row r="1111" spans="1:4" x14ac:dyDescent="0.2">
      <c r="A1111" s="5">
        <v>1050</v>
      </c>
      <c r="B1111" s="1890">
        <f>'Expenditures 15-22'!K38</f>
        <v>161348</v>
      </c>
      <c r="C1111" s="2" t="s">
        <v>569</v>
      </c>
      <c r="D1111" s="2" t="str">
        <f t="shared" si="16"/>
        <v>Error?</v>
      </c>
    </row>
    <row r="1112" spans="1:4" x14ac:dyDescent="0.2">
      <c r="A1112" s="5">
        <v>1051</v>
      </c>
      <c r="B1112" s="1890">
        <f>'Expenditures 15-22'!K39</f>
        <v>201884</v>
      </c>
      <c r="C1112" s="2" t="s">
        <v>569</v>
      </c>
      <c r="D1112" s="2" t="str">
        <f t="shared" si="16"/>
        <v>Error?</v>
      </c>
    </row>
    <row r="1113" spans="1:4" x14ac:dyDescent="0.2">
      <c r="A1113" s="5">
        <v>1052</v>
      </c>
      <c r="B1113" s="1890">
        <f>'Expenditures 15-22'!K40</f>
        <v>216835</v>
      </c>
      <c r="C1113" s="2" t="s">
        <v>569</v>
      </c>
      <c r="D1113" s="2" t="str">
        <f t="shared" si="16"/>
        <v>Error?</v>
      </c>
    </row>
    <row r="1114" spans="1:4" x14ac:dyDescent="0.2">
      <c r="A1114" s="5">
        <v>1053</v>
      </c>
      <c r="B1114" s="1890">
        <f>'Expenditures 15-22'!K41</f>
        <v>6652</v>
      </c>
      <c r="C1114" s="2" t="s">
        <v>569</v>
      </c>
      <c r="D1114" s="2" t="str">
        <f t="shared" si="16"/>
        <v>Error?</v>
      </c>
    </row>
    <row r="1115" spans="1:4" x14ac:dyDescent="0.2">
      <c r="A1115" s="5">
        <v>1054</v>
      </c>
      <c r="B1115" s="1890">
        <f>'Expenditures 15-22'!K42</f>
        <v>988997</v>
      </c>
      <c r="C1115" s="2" t="s">
        <v>569</v>
      </c>
      <c r="D1115" s="2" t="str">
        <f t="shared" si="16"/>
        <v>Error?</v>
      </c>
    </row>
    <row r="1116" spans="1:4" x14ac:dyDescent="0.2">
      <c r="A1116" s="5">
        <v>1055</v>
      </c>
      <c r="B1116" s="1890">
        <f>'Expenditures 15-22'!K44</f>
        <v>148924</v>
      </c>
      <c r="C1116" s="2" t="s">
        <v>569</v>
      </c>
      <c r="D1116" s="2" t="str">
        <f t="shared" si="16"/>
        <v>Error?</v>
      </c>
    </row>
    <row r="1117" spans="1:4" x14ac:dyDescent="0.2">
      <c r="A1117" s="5">
        <v>1056</v>
      </c>
      <c r="B1117" s="1890">
        <f>'Expenditures 15-22'!K45</f>
        <v>86389</v>
      </c>
      <c r="C1117" s="2" t="s">
        <v>569</v>
      </c>
      <c r="D1117" s="2" t="str">
        <f t="shared" si="16"/>
        <v>Error?</v>
      </c>
    </row>
    <row r="1118" spans="1:4" x14ac:dyDescent="0.2">
      <c r="A1118" s="5">
        <v>1057</v>
      </c>
      <c r="B1118" s="1890">
        <f>'Expenditures 15-22'!K46</f>
        <v>7926</v>
      </c>
      <c r="C1118" s="2" t="s">
        <v>569</v>
      </c>
      <c r="D1118" s="2" t="str">
        <f t="shared" si="16"/>
        <v>Error?</v>
      </c>
    </row>
    <row r="1119" spans="1:4" x14ac:dyDescent="0.2">
      <c r="A1119" s="5">
        <v>1058</v>
      </c>
      <c r="B1119" s="1890">
        <f>'Expenditures 15-22'!K47</f>
        <v>243239</v>
      </c>
      <c r="C1119" s="2" t="s">
        <v>569</v>
      </c>
      <c r="D1119" s="2" t="str">
        <f t="shared" si="16"/>
        <v>Error?</v>
      </c>
    </row>
    <row r="1120" spans="1:4" x14ac:dyDescent="0.2">
      <c r="A1120" s="5">
        <v>1059</v>
      </c>
      <c r="B1120" s="1890">
        <f>'Expenditures 15-22'!K49</f>
        <v>183714</v>
      </c>
      <c r="C1120" s="2" t="s">
        <v>569</v>
      </c>
      <c r="D1120" s="2" t="str">
        <f t="shared" si="16"/>
        <v>Error?</v>
      </c>
    </row>
    <row r="1121" spans="1:4" x14ac:dyDescent="0.2">
      <c r="A1121" s="5">
        <v>1060</v>
      </c>
      <c r="B1121" s="1890">
        <f>'Expenditures 15-22'!K50</f>
        <v>212364</v>
      </c>
      <c r="C1121" s="2" t="s">
        <v>569</v>
      </c>
      <c r="D1121" s="2" t="str">
        <f t="shared" si="16"/>
        <v>Error?</v>
      </c>
    </row>
    <row r="1122" spans="1:4" x14ac:dyDescent="0.2">
      <c r="A1122" s="5">
        <v>1061</v>
      </c>
      <c r="B1122" s="1890">
        <f>'Expenditures 15-22'!K53</f>
        <v>396078</v>
      </c>
      <c r="C1122" s="2" t="s">
        <v>569</v>
      </c>
      <c r="D1122" s="2" t="str">
        <f t="shared" si="16"/>
        <v>Error?</v>
      </c>
    </row>
    <row r="1123" spans="1:4" x14ac:dyDescent="0.2">
      <c r="A1123" s="5">
        <v>1062</v>
      </c>
      <c r="B1123" s="1890">
        <f>'Expenditures 15-22'!K55</f>
        <v>592342</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592342</v>
      </c>
      <c r="C1125" s="2" t="s">
        <v>569</v>
      </c>
      <c r="D1125" s="2" t="str">
        <f t="shared" si="16"/>
        <v>Error?</v>
      </c>
    </row>
    <row r="1126" spans="1:4" x14ac:dyDescent="0.2">
      <c r="A1126" s="5">
        <v>1065</v>
      </c>
      <c r="B1126" s="1890">
        <f>'Expenditures 15-22'!K59</f>
        <v>134416</v>
      </c>
      <c r="C1126" s="2" t="s">
        <v>569</v>
      </c>
      <c r="D1126" s="2" t="str">
        <f t="shared" si="16"/>
        <v>Error?</v>
      </c>
    </row>
    <row r="1127" spans="1:4" x14ac:dyDescent="0.2">
      <c r="A1127" s="5">
        <v>1066</v>
      </c>
      <c r="B1127" s="1890">
        <f>'Expenditures 15-22'!K60</f>
        <v>165226</v>
      </c>
      <c r="C1127" s="2" t="s">
        <v>569</v>
      </c>
      <c r="D1127" s="2" t="str">
        <f t="shared" si="16"/>
        <v>Error?</v>
      </c>
    </row>
    <row r="1128" spans="1:4" x14ac:dyDescent="0.2">
      <c r="A1128" s="5">
        <v>1067</v>
      </c>
      <c r="B1128" s="1890">
        <f>'Expenditures 15-22'!K61</f>
        <v>43573</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255353</v>
      </c>
      <c r="C1130" s="2" t="s">
        <v>569</v>
      </c>
      <c r="D1130" s="2" t="str">
        <f t="shared" si="16"/>
        <v>Error?</v>
      </c>
    </row>
    <row r="1131" spans="1:4" x14ac:dyDescent="0.2">
      <c r="A1131" s="5">
        <v>1070</v>
      </c>
      <c r="B1131" s="1890">
        <f>'Expenditures 15-22'!K64</f>
        <v>125908</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724476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455150</v>
      </c>
      <c r="C1136" s="2" t="s">
        <v>569</v>
      </c>
      <c r="D1136" s="2" t="str">
        <f t="shared" si="16"/>
        <v>Error?</v>
      </c>
    </row>
    <row r="1137" spans="1:4" x14ac:dyDescent="0.2">
      <c r="A1137" s="5">
        <v>1076</v>
      </c>
      <c r="B1137" s="1890">
        <f>'Expenditures 15-22'!K70</f>
        <v>1737</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456887</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3402019</v>
      </c>
      <c r="C1143" s="2" t="s">
        <v>569</v>
      </c>
      <c r="D1143" s="2" t="str">
        <f t="shared" si="16"/>
        <v>Error?</v>
      </c>
    </row>
    <row r="1144" spans="1:4" x14ac:dyDescent="0.2">
      <c r="A1144" s="5">
        <v>1083</v>
      </c>
      <c r="B1144" s="1890">
        <f>'Expenditures 15-22'!K75</f>
        <v>2052</v>
      </c>
      <c r="C1144" s="2" t="s">
        <v>569</v>
      </c>
      <c r="D1144" s="2" t="str">
        <f t="shared" si="16"/>
        <v>Error?</v>
      </c>
    </row>
    <row r="1145" spans="1:4" x14ac:dyDescent="0.2">
      <c r="A1145" s="5">
        <v>1084</v>
      </c>
      <c r="B1145" s="1890">
        <f>'Expenditures 15-22'!K102</f>
        <v>636593</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12874304</v>
      </c>
      <c r="C1152" s="2" t="s">
        <v>569</v>
      </c>
      <c r="D1152" s="2" t="str">
        <f t="shared" si="17"/>
        <v>Error?</v>
      </c>
    </row>
    <row r="1153" spans="1:4" x14ac:dyDescent="0.2">
      <c r="A1153" s="5">
        <v>1092</v>
      </c>
      <c r="B1153" s="1890">
        <f>'Expenditures 15-22'!K115</f>
        <v>-214505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541993</v>
      </c>
      <c r="D1221" s="2" t="str">
        <f t="shared" si="18"/>
        <v>Error?</v>
      </c>
    </row>
    <row r="1222" spans="1:4" x14ac:dyDescent="0.2">
      <c r="A1222" s="10">
        <v>1161</v>
      </c>
      <c r="B1222" s="1890"/>
      <c r="D1222" s="2" t="str">
        <f t="shared" si="18"/>
        <v>OK</v>
      </c>
    </row>
    <row r="1223" spans="1:4" x14ac:dyDescent="0.2">
      <c r="A1223" s="5">
        <v>1162</v>
      </c>
      <c r="B1223" s="1890">
        <f>'Expenditures 15-22'!C127</f>
        <v>541993</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541993</v>
      </c>
      <c r="C1225" s="2" t="s">
        <v>569</v>
      </c>
      <c r="D1225" s="2" t="str">
        <f t="shared" si="18"/>
        <v>Error?</v>
      </c>
    </row>
    <row r="1226" spans="1:4" x14ac:dyDescent="0.2">
      <c r="A1226" s="5">
        <v>1165</v>
      </c>
      <c r="B1226" s="1890">
        <f>'Expenditures 15-22'!C151</f>
        <v>541993</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84913</v>
      </c>
      <c r="D1229" s="2" t="str">
        <f t="shared" si="18"/>
        <v>Error?</v>
      </c>
    </row>
    <row r="1230" spans="1:4" x14ac:dyDescent="0.2">
      <c r="A1230" s="10">
        <v>1169</v>
      </c>
      <c r="B1230" s="1890"/>
      <c r="D1230" s="2" t="str">
        <f t="shared" si="18"/>
        <v>OK</v>
      </c>
    </row>
    <row r="1231" spans="1:4" x14ac:dyDescent="0.2">
      <c r="A1231" s="5">
        <v>1170</v>
      </c>
      <c r="B1231" s="1890">
        <f>'Expenditures 15-22'!D127</f>
        <v>84913</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84913</v>
      </c>
      <c r="C1233" s="2" t="s">
        <v>569</v>
      </c>
      <c r="D1233" s="2" t="str">
        <f t="shared" si="18"/>
        <v>Error?</v>
      </c>
    </row>
    <row r="1234" spans="1:4" x14ac:dyDescent="0.2">
      <c r="A1234" s="5">
        <v>1173</v>
      </c>
      <c r="B1234" s="1890">
        <f>'Expenditures 15-22'!D151</f>
        <v>84913</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41632</v>
      </c>
      <c r="D1236" s="2" t="str">
        <f t="shared" si="18"/>
        <v>Error?</v>
      </c>
    </row>
    <row r="1237" spans="1:4" x14ac:dyDescent="0.2">
      <c r="A1237" s="5">
        <v>1176</v>
      </c>
      <c r="B1237" s="1890">
        <f>'Expenditures 15-22'!E124</f>
        <v>902136</v>
      </c>
      <c r="D1237" s="2" t="str">
        <f t="shared" si="18"/>
        <v>Error?</v>
      </c>
    </row>
    <row r="1238" spans="1:4" x14ac:dyDescent="0.2">
      <c r="A1238" s="10">
        <v>1177</v>
      </c>
      <c r="B1238" s="1890"/>
      <c r="D1238" s="2" t="str">
        <f t="shared" si="18"/>
        <v>OK</v>
      </c>
    </row>
    <row r="1239" spans="1:4" x14ac:dyDescent="0.2">
      <c r="A1239" s="5">
        <v>1178</v>
      </c>
      <c r="B1239" s="1890">
        <f>'Expenditures 15-22'!E127</f>
        <v>943768</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943768</v>
      </c>
      <c r="C1241" s="2" t="s">
        <v>569</v>
      </c>
      <c r="D1241" s="2" t="str">
        <f t="shared" si="18"/>
        <v>Error?</v>
      </c>
    </row>
    <row r="1242" spans="1:4" x14ac:dyDescent="0.2">
      <c r="A1242" s="5">
        <v>1181</v>
      </c>
      <c r="B1242" s="1890">
        <f>'Expenditures 15-22'!E151</f>
        <v>943768</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413020</v>
      </c>
      <c r="D1245" s="2" t="str">
        <f t="shared" si="18"/>
        <v>Error?</v>
      </c>
    </row>
    <row r="1246" spans="1:4" x14ac:dyDescent="0.2">
      <c r="A1246" s="10">
        <v>1185</v>
      </c>
      <c r="B1246" s="1890"/>
      <c r="D1246" s="2" t="str">
        <f t="shared" si="18"/>
        <v>OK</v>
      </c>
    </row>
    <row r="1247" spans="1:4" x14ac:dyDescent="0.2">
      <c r="A1247" s="5">
        <v>1186</v>
      </c>
      <c r="B1247" s="1890">
        <f>'Expenditures 15-22'!F127</f>
        <v>413020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413020</v>
      </c>
      <c r="C1249" s="2" t="s">
        <v>569</v>
      </c>
      <c r="D1249" s="2" t="str">
        <f t="shared" si="18"/>
        <v>Error?</v>
      </c>
    </row>
    <row r="1250" spans="1:4" x14ac:dyDescent="0.2">
      <c r="A1250" s="5">
        <v>1189</v>
      </c>
      <c r="B1250" s="1890">
        <f>'Expenditures 15-22'!F151</f>
        <v>413020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377877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377877</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377877</v>
      </c>
      <c r="C1258" s="2" t="s">
        <v>569</v>
      </c>
      <c r="D1258" s="2" t="str">
        <f t="shared" si="18"/>
        <v>Error?</v>
      </c>
    </row>
    <row r="1259" spans="1:4" x14ac:dyDescent="0.2">
      <c r="A1259" s="5">
        <v>1198</v>
      </c>
      <c r="B1259" s="1890">
        <f>'Expenditures 15-22'!G151</f>
        <v>377877</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679</v>
      </c>
      <c r="D1262" s="2" t="str">
        <f t="shared" si="18"/>
        <v>Error?</v>
      </c>
    </row>
    <row r="1263" spans="1:4" x14ac:dyDescent="0.2">
      <c r="A1263" s="10">
        <v>1202</v>
      </c>
      <c r="B1263" s="1890"/>
      <c r="D1263" s="2" t="str">
        <f t="shared" si="18"/>
        <v>OK</v>
      </c>
    </row>
    <row r="1264" spans="1:4" x14ac:dyDescent="0.2">
      <c r="A1264" s="5">
        <v>1203</v>
      </c>
      <c r="B1264" s="1890">
        <f>'Expenditures 15-22'!H127</f>
        <v>679</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679</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679</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41632</v>
      </c>
      <c r="C1275" s="2" t="s">
        <v>569</v>
      </c>
      <c r="D1275" s="2" t="str">
        <f t="shared" si="18"/>
        <v>Error?</v>
      </c>
    </row>
    <row r="1276" spans="1:4" x14ac:dyDescent="0.2">
      <c r="A1276" s="5">
        <v>1215</v>
      </c>
      <c r="B1276" s="1890">
        <f>'Expenditures 15-22'!K124</f>
        <v>2344248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2385880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2385880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2385880</v>
      </c>
      <c r="C1288" s="2" t="s">
        <v>569</v>
      </c>
      <c r="D1288" s="2" t="str">
        <f t="shared" si="19"/>
        <v>Error?</v>
      </c>
    </row>
    <row r="1289" spans="1:4" x14ac:dyDescent="0.2">
      <c r="A1289" s="5">
        <v>1228</v>
      </c>
      <c r="B1289" s="1890">
        <f>'Expenditures 15-22'!K152</f>
        <v>-1032371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386692</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4870000</v>
      </c>
      <c r="D1315" s="2" t="str">
        <f t="shared" si="19"/>
        <v>Error?</v>
      </c>
    </row>
    <row r="1316" spans="1:4" x14ac:dyDescent="0.2">
      <c r="A1316" s="5">
        <v>1255</v>
      </c>
      <c r="B1316" s="1890">
        <f>'Expenditures 15-22'!H171</f>
        <v>2844</v>
      </c>
      <c r="D1316" s="2" t="str">
        <f t="shared" si="19"/>
        <v>Error?</v>
      </c>
    </row>
    <row r="1317" spans="1:4" x14ac:dyDescent="0.2">
      <c r="A1317" s="5">
        <v>1256</v>
      </c>
      <c r="B1317" s="1890">
        <f>'Expenditures 15-22'!H172</f>
        <v>5259536</v>
      </c>
      <c r="C1317" s="2" t="s">
        <v>569</v>
      </c>
      <c r="D1317" s="2" t="str">
        <f t="shared" si="19"/>
        <v>Error?</v>
      </c>
    </row>
    <row r="1318" spans="1:4" x14ac:dyDescent="0.2">
      <c r="A1318" s="5">
        <v>1257</v>
      </c>
      <c r="B1318" s="1890">
        <f>'Expenditures 15-22'!H174</f>
        <v>5259536</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386692</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4870000</v>
      </c>
      <c r="C1329" s="2" t="s">
        <v>569</v>
      </c>
      <c r="D1329" s="2" t="str">
        <f t="shared" si="19"/>
        <v>Error?</v>
      </c>
    </row>
    <row r="1330" spans="1:4" x14ac:dyDescent="0.2">
      <c r="A1330" s="5">
        <v>1269</v>
      </c>
      <c r="B1330" s="1890">
        <f>'Expenditures 15-22'!K171</f>
        <v>2844</v>
      </c>
      <c r="C1330" s="2" t="s">
        <v>569</v>
      </c>
      <c r="D1330" s="2" t="str">
        <f t="shared" si="19"/>
        <v>Error?</v>
      </c>
    </row>
    <row r="1331" spans="1:4" x14ac:dyDescent="0.2">
      <c r="A1331" s="5">
        <v>1270</v>
      </c>
      <c r="B1331" s="1890">
        <f>'Expenditures 15-22'!K172</f>
        <v>5259536</v>
      </c>
      <c r="C1331" s="2" t="s">
        <v>569</v>
      </c>
      <c r="D1331" s="2" t="str">
        <f t="shared" si="19"/>
        <v>Error?</v>
      </c>
    </row>
    <row r="1332" spans="1:4" x14ac:dyDescent="0.2">
      <c r="A1332" s="5">
        <v>1271</v>
      </c>
      <c r="B1332" s="1890">
        <f>'Expenditures 15-22'!K174</f>
        <v>5259536</v>
      </c>
      <c r="C1332" s="2" t="s">
        <v>569</v>
      </c>
      <c r="D1332" s="2" t="str">
        <f t="shared" si="19"/>
        <v>Error?</v>
      </c>
    </row>
    <row r="1333" spans="1:4" x14ac:dyDescent="0.2">
      <c r="A1333" s="5">
        <v>1272</v>
      </c>
      <c r="B1333" s="1890">
        <f>'Expenditures 15-22'!K175</f>
        <v>-875107</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920577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920577</v>
      </c>
      <c r="C1339" s="2" t="s">
        <v>569</v>
      </c>
      <c r="D1339" s="2" t="str">
        <f t="shared" si="19"/>
        <v>Error?</v>
      </c>
    </row>
    <row r="1340" spans="1:4" x14ac:dyDescent="0.2">
      <c r="A1340" s="5">
        <v>1279</v>
      </c>
      <c r="B1340" s="1890">
        <f>'Expenditures 15-22'!C210</f>
        <v>920577</v>
      </c>
      <c r="C1340" s="2" t="s">
        <v>569</v>
      </c>
      <c r="D1340" s="2" t="str">
        <f t="shared" si="19"/>
        <v>Error?</v>
      </c>
    </row>
    <row r="1341" spans="1:4" x14ac:dyDescent="0.2">
      <c r="A1341" s="5">
        <v>1280</v>
      </c>
      <c r="B1341" s="1890">
        <f>'Expenditures 15-22'!D182</f>
        <v>32511</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32511</v>
      </c>
      <c r="C1345" s="2" t="s">
        <v>569</v>
      </c>
      <c r="D1345" s="2" t="str">
        <f t="shared" si="20"/>
        <v>Error?</v>
      </c>
    </row>
    <row r="1346" spans="1:4" x14ac:dyDescent="0.2">
      <c r="A1346" s="5">
        <v>1285</v>
      </c>
      <c r="B1346" s="1890">
        <f>'Expenditures 15-22'!D210</f>
        <v>32511</v>
      </c>
      <c r="C1346" s="2" t="s">
        <v>569</v>
      </c>
      <c r="D1346" s="2" t="str">
        <f t="shared" si="20"/>
        <v>Error?</v>
      </c>
    </row>
    <row r="1347" spans="1:4" x14ac:dyDescent="0.2">
      <c r="A1347" s="5">
        <v>1286</v>
      </c>
      <c r="B1347" s="1890">
        <f>'Expenditures 15-22'!E182</f>
        <v>568058</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568058</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568058</v>
      </c>
      <c r="C1353" s="2" t="s">
        <v>569</v>
      </c>
      <c r="D1353" s="2" t="str">
        <f t="shared" si="20"/>
        <v>Error?</v>
      </c>
    </row>
    <row r="1354" spans="1:4" x14ac:dyDescent="0.2">
      <c r="A1354" s="5">
        <v>1293</v>
      </c>
      <c r="B1354" s="1890">
        <f>'Expenditures 15-22'!F182</f>
        <v>176905</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176905</v>
      </c>
      <c r="C1358" s="2" t="s">
        <v>569</v>
      </c>
      <c r="D1358" s="2" t="str">
        <f t="shared" si="20"/>
        <v>Error?</v>
      </c>
    </row>
    <row r="1359" spans="1:4" x14ac:dyDescent="0.2">
      <c r="A1359" s="5">
        <v>1298</v>
      </c>
      <c r="B1359" s="1890">
        <f>'Expenditures 15-22'!F210</f>
        <v>176905</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5085</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5085</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5085</v>
      </c>
      <c r="C1376" s="2" t="s">
        <v>569</v>
      </c>
      <c r="D1376" s="2" t="str">
        <f t="shared" si="20"/>
        <v>Error?</v>
      </c>
    </row>
    <row r="1377" spans="1:4" x14ac:dyDescent="0.2">
      <c r="A1377" s="5">
        <v>1316</v>
      </c>
      <c r="B1377" s="1890">
        <f>'Expenditures 15-22'!K182</f>
        <v>1703136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1703136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1703136</v>
      </c>
      <c r="C1388" s="2" t="s">
        <v>569</v>
      </c>
      <c r="D1388" s="2" t="str">
        <f t="shared" si="20"/>
        <v>Error?</v>
      </c>
    </row>
    <row r="1389" spans="1:4" x14ac:dyDescent="0.2">
      <c r="A1389" s="5">
        <v>1328</v>
      </c>
      <c r="B1389" s="1890">
        <f>'Expenditures 15-22'!K211</f>
        <v>-52070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1918</v>
      </c>
      <c r="D1407" s="2" t="str">
        <f t="shared" ref="D1407:D1470" si="21">IF(ISBLANK(B1407),"OK",IF(A1407-B1407=0,"OK","Error?"))</f>
        <v>Error?</v>
      </c>
    </row>
    <row r="1408" spans="1:4" x14ac:dyDescent="0.2">
      <c r="A1408" s="5">
        <v>1347</v>
      </c>
      <c r="B1408" s="1890">
        <f>'Expenditures 15-22'!D223</f>
        <v>4513</v>
      </c>
      <c r="D1408" s="2" t="str">
        <f t="shared" si="21"/>
        <v>Error?</v>
      </c>
    </row>
    <row r="1409" spans="1:4" x14ac:dyDescent="0.2">
      <c r="A1409" s="5">
        <v>1348</v>
      </c>
      <c r="B1409" s="1890">
        <f>'Expenditures 15-22'!D224</f>
        <v>896</v>
      </c>
      <c r="D1409" s="2" t="str">
        <f t="shared" si="21"/>
        <v>Error?</v>
      </c>
    </row>
    <row r="1410" spans="1:4" x14ac:dyDescent="0.2">
      <c r="A1410" s="5">
        <v>1349</v>
      </c>
      <c r="B1410" s="1890">
        <f>'Expenditures 15-22'!D229</f>
        <v>212207</v>
      </c>
      <c r="C1410" s="2" t="s">
        <v>569</v>
      </c>
      <c r="D1410" s="2" t="str">
        <f t="shared" si="21"/>
        <v>Error?</v>
      </c>
    </row>
    <row r="1411" spans="1:4" x14ac:dyDescent="0.2">
      <c r="A1411" s="5">
        <v>1350</v>
      </c>
      <c r="B1411" s="1890">
        <f>'Expenditures 15-22'!D232</f>
        <v>1821</v>
      </c>
      <c r="D1411" s="2" t="str">
        <f t="shared" si="21"/>
        <v>Error?</v>
      </c>
    </row>
    <row r="1412" spans="1:4" x14ac:dyDescent="0.2">
      <c r="A1412" s="5">
        <v>1351</v>
      </c>
      <c r="B1412" s="1890">
        <f>'Expenditures 15-22'!D233</f>
        <v>11239</v>
      </c>
      <c r="D1412" s="2" t="str">
        <f t="shared" si="21"/>
        <v>Error?</v>
      </c>
    </row>
    <row r="1413" spans="1:4" x14ac:dyDescent="0.2">
      <c r="A1413" s="5">
        <v>1352</v>
      </c>
      <c r="B1413" s="1890">
        <f>'Expenditures 15-22'!D234</f>
        <v>23009</v>
      </c>
      <c r="D1413" s="2" t="str">
        <f t="shared" si="21"/>
        <v>Error?</v>
      </c>
    </row>
    <row r="1414" spans="1:4" x14ac:dyDescent="0.2">
      <c r="A1414" s="5">
        <v>1353</v>
      </c>
      <c r="B1414" s="1890">
        <f>'Expenditures 15-22'!D235</f>
        <v>2395</v>
      </c>
      <c r="D1414" s="2" t="str">
        <f t="shared" si="21"/>
        <v>Error?</v>
      </c>
    </row>
    <row r="1415" spans="1:4" x14ac:dyDescent="0.2">
      <c r="A1415" s="5">
        <v>1354</v>
      </c>
      <c r="B1415" s="1890">
        <f>'Expenditures 15-22'!D236</f>
        <v>2486</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40950</v>
      </c>
      <c r="C1417" s="2" t="s">
        <v>569</v>
      </c>
      <c r="D1417" s="2" t="str">
        <f t="shared" si="21"/>
        <v>Error?</v>
      </c>
    </row>
    <row r="1418" spans="1:4" x14ac:dyDescent="0.2">
      <c r="A1418" s="5">
        <v>1357</v>
      </c>
      <c r="B1418" s="1890">
        <f>'Expenditures 15-22'!D240</f>
        <v>1910</v>
      </c>
      <c r="D1418" s="2" t="str">
        <f t="shared" si="21"/>
        <v>Error?</v>
      </c>
    </row>
    <row r="1419" spans="1:4" x14ac:dyDescent="0.2">
      <c r="A1419" s="5">
        <v>1358</v>
      </c>
      <c r="B1419" s="1890">
        <f>'Expenditures 15-22'!D241</f>
        <v>627</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2537</v>
      </c>
      <c r="C1421" s="2" t="s">
        <v>569</v>
      </c>
      <c r="D1421" s="2" t="str">
        <f t="shared" si="21"/>
        <v>Error?</v>
      </c>
    </row>
    <row r="1422" spans="1:4" x14ac:dyDescent="0.2">
      <c r="A1422" s="5">
        <v>1361</v>
      </c>
      <c r="B1422" s="1890">
        <f>'Expenditures 15-22'!D245</f>
        <v>9116</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9116</v>
      </c>
      <c r="C1424" s="2" t="s">
        <v>569</v>
      </c>
      <c r="D1424" s="2" t="str">
        <f t="shared" si="21"/>
        <v>Error?</v>
      </c>
    </row>
    <row r="1425" spans="1:4" x14ac:dyDescent="0.2">
      <c r="A1425" s="5">
        <v>1364</v>
      </c>
      <c r="B1425" s="1890">
        <f>'Expenditures 15-22'!D259</f>
        <v>6844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6844</v>
      </c>
      <c r="C1427" s="2" t="s">
        <v>569</v>
      </c>
      <c r="D1427" s="2" t="str">
        <f t="shared" si="21"/>
        <v>Error?</v>
      </c>
    </row>
    <row r="1428" spans="1:4" x14ac:dyDescent="0.2">
      <c r="A1428" s="5">
        <v>1367</v>
      </c>
      <c r="B1428" s="1890">
        <f>'Expenditures 15-22'!D263</f>
        <v>2739</v>
      </c>
      <c r="D1428" s="2" t="str">
        <f t="shared" si="21"/>
        <v>Error?</v>
      </c>
    </row>
    <row r="1429" spans="1:4" x14ac:dyDescent="0.2">
      <c r="A1429" s="5">
        <v>1368</v>
      </c>
      <c r="B1429" s="1890">
        <f>'Expenditures 15-22'!D264</f>
        <v>15374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87401</v>
      </c>
      <c r="D1431" s="2" t="str">
        <f t="shared" si="21"/>
        <v>Error?</v>
      </c>
    </row>
    <row r="1432" spans="1:4" x14ac:dyDescent="0.2">
      <c r="A1432" s="5">
        <v>1371</v>
      </c>
      <c r="B1432" s="1890">
        <f>'Expenditures 15-22'!D267</f>
        <v>155119</v>
      </c>
      <c r="D1432" s="2" t="str">
        <f t="shared" si="21"/>
        <v>Error?</v>
      </c>
    </row>
    <row r="1433" spans="1:4" x14ac:dyDescent="0.2">
      <c r="A1433" s="5">
        <v>1372</v>
      </c>
      <c r="B1433" s="1890">
        <f>'Expenditures 15-22'!D268</f>
        <v>22314</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282947</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25665</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25665</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368059</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580266</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1918</v>
      </c>
      <c r="C1471" s="2" t="s">
        <v>569</v>
      </c>
      <c r="D1471" s="2" t="str">
        <f t="shared" ref="D1471:D1534" si="22">IF(ISBLANK(B1471),"OK",IF(A1471-B1471=0,"OK","Error?"))</f>
        <v>Error?</v>
      </c>
    </row>
    <row r="1472" spans="1:4" x14ac:dyDescent="0.2">
      <c r="A1472" s="5">
        <v>1411</v>
      </c>
      <c r="B1472" s="1890">
        <f>'Expenditures 15-22'!K223</f>
        <v>4513</v>
      </c>
      <c r="C1472" s="2" t="s">
        <v>569</v>
      </c>
      <c r="D1472" s="2" t="str">
        <f t="shared" si="22"/>
        <v>Error?</v>
      </c>
    </row>
    <row r="1473" spans="1:4" x14ac:dyDescent="0.2">
      <c r="A1473" s="5">
        <v>1412</v>
      </c>
      <c r="B1473" s="1890">
        <f>'Expenditures 15-22'!K224</f>
        <v>896</v>
      </c>
      <c r="C1473" s="2" t="s">
        <v>569</v>
      </c>
      <c r="D1473" s="2" t="str">
        <f t="shared" si="22"/>
        <v>Error?</v>
      </c>
    </row>
    <row r="1474" spans="1:4" x14ac:dyDescent="0.2">
      <c r="A1474" s="5">
        <v>1413</v>
      </c>
      <c r="B1474" s="1890">
        <f>'Expenditures 15-22'!K229</f>
        <v>212207</v>
      </c>
      <c r="C1474" s="2" t="s">
        <v>569</v>
      </c>
      <c r="D1474" s="2" t="str">
        <f t="shared" si="22"/>
        <v>Error?</v>
      </c>
    </row>
    <row r="1475" spans="1:4" x14ac:dyDescent="0.2">
      <c r="A1475" s="5">
        <v>1414</v>
      </c>
      <c r="B1475" s="1890">
        <f>'Expenditures 15-22'!K232</f>
        <v>1821</v>
      </c>
      <c r="C1475" s="2" t="s">
        <v>569</v>
      </c>
      <c r="D1475" s="2" t="str">
        <f t="shared" si="22"/>
        <v>Error?</v>
      </c>
    </row>
    <row r="1476" spans="1:4" x14ac:dyDescent="0.2">
      <c r="A1476" s="5">
        <v>1415</v>
      </c>
      <c r="B1476" s="1890">
        <f>'Expenditures 15-22'!K233</f>
        <v>11239</v>
      </c>
      <c r="C1476" s="2" t="s">
        <v>569</v>
      </c>
      <c r="D1476" s="2" t="str">
        <f t="shared" si="22"/>
        <v>Error?</v>
      </c>
    </row>
    <row r="1477" spans="1:4" x14ac:dyDescent="0.2">
      <c r="A1477" s="5">
        <v>1416</v>
      </c>
      <c r="B1477" s="1890">
        <f>'Expenditures 15-22'!K234</f>
        <v>23009</v>
      </c>
      <c r="C1477" s="2" t="s">
        <v>569</v>
      </c>
      <c r="D1477" s="2" t="str">
        <f t="shared" si="22"/>
        <v>Error?</v>
      </c>
    </row>
    <row r="1478" spans="1:4" x14ac:dyDescent="0.2">
      <c r="A1478" s="5">
        <v>1417</v>
      </c>
      <c r="B1478" s="1890">
        <f>'Expenditures 15-22'!K235</f>
        <v>2395</v>
      </c>
      <c r="C1478" s="2" t="s">
        <v>569</v>
      </c>
      <c r="D1478" s="2" t="str">
        <f t="shared" si="22"/>
        <v>Error?</v>
      </c>
    </row>
    <row r="1479" spans="1:4" x14ac:dyDescent="0.2">
      <c r="A1479" s="5">
        <v>1418</v>
      </c>
      <c r="B1479" s="1890">
        <f>'Expenditures 15-22'!K236</f>
        <v>2486</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40950</v>
      </c>
      <c r="C1481" s="2" t="s">
        <v>569</v>
      </c>
      <c r="D1481" s="2" t="str">
        <f t="shared" si="22"/>
        <v>Error?</v>
      </c>
    </row>
    <row r="1482" spans="1:4" x14ac:dyDescent="0.2">
      <c r="A1482" s="5">
        <v>1421</v>
      </c>
      <c r="B1482" s="1890">
        <f>'Expenditures 15-22'!K240</f>
        <v>1910</v>
      </c>
      <c r="C1482" s="2" t="s">
        <v>569</v>
      </c>
      <c r="D1482" s="2" t="str">
        <f t="shared" si="22"/>
        <v>Error?</v>
      </c>
    </row>
    <row r="1483" spans="1:4" x14ac:dyDescent="0.2">
      <c r="A1483" s="5">
        <v>1422</v>
      </c>
      <c r="B1483" s="1890">
        <f>'Expenditures 15-22'!K241</f>
        <v>627</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2537</v>
      </c>
      <c r="C1485" s="2" t="s">
        <v>569</v>
      </c>
      <c r="D1485" s="2" t="str">
        <f t="shared" si="22"/>
        <v>Error?</v>
      </c>
    </row>
    <row r="1486" spans="1:4" x14ac:dyDescent="0.2">
      <c r="A1486" s="5">
        <v>1425</v>
      </c>
      <c r="B1486" s="1890">
        <f>'Expenditures 15-22'!K245</f>
        <v>9116</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9116</v>
      </c>
      <c r="C1488" s="2" t="s">
        <v>569</v>
      </c>
      <c r="D1488" s="2" t="str">
        <f t="shared" si="22"/>
        <v>Error?</v>
      </c>
    </row>
    <row r="1489" spans="1:4" x14ac:dyDescent="0.2">
      <c r="A1489" s="5">
        <v>1428</v>
      </c>
      <c r="B1489" s="1890">
        <f>'Expenditures 15-22'!K259</f>
        <v>6844</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6844</v>
      </c>
      <c r="C1491" s="2" t="s">
        <v>569</v>
      </c>
      <c r="D1491" s="2" t="str">
        <f t="shared" si="22"/>
        <v>Error?</v>
      </c>
    </row>
    <row r="1492" spans="1:4" x14ac:dyDescent="0.2">
      <c r="A1492" s="5">
        <v>1431</v>
      </c>
      <c r="B1492" s="1890">
        <f>'Expenditures 15-22'!K263</f>
        <v>2739</v>
      </c>
      <c r="C1492" s="2" t="s">
        <v>569</v>
      </c>
      <c r="D1492" s="2" t="str">
        <f t="shared" si="22"/>
        <v>Error?</v>
      </c>
    </row>
    <row r="1493" spans="1:4" x14ac:dyDescent="0.2">
      <c r="A1493" s="5">
        <v>1432</v>
      </c>
      <c r="B1493" s="1890">
        <f>'Expenditures 15-22'!K264</f>
        <v>15374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87401</v>
      </c>
      <c r="C1495" s="2" t="s">
        <v>569</v>
      </c>
      <c r="D1495" s="2" t="str">
        <f t="shared" si="22"/>
        <v>Error?</v>
      </c>
    </row>
    <row r="1496" spans="1:4" x14ac:dyDescent="0.2">
      <c r="A1496" s="5">
        <v>1435</v>
      </c>
      <c r="B1496" s="1890">
        <f>'Expenditures 15-22'!K267</f>
        <v>155119</v>
      </c>
      <c r="C1496" s="2" t="s">
        <v>569</v>
      </c>
      <c r="D1496" s="2" t="str">
        <f t="shared" si="22"/>
        <v>Error?</v>
      </c>
    </row>
    <row r="1497" spans="1:4" x14ac:dyDescent="0.2">
      <c r="A1497" s="5">
        <v>1436</v>
      </c>
      <c r="B1497" s="1890">
        <f>'Expenditures 15-22'!K268</f>
        <v>22314</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282947</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25665</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25665</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368059</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580266</v>
      </c>
      <c r="C1517" s="2" t="s">
        <v>569</v>
      </c>
      <c r="D1517" s="2" t="str">
        <f t="shared" si="22"/>
        <v>Error?</v>
      </c>
    </row>
    <row r="1518" spans="1:4" x14ac:dyDescent="0.2">
      <c r="A1518" s="5">
        <v>1457</v>
      </c>
      <c r="B1518" s="1890">
        <f>'Expenditures 15-22'!K296</f>
        <v>17897</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44</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4876410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5761905</v>
      </c>
      <c r="C1630" s="2" t="s">
        <v>569</v>
      </c>
      <c r="D1630" s="2" t="str">
        <f t="shared" si="24"/>
        <v>Error?</v>
      </c>
    </row>
    <row r="1631" spans="1:4" x14ac:dyDescent="0.2">
      <c r="A1631" s="5">
        <v>1570</v>
      </c>
      <c r="B1631" s="1890">
        <f>'Acct Summary 7-8'!D79</f>
        <v>565989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1333618</v>
      </c>
      <c r="C1644" s="2" t="s">
        <v>569</v>
      </c>
      <c r="D1644" s="2" t="str">
        <f t="shared" si="24"/>
        <v>Error?</v>
      </c>
    </row>
    <row r="1645" spans="1:4" x14ac:dyDescent="0.2">
      <c r="A1645" s="5">
        <v>1584</v>
      </c>
      <c r="B1645" s="1890">
        <f>'Acct Summary 7-8'!E79</f>
        <v>2820669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1945562</v>
      </c>
      <c r="C1658" s="2" t="s">
        <v>569</v>
      </c>
      <c r="D1658" s="2" t="str">
        <f t="shared" si="24"/>
        <v>Error?</v>
      </c>
    </row>
    <row r="1659" spans="1:4" x14ac:dyDescent="0.2">
      <c r="A1659" s="5">
        <v>1598</v>
      </c>
      <c r="B1659" s="1890">
        <f>'Acct Summary 7-8'!F79</f>
        <v>705559</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983489</v>
      </c>
      <c r="C1672" s="2" t="s">
        <v>569</v>
      </c>
      <c r="D1672" s="2" t="str">
        <f t="shared" si="25"/>
        <v>Error?</v>
      </c>
    </row>
    <row r="1673" spans="1:4" x14ac:dyDescent="0.2">
      <c r="A1673" s="5">
        <v>1612</v>
      </c>
      <c r="B1673" s="1890">
        <f>'Acct Summary 7-8'!G79</f>
        <v>241099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258996</v>
      </c>
      <c r="C1686" s="2" t="s">
        <v>569</v>
      </c>
      <c r="D1686" s="2" t="str">
        <f t="shared" si="25"/>
        <v>Error?</v>
      </c>
    </row>
    <row r="1687" spans="1:4" x14ac:dyDescent="0.2">
      <c r="A1687" s="5">
        <v>1626</v>
      </c>
      <c r="B1687" s="1890">
        <f>'Acct Summary 7-8'!H79</f>
        <v>3885</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3929</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8854824</v>
      </c>
      <c r="C1744" s="2" t="s">
        <v>569</v>
      </c>
      <c r="D1744" s="2" t="str">
        <f t="shared" si="26"/>
        <v>Error?</v>
      </c>
    </row>
    <row r="1745" spans="1:5" x14ac:dyDescent="0.2">
      <c r="A1745" s="5">
        <v>1684</v>
      </c>
      <c r="B1745" s="1890">
        <f>'Tax Sched 23'!B5</f>
        <v>1118712</v>
      </c>
      <c r="C1745" s="2" t="s">
        <v>569</v>
      </c>
      <c r="D1745" s="2" t="str">
        <f t="shared" si="26"/>
        <v>Error?</v>
      </c>
    </row>
    <row r="1746" spans="1:5" x14ac:dyDescent="0.2">
      <c r="A1746" s="5">
        <v>1685</v>
      </c>
      <c r="B1746" s="1890">
        <f>'Tax Sched 23'!B6</f>
        <v>4366493</v>
      </c>
      <c r="C1746" s="2" t="s">
        <v>569</v>
      </c>
      <c r="D1746" s="2" t="str">
        <f t="shared" si="26"/>
        <v>Error?</v>
      </c>
    </row>
    <row r="1747" spans="1:5" x14ac:dyDescent="0.2">
      <c r="A1747" s="5">
        <v>1686</v>
      </c>
      <c r="B1747" s="1890">
        <f>'Tax Sched 23'!B7</f>
        <v>671520</v>
      </c>
      <c r="C1747" s="2" t="s">
        <v>569</v>
      </c>
      <c r="D1747" s="2" t="str">
        <f t="shared" si="26"/>
        <v>Error?</v>
      </c>
    </row>
    <row r="1748" spans="1:5" x14ac:dyDescent="0.2">
      <c r="A1748" s="5">
        <v>1687</v>
      </c>
      <c r="B1748" s="1890">
        <f>'Tax Sched 23'!B8</f>
        <v>203058</v>
      </c>
      <c r="C1748" s="2" t="s">
        <v>569</v>
      </c>
      <c r="D1748" s="2" t="str">
        <f t="shared" si="26"/>
        <v>Error?</v>
      </c>
    </row>
    <row r="1749" spans="1:5" x14ac:dyDescent="0.2">
      <c r="A1749" s="5">
        <v>1688</v>
      </c>
      <c r="B1749" s="1890">
        <f>'Tax Sched 23'!B10</f>
        <v>1087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83083</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80365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15583287</v>
      </c>
      <c r="C1759" s="2" t="s">
        <v>569</v>
      </c>
      <c r="D1759" s="2" t="str">
        <f t="shared" si="26"/>
        <v>Error?</v>
      </c>
    </row>
    <row r="1760" spans="1:5" x14ac:dyDescent="0.2">
      <c r="A1760" s="5">
        <v>1699</v>
      </c>
      <c r="B1760" s="1890">
        <f>'Tax Sched 23'!D4</f>
        <v>4190590</v>
      </c>
      <c r="C1760" s="2" t="s">
        <v>569</v>
      </c>
      <c r="D1760" s="2" t="str">
        <f t="shared" si="26"/>
        <v>Error?</v>
      </c>
    </row>
    <row r="1761" spans="1:7" x14ac:dyDescent="0.2">
      <c r="A1761" s="5">
        <v>1700</v>
      </c>
      <c r="B1761" s="1890">
        <f>'Tax Sched 23'!D5</f>
        <v>536442</v>
      </c>
      <c r="C1761" s="2" t="s">
        <v>569</v>
      </c>
      <c r="D1761" s="2" t="str">
        <f t="shared" si="26"/>
        <v>Error?</v>
      </c>
    </row>
    <row r="1762" spans="1:7" s="8" customFormat="1" x14ac:dyDescent="0.2">
      <c r="A1762" s="5">
        <v>1701</v>
      </c>
      <c r="B1762" s="1890">
        <f>'Tax Sched 23'!D6</f>
        <v>2467896</v>
      </c>
      <c r="C1762" s="2" t="s">
        <v>569</v>
      </c>
      <c r="D1762" s="2" t="str">
        <f t="shared" si="26"/>
        <v>Error?</v>
      </c>
      <c r="E1762" s="9"/>
      <c r="G1762"/>
    </row>
    <row r="1763" spans="1:7" x14ac:dyDescent="0.2">
      <c r="A1763" s="5">
        <v>1702</v>
      </c>
      <c r="B1763" s="1890">
        <f>'Tax Sched 23'!D7</f>
        <v>321968</v>
      </c>
      <c r="C1763" s="2" t="s">
        <v>569</v>
      </c>
      <c r="D1763" s="2" t="str">
        <f t="shared" si="26"/>
        <v>Error?</v>
      </c>
    </row>
    <row r="1764" spans="1:7" x14ac:dyDescent="0.2">
      <c r="A1764" s="5">
        <v>1703</v>
      </c>
      <c r="B1764" s="1890">
        <f>'Tax Sched 23'!D8</f>
        <v>98193</v>
      </c>
      <c r="C1764" s="2" t="s">
        <v>569</v>
      </c>
      <c r="D1764" s="2" t="str">
        <f t="shared" si="26"/>
        <v>Error?</v>
      </c>
    </row>
    <row r="1765" spans="1:7" x14ac:dyDescent="0.2">
      <c r="A1765" s="5">
        <v>1704</v>
      </c>
      <c r="B1765" s="1890">
        <f>'Tax Sched 23'!D10</f>
        <v>517</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77004</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38761</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7830081</v>
      </c>
      <c r="C1775" s="2" t="s">
        <v>569</v>
      </c>
      <c r="D1775" s="2" t="str">
        <f t="shared" si="26"/>
        <v>Error?</v>
      </c>
    </row>
    <row r="1776" spans="1:7" x14ac:dyDescent="0.2">
      <c r="A1776" s="5">
        <v>1715</v>
      </c>
      <c r="B1776" s="1890">
        <f>'Tax Sched 23'!C4</f>
        <v>4664234</v>
      </c>
      <c r="D1776" s="2" t="str">
        <f t="shared" si="26"/>
        <v>Error?</v>
      </c>
    </row>
    <row r="1777" spans="1:4" x14ac:dyDescent="0.2">
      <c r="A1777" s="5">
        <v>1716</v>
      </c>
      <c r="B1777" s="1890">
        <f>'Tax Sched 23'!C5</f>
        <v>582270</v>
      </c>
      <c r="D1777" s="2" t="str">
        <f t="shared" si="26"/>
        <v>Error?</v>
      </c>
    </row>
    <row r="1778" spans="1:4" x14ac:dyDescent="0.2">
      <c r="A1778" s="5">
        <v>1717</v>
      </c>
      <c r="B1778" s="1890">
        <f>'Tax Sched 23'!C6</f>
        <v>1898597</v>
      </c>
      <c r="D1778" s="2" t="str">
        <f t="shared" si="26"/>
        <v>Error?</v>
      </c>
    </row>
    <row r="1779" spans="1:4" x14ac:dyDescent="0.2">
      <c r="A1779" s="5">
        <v>1718</v>
      </c>
      <c r="B1779" s="1890">
        <f>'Tax Sched 23'!C7</f>
        <v>349552</v>
      </c>
      <c r="D1779" s="2" t="str">
        <f t="shared" si="26"/>
        <v>Error?</v>
      </c>
    </row>
    <row r="1780" spans="1:4" x14ac:dyDescent="0.2">
      <c r="A1780" s="5">
        <v>1719</v>
      </c>
      <c r="B1780" s="1890">
        <f>'Tax Sched 23'!C8</f>
        <v>104865</v>
      </c>
      <c r="D1780" s="2" t="str">
        <f t="shared" si="26"/>
        <v>Error?</v>
      </c>
    </row>
    <row r="1781" spans="1:4" x14ac:dyDescent="0.2">
      <c r="A1781" s="5">
        <v>1720</v>
      </c>
      <c r="B1781" s="1890">
        <f>'Tax Sched 23'!C10</f>
        <v>570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6079</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41604</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7753206</v>
      </c>
      <c r="C1791" s="2" t="s">
        <v>569</v>
      </c>
      <c r="D1791" s="2" t="str">
        <f t="shared" ref="D1791:D1854" si="27">IF(ISBLANK(B1791),"OK",IF(A1791-B1791=0,"OK","Error?"))</f>
        <v>Error?</v>
      </c>
    </row>
    <row r="1792" spans="1:4" x14ac:dyDescent="0.2">
      <c r="A1792" s="5">
        <v>1731</v>
      </c>
      <c r="B1792" s="1890">
        <f>'Tax Sched 23'!F4</f>
        <v>4826801</v>
      </c>
      <c r="C1792" s="2" t="s">
        <v>569</v>
      </c>
      <c r="D1792" s="2" t="str">
        <f t="shared" si="27"/>
        <v>Error?</v>
      </c>
    </row>
    <row r="1793" spans="1:4" x14ac:dyDescent="0.2">
      <c r="A1793" s="5">
        <v>1732</v>
      </c>
      <c r="B1793" s="1890">
        <f>'Tax Sched 23'!F5</f>
        <v>602563</v>
      </c>
      <c r="C1793" s="2" t="s">
        <v>569</v>
      </c>
      <c r="D1793" s="2" t="str">
        <f t="shared" si="27"/>
        <v>Error?</v>
      </c>
    </row>
    <row r="1794" spans="1:4" x14ac:dyDescent="0.2">
      <c r="A1794" s="5">
        <v>1733</v>
      </c>
      <c r="B1794" s="1890">
        <f>'Tax Sched 23'!F6</f>
        <v>1964771</v>
      </c>
      <c r="C1794" s="2" t="s">
        <v>569</v>
      </c>
      <c r="D1794" s="2" t="str">
        <f t="shared" si="27"/>
        <v>Error?</v>
      </c>
    </row>
    <row r="1795" spans="1:4" x14ac:dyDescent="0.2">
      <c r="A1795" s="5">
        <v>1734</v>
      </c>
      <c r="B1795" s="1890">
        <f>'Tax Sched 23'!F7</f>
        <v>361734</v>
      </c>
      <c r="C1795" s="2" t="s">
        <v>569</v>
      </c>
      <c r="D1795" s="2" t="str">
        <f t="shared" si="27"/>
        <v>Error?</v>
      </c>
    </row>
    <row r="1796" spans="1:4" x14ac:dyDescent="0.2">
      <c r="A1796" s="5">
        <v>1735</v>
      </c>
      <c r="B1796" s="1890">
        <f>'Tax Sched 23'!F8</f>
        <v>108521</v>
      </c>
      <c r="C1796" s="2" t="s">
        <v>569</v>
      </c>
      <c r="D1796" s="2" t="str">
        <f t="shared" si="27"/>
        <v>Error?</v>
      </c>
    </row>
    <row r="1797" spans="1:4" x14ac:dyDescent="0.2">
      <c r="A1797" s="5">
        <v>1736</v>
      </c>
      <c r="B1797" s="1890">
        <f>'Tax Sched 23'!F10</f>
        <v>590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6291</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43055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8023437</v>
      </c>
      <c r="C1807" s="2" t="s">
        <v>569</v>
      </c>
      <c r="D1807" s="2" t="str">
        <f t="shared" si="27"/>
        <v>Error?</v>
      </c>
    </row>
    <row r="1808" spans="1:4" x14ac:dyDescent="0.2">
      <c r="A1808" s="5">
        <v>1747</v>
      </c>
      <c r="B1808" s="1890">
        <f>'Tax Sched 23'!E4</f>
        <v>9491035</v>
      </c>
      <c r="D1808" s="2" t="str">
        <f t="shared" si="27"/>
        <v>Error?</v>
      </c>
    </row>
    <row r="1809" spans="1:4" x14ac:dyDescent="0.2">
      <c r="A1809" s="5">
        <v>1748</v>
      </c>
      <c r="B1809" s="1890">
        <f>'Tax Sched 23'!E5</f>
        <v>1184833</v>
      </c>
      <c r="D1809" s="2" t="str">
        <f t="shared" si="27"/>
        <v>Error?</v>
      </c>
    </row>
    <row r="1810" spans="1:4" x14ac:dyDescent="0.2">
      <c r="A1810" s="5">
        <v>1749</v>
      </c>
      <c r="B1810" s="1890">
        <f>'Tax Sched 23'!E6</f>
        <v>3863368</v>
      </c>
      <c r="D1810" s="2" t="str">
        <f t="shared" si="27"/>
        <v>Error?</v>
      </c>
    </row>
    <row r="1811" spans="1:4" x14ac:dyDescent="0.2">
      <c r="A1811" s="5">
        <v>1750</v>
      </c>
      <c r="B1811" s="1890">
        <f>'Tax Sched 23'!E7</f>
        <v>711286</v>
      </c>
      <c r="D1811" s="2" t="str">
        <f t="shared" si="27"/>
        <v>Error?</v>
      </c>
    </row>
    <row r="1812" spans="1:4" x14ac:dyDescent="0.2">
      <c r="A1812" s="5">
        <v>1751</v>
      </c>
      <c r="B1812" s="1890">
        <f>'Tax Sched 23'!E8</f>
        <v>213386</v>
      </c>
      <c r="D1812" s="2" t="str">
        <f t="shared" si="27"/>
        <v>Error?</v>
      </c>
    </row>
    <row r="1813" spans="1:4" x14ac:dyDescent="0.2">
      <c r="A1813" s="5">
        <v>1752</v>
      </c>
      <c r="B1813" s="1890">
        <f>'Tax Sched 23'!E10</f>
        <v>1160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12370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84659</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15776643</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13195000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80365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80365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80365</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2973996</v>
      </c>
      <c r="D2008" s="2" t="str">
        <f t="shared" si="30"/>
        <v>Error?</v>
      </c>
    </row>
    <row r="2009" spans="1:4" x14ac:dyDescent="0.2">
      <c r="A2009" s="5">
        <v>1948</v>
      </c>
      <c r="B2009" s="1890">
        <f>'Cap Outlay Deprec 26'!C8</f>
        <v>28374199</v>
      </c>
      <c r="D2009" s="2" t="str">
        <f t="shared" si="30"/>
        <v>Error?</v>
      </c>
    </row>
    <row r="2010" spans="1:4" x14ac:dyDescent="0.2">
      <c r="A2010" s="5">
        <v>1949</v>
      </c>
      <c r="B2010" s="1890">
        <f>'Cap Outlay Deprec 26'!C10</f>
        <v>1335576</v>
      </c>
      <c r="D2010" s="2" t="str">
        <f t="shared" si="30"/>
        <v>Error?</v>
      </c>
    </row>
    <row r="2011" spans="1:4" x14ac:dyDescent="0.2">
      <c r="A2011" s="5">
        <v>1950</v>
      </c>
      <c r="B2011" s="1890">
        <f>'Cap Outlay Deprec 26'!C12</f>
        <v>4338494</v>
      </c>
      <c r="D2011" s="2" t="str">
        <f t="shared" si="30"/>
        <v>Error?</v>
      </c>
    </row>
    <row r="2012" spans="1:4" x14ac:dyDescent="0.2">
      <c r="A2012" s="5">
        <v>1951</v>
      </c>
      <c r="B2012" s="1890">
        <f>'Cap Outlay Deprec 26'!C13</f>
        <v>3292208</v>
      </c>
      <c r="D2012" s="2" t="str">
        <f t="shared" si="30"/>
        <v>Error?</v>
      </c>
    </row>
    <row r="2013" spans="1:4" x14ac:dyDescent="0.2">
      <c r="A2013" s="5">
        <v>1952</v>
      </c>
      <c r="B2013" s="1890">
        <f>'Cap Outlay Deprec 26'!C16</f>
        <v>40866667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212076</v>
      </c>
      <c r="D2016" s="2" t="str">
        <f t="shared" si="30"/>
        <v>Error?</v>
      </c>
    </row>
    <row r="2017" spans="1:4" x14ac:dyDescent="0.2">
      <c r="A2017" s="5">
        <v>1956</v>
      </c>
      <c r="B2017" s="1890">
        <f>'Cap Outlay Deprec 26'!D12</f>
        <v>170974</v>
      </c>
      <c r="D2017" s="2" t="str">
        <f t="shared" si="30"/>
        <v>Error?</v>
      </c>
    </row>
    <row r="2018" spans="1:4" x14ac:dyDescent="0.2">
      <c r="A2018" s="5">
        <v>1957</v>
      </c>
      <c r="B2018" s="1890">
        <f>'Cap Outlay Deprec 26'!D13</f>
        <v>77952</v>
      </c>
      <c r="D2018" s="2" t="str">
        <f t="shared" si="30"/>
        <v>Error?</v>
      </c>
    </row>
    <row r="2019" spans="1:4" x14ac:dyDescent="0.2">
      <c r="A2019" s="5">
        <v>1958</v>
      </c>
      <c r="B2019" s="1890">
        <f>'Cap Outlay Deprec 26'!D16</f>
        <v>461002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2973996</v>
      </c>
      <c r="C2026" s="2" t="s">
        <v>569</v>
      </c>
      <c r="D2026" s="2" t="str">
        <f t="shared" si="30"/>
        <v>Error?</v>
      </c>
    </row>
    <row r="2027" spans="1:4" x14ac:dyDescent="0.2">
      <c r="A2027" s="5">
        <v>1966</v>
      </c>
      <c r="B2027" s="1890">
        <f>'Cap Outlay Deprec 26'!F8</f>
        <v>28374199</v>
      </c>
      <c r="C2027" s="2" t="s">
        <v>569</v>
      </c>
      <c r="D2027" s="2" t="str">
        <f t="shared" si="30"/>
        <v>Error?</v>
      </c>
    </row>
    <row r="2028" spans="1:4" x14ac:dyDescent="0.2">
      <c r="A2028" s="5">
        <v>1967</v>
      </c>
      <c r="B2028" s="1890">
        <f>'Cap Outlay Deprec 26'!F10</f>
        <v>1547652</v>
      </c>
      <c r="C2028" s="2" t="s">
        <v>569</v>
      </c>
      <c r="D2028" s="2" t="str">
        <f t="shared" si="30"/>
        <v>Error?</v>
      </c>
    </row>
    <row r="2029" spans="1:4" x14ac:dyDescent="0.2">
      <c r="A2029" s="5">
        <v>1968</v>
      </c>
      <c r="B2029" s="1890">
        <f>'Cap Outlay Deprec 26'!F12</f>
        <v>4509468</v>
      </c>
      <c r="C2029" s="2" t="s">
        <v>569</v>
      </c>
      <c r="D2029" s="2" t="str">
        <f t="shared" si="30"/>
        <v>Error?</v>
      </c>
    </row>
    <row r="2030" spans="1:4" x14ac:dyDescent="0.2">
      <c r="A2030" s="5">
        <v>1969</v>
      </c>
      <c r="B2030" s="1890">
        <f>'Cap Outlay Deprec 26'!F13</f>
        <v>3370160</v>
      </c>
      <c r="C2030" s="2" t="s">
        <v>569</v>
      </c>
      <c r="D2030" s="2" t="str">
        <f t="shared" si="30"/>
        <v>Error?</v>
      </c>
    </row>
    <row r="2031" spans="1:4" x14ac:dyDescent="0.2">
      <c r="A2031" s="5">
        <v>1970</v>
      </c>
      <c r="B2031" s="1890">
        <f>'Cap Outlay Deprec 26'!F16</f>
        <v>41327669</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12887877</v>
      </c>
      <c r="D2033" s="2" t="str">
        <f t="shared" si="30"/>
        <v>Error?</v>
      </c>
    </row>
    <row r="2034" spans="1:4" x14ac:dyDescent="0.2">
      <c r="A2034" s="5">
        <v>1973</v>
      </c>
      <c r="B2034" s="1890">
        <f>'Cap Outlay Deprec 26'!H10</f>
        <v>869398</v>
      </c>
      <c r="D2034" s="2" t="str">
        <f t="shared" si="30"/>
        <v>Error?</v>
      </c>
    </row>
    <row r="2035" spans="1:4" x14ac:dyDescent="0.2">
      <c r="A2035" s="5">
        <v>1974</v>
      </c>
      <c r="B2035" s="1890">
        <f>'Cap Outlay Deprec 26'!H12</f>
        <v>4151167</v>
      </c>
      <c r="D2035" s="2" t="str">
        <f t="shared" si="30"/>
        <v>Error?</v>
      </c>
    </row>
    <row r="2036" spans="1:4" x14ac:dyDescent="0.2">
      <c r="A2036" s="5">
        <v>1975</v>
      </c>
      <c r="B2036" s="1890">
        <f>'Cap Outlay Deprec 26'!H13</f>
        <v>3241981</v>
      </c>
      <c r="D2036" s="2" t="str">
        <f t="shared" si="30"/>
        <v>Error?</v>
      </c>
    </row>
    <row r="2037" spans="1:4" x14ac:dyDescent="0.2">
      <c r="A2037" s="5">
        <v>1976</v>
      </c>
      <c r="B2037" s="1890">
        <f>'Cap Outlay Deprec 26'!H16</f>
        <v>21611775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567484</v>
      </c>
      <c r="D2039" s="2" t="str">
        <f t="shared" si="30"/>
        <v>Error?</v>
      </c>
    </row>
    <row r="2040" spans="1:4" x14ac:dyDescent="0.2">
      <c r="A2040" s="5">
        <v>1979</v>
      </c>
      <c r="B2040" s="1890">
        <f>'Cap Outlay Deprec 26'!I10</f>
        <v>39099</v>
      </c>
      <c r="D2040" s="2" t="str">
        <f t="shared" si="30"/>
        <v>Error?</v>
      </c>
    </row>
    <row r="2041" spans="1:4" x14ac:dyDescent="0.2">
      <c r="A2041" s="5">
        <v>1980</v>
      </c>
      <c r="B2041" s="1890">
        <f>'Cap Outlay Deprec 26'!I12</f>
        <v>32801</v>
      </c>
      <c r="D2041" s="2" t="str">
        <f t="shared" si="30"/>
        <v>Error?</v>
      </c>
    </row>
    <row r="2042" spans="1:4" x14ac:dyDescent="0.2">
      <c r="A2042" s="5">
        <v>1981</v>
      </c>
      <c r="B2042" s="1890">
        <f>'Cap Outlay Deprec 26'!I13</f>
        <v>19609</v>
      </c>
      <c r="D2042" s="2" t="str">
        <f t="shared" si="30"/>
        <v>Error?</v>
      </c>
    </row>
    <row r="2043" spans="1:4" x14ac:dyDescent="0.2">
      <c r="A2043" s="5">
        <v>1982</v>
      </c>
      <c r="B2043" s="1890">
        <f>'Cap Outlay Deprec 26'!I16</f>
        <v>668688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13455361</v>
      </c>
      <c r="C2051" s="2" t="s">
        <v>569</v>
      </c>
      <c r="D2051" s="2" t="str">
        <f t="shared" si="31"/>
        <v>Error?</v>
      </c>
    </row>
    <row r="2052" spans="1:4" x14ac:dyDescent="0.2">
      <c r="A2052" s="5">
        <v>1991</v>
      </c>
      <c r="B2052" s="1890">
        <f>'Cap Outlay Deprec 26'!K10</f>
        <v>908497</v>
      </c>
      <c r="C2052" s="2" t="s">
        <v>569</v>
      </c>
      <c r="D2052" s="2" t="str">
        <f t="shared" si="31"/>
        <v>Error?</v>
      </c>
    </row>
    <row r="2053" spans="1:4" x14ac:dyDescent="0.2">
      <c r="A2053" s="5">
        <v>1992</v>
      </c>
      <c r="B2053" s="1890">
        <f>'Cap Outlay Deprec 26'!K12</f>
        <v>4183968</v>
      </c>
      <c r="C2053" s="2" t="s">
        <v>569</v>
      </c>
      <c r="D2053" s="2" t="str">
        <f t="shared" si="31"/>
        <v>Error?</v>
      </c>
    </row>
    <row r="2054" spans="1:4" x14ac:dyDescent="0.2">
      <c r="A2054" s="5">
        <v>1993</v>
      </c>
      <c r="B2054" s="1890">
        <f>'Cap Outlay Deprec 26'!K13</f>
        <v>3261590</v>
      </c>
      <c r="C2054" s="2" t="s">
        <v>569</v>
      </c>
      <c r="D2054" s="2" t="str">
        <f t="shared" si="31"/>
        <v>Error?</v>
      </c>
    </row>
    <row r="2055" spans="1:4" x14ac:dyDescent="0.2">
      <c r="A2055" s="5">
        <v>1994</v>
      </c>
      <c r="B2055" s="1890">
        <f>'Cap Outlay Deprec 26'!K16</f>
        <v>22280463</v>
      </c>
      <c r="C2055" s="2" t="s">
        <v>569</v>
      </c>
      <c r="D2055" s="2" t="str">
        <f t="shared" si="31"/>
        <v>Error?</v>
      </c>
    </row>
    <row r="2056" spans="1:4" x14ac:dyDescent="0.2">
      <c r="A2056" s="5">
        <v>1995</v>
      </c>
      <c r="B2056" s="1890">
        <f>'Cap Outlay Deprec 26'!L5</f>
        <v>2973996</v>
      </c>
      <c r="C2056" s="2" t="s">
        <v>569</v>
      </c>
      <c r="D2056" s="2" t="str">
        <f t="shared" si="31"/>
        <v>Error?</v>
      </c>
    </row>
    <row r="2057" spans="1:4" x14ac:dyDescent="0.2">
      <c r="A2057" s="5">
        <v>1996</v>
      </c>
      <c r="B2057" s="1890">
        <f>'Cap Outlay Deprec 26'!L8</f>
        <v>14918838</v>
      </c>
      <c r="C2057" s="2" t="s">
        <v>569</v>
      </c>
      <c r="D2057" s="2" t="str">
        <f t="shared" si="31"/>
        <v>Error?</v>
      </c>
    </row>
    <row r="2058" spans="1:4" x14ac:dyDescent="0.2">
      <c r="A2058" s="5">
        <v>1997</v>
      </c>
      <c r="B2058" s="1890">
        <f>'Cap Outlay Deprec 26'!L10</f>
        <v>639155</v>
      </c>
      <c r="C2058" s="2" t="s">
        <v>569</v>
      </c>
      <c r="D2058" s="2" t="str">
        <f t="shared" si="31"/>
        <v>Error?</v>
      </c>
    </row>
    <row r="2059" spans="1:4" x14ac:dyDescent="0.2">
      <c r="A2059" s="5">
        <v>1998</v>
      </c>
      <c r="B2059" s="1890">
        <f>'Cap Outlay Deprec 26'!L12</f>
        <v>325500</v>
      </c>
      <c r="C2059" s="2" t="s">
        <v>569</v>
      </c>
      <c r="D2059" s="2" t="str">
        <f t="shared" si="31"/>
        <v>Error?</v>
      </c>
    </row>
    <row r="2060" spans="1:4" x14ac:dyDescent="0.2">
      <c r="A2060" s="5">
        <v>1999</v>
      </c>
      <c r="B2060" s="1890">
        <f>'Cap Outlay Deprec 26'!L13</f>
        <v>108570</v>
      </c>
      <c r="C2060" s="2" t="s">
        <v>569</v>
      </c>
      <c r="D2060" s="2" t="str">
        <f t="shared" si="31"/>
        <v>Error?</v>
      </c>
    </row>
    <row r="2061" spans="1:4" x14ac:dyDescent="0.2">
      <c r="A2061" s="5">
        <v>2000</v>
      </c>
      <c r="B2061" s="1890">
        <f>'Cap Outlay Deprec 26'!L16</f>
        <v>19047206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636593</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3230000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10083855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1964007</v>
      </c>
      <c r="C2553" s="2" t="s">
        <v>569</v>
      </c>
      <c r="D2553" s="2" t="str">
        <f t="shared" si="38"/>
        <v>Error?</v>
      </c>
    </row>
    <row r="2554" spans="1:4" x14ac:dyDescent="0.2">
      <c r="A2554" s="5">
        <v>2493</v>
      </c>
      <c r="B2554" s="1890">
        <f>'Acct Summary 7-8'!C7</f>
        <v>611937</v>
      </c>
      <c r="C2554" s="2" t="s">
        <v>569</v>
      </c>
      <c r="D2554" s="2" t="str">
        <f t="shared" si="38"/>
        <v>Error?</v>
      </c>
    </row>
    <row r="2555" spans="1:4" x14ac:dyDescent="0.2">
      <c r="A2555" s="5">
        <v>2494</v>
      </c>
      <c r="B2555" s="1890">
        <f>'Acct Summary 7-8'!C8</f>
        <v>12659799</v>
      </c>
      <c r="C2555" s="2" t="s">
        <v>569</v>
      </c>
      <c r="D2555" s="2" t="str">
        <f t="shared" si="38"/>
        <v>Error?</v>
      </c>
    </row>
    <row r="2556" spans="1:4" x14ac:dyDescent="0.2">
      <c r="A2556" s="5">
        <v>2495</v>
      </c>
      <c r="B2556" s="1890">
        <f>'Acct Summary 7-8'!C12</f>
        <v>8833640</v>
      </c>
      <c r="C2556" s="2" t="s">
        <v>569</v>
      </c>
      <c r="D2556" s="2" t="str">
        <f t="shared" si="38"/>
        <v>Error?</v>
      </c>
    </row>
    <row r="2557" spans="1:4" x14ac:dyDescent="0.2">
      <c r="A2557" s="5">
        <v>2496</v>
      </c>
      <c r="B2557" s="1890">
        <f>'Acct Summary 7-8'!C13</f>
        <v>3402019</v>
      </c>
      <c r="C2557" s="2" t="s">
        <v>569</v>
      </c>
      <c r="D2557" s="2" t="str">
        <f t="shared" si="38"/>
        <v>Error?</v>
      </c>
    </row>
    <row r="2558" spans="1:4" x14ac:dyDescent="0.2">
      <c r="A2558" s="5">
        <v>2497</v>
      </c>
      <c r="B2558" s="1890">
        <f>'Acct Summary 7-8'!C14</f>
        <v>2052</v>
      </c>
      <c r="C2558" s="2" t="s">
        <v>569</v>
      </c>
      <c r="D2558" s="2" t="str">
        <f t="shared" si="38"/>
        <v>Error?</v>
      </c>
    </row>
    <row r="2559" spans="1:4" x14ac:dyDescent="0.2">
      <c r="A2559" s="5">
        <v>2498</v>
      </c>
      <c r="B2559" s="1890">
        <f>'Acct Summary 7-8'!C15</f>
        <v>636593</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12874304</v>
      </c>
      <c r="C2561" s="2" t="s">
        <v>569</v>
      </c>
      <c r="D2561" s="2" t="str">
        <f t="shared" si="39"/>
        <v>Error?</v>
      </c>
    </row>
    <row r="2562" spans="1:4" x14ac:dyDescent="0.2">
      <c r="A2562" s="5">
        <v>2501</v>
      </c>
      <c r="B2562" s="1890">
        <f>'Acct Summary 7-8'!C20</f>
        <v>-214505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1303509</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1353509</v>
      </c>
      <c r="C2568" s="2" t="s">
        <v>569</v>
      </c>
      <c r="D2568" s="2" t="str">
        <f t="shared" si="39"/>
        <v>Error?</v>
      </c>
    </row>
    <row r="2569" spans="1:4" x14ac:dyDescent="0.2">
      <c r="A2569" s="5">
        <v>2508</v>
      </c>
      <c r="B2569" s="1890">
        <f>'Acct Summary 7-8'!D13</f>
        <v>2385880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2385880</v>
      </c>
      <c r="C2573" s="2" t="s">
        <v>569</v>
      </c>
      <c r="D2573" s="2" t="str">
        <f t="shared" si="39"/>
        <v>Error?</v>
      </c>
    </row>
    <row r="2574" spans="1:4" x14ac:dyDescent="0.2">
      <c r="A2574" s="5">
        <v>2513</v>
      </c>
      <c r="B2574" s="1890">
        <f>'Acct Summary 7-8'!D20</f>
        <v>-1032371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682726</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968340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1651066</v>
      </c>
      <c r="C2595" s="2" t="s">
        <v>569</v>
      </c>
      <c r="D2595" s="2" t="str">
        <f t="shared" si="39"/>
        <v>Error?</v>
      </c>
    </row>
    <row r="2596" spans="1:4" x14ac:dyDescent="0.2">
      <c r="A2596" s="5">
        <v>2535</v>
      </c>
      <c r="B2596" s="1890">
        <f>'Acct Summary 7-8'!F13</f>
        <v>1703136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1703136</v>
      </c>
      <c r="C2600" s="2" t="s">
        <v>569</v>
      </c>
      <c r="D2600" s="2" t="str">
        <f t="shared" si="39"/>
        <v>Error?</v>
      </c>
    </row>
    <row r="2601" spans="1:4" x14ac:dyDescent="0.2">
      <c r="A2601" s="5">
        <v>2540</v>
      </c>
      <c r="B2601" s="1890">
        <f>'Acct Summary 7-8'!F20</f>
        <v>-52070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598163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598163</v>
      </c>
      <c r="C2606" s="2" t="s">
        <v>569</v>
      </c>
      <c r="D2606" s="2" t="str">
        <f t="shared" si="39"/>
        <v>Error?</v>
      </c>
    </row>
    <row r="2607" spans="1:4" x14ac:dyDescent="0.2">
      <c r="A2607" s="5">
        <v>2546</v>
      </c>
      <c r="B2607" s="1890">
        <f>'Acct Summary 7-8'!G12</f>
        <v>212207</v>
      </c>
      <c r="C2607" s="2" t="s">
        <v>569</v>
      </c>
      <c r="D2607" s="2" t="str">
        <f t="shared" si="39"/>
        <v>Error?</v>
      </c>
    </row>
    <row r="2608" spans="1:4" x14ac:dyDescent="0.2">
      <c r="A2608" s="5">
        <v>2547</v>
      </c>
      <c r="B2608" s="1890">
        <f>'Acct Summary 7-8'!G13</f>
        <v>368059</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580266</v>
      </c>
      <c r="C2612" s="2" t="s">
        <v>569</v>
      </c>
      <c r="D2612" s="2" t="str">
        <f t="shared" si="39"/>
        <v>Error?</v>
      </c>
    </row>
    <row r="2613" spans="1:4" x14ac:dyDescent="0.2">
      <c r="A2613" s="5">
        <v>2552</v>
      </c>
      <c r="B2613" s="1890">
        <f>'Acct Summary 7-8'!G20</f>
        <v>17897</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4384429</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4384429</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5259536</v>
      </c>
      <c r="C2634" s="2" t="s">
        <v>569</v>
      </c>
      <c r="D2634" s="2" t="str">
        <f t="shared" si="40"/>
        <v>Error?</v>
      </c>
    </row>
    <row r="2635" spans="1:4" x14ac:dyDescent="0.2">
      <c r="A2635" s="5">
        <v>2574</v>
      </c>
      <c r="B2635" s="1890">
        <f>'Acct Summary 7-8'!E17</f>
        <v>5259536</v>
      </c>
      <c r="C2635" s="2" t="s">
        <v>569</v>
      </c>
      <c r="D2635" s="2" t="str">
        <f t="shared" si="40"/>
        <v>Error?</v>
      </c>
    </row>
    <row r="2636" spans="1:4" x14ac:dyDescent="0.2">
      <c r="A2636" s="5">
        <v>2575</v>
      </c>
      <c r="B2636" s="1890">
        <f>'Acct Summary 7-8'!E20</f>
        <v>-875107</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44</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44</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44</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636593</v>
      </c>
      <c r="C2789" s="2" t="s">
        <v>569</v>
      </c>
      <c r="D2789" s="2" t="str">
        <f t="shared" si="42"/>
        <v>Error?</v>
      </c>
    </row>
    <row r="2790" spans="1:4" x14ac:dyDescent="0.2">
      <c r="A2790" s="5">
        <v>2729</v>
      </c>
      <c r="B2790" s="1890">
        <f>'Expenditures 15-22'!E102</f>
        <v>636593</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2599374</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215883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2599374</v>
      </c>
      <c r="D2912" s="2" t="str">
        <f t="shared" si="44"/>
        <v>Error?</v>
      </c>
    </row>
    <row r="2913" spans="1:4" x14ac:dyDescent="0.2">
      <c r="A2913" s="5">
        <v>2852</v>
      </c>
      <c r="B2913" s="1890">
        <f>'Assets-Liab 5-6'!I41</f>
        <v>2599374</v>
      </c>
      <c r="C2913" s="2" t="s">
        <v>569</v>
      </c>
      <c r="D2913" s="2" t="str">
        <f t="shared" si="44"/>
        <v>Error?</v>
      </c>
    </row>
    <row r="2914" spans="1:4" x14ac:dyDescent="0.2">
      <c r="A2914" s="5">
        <v>2853</v>
      </c>
      <c r="B2914" s="1890">
        <f>'Assets-Liab 5-6'!L33</f>
        <v>215883</v>
      </c>
      <c r="D2914" s="2" t="str">
        <f t="shared" si="44"/>
        <v>Error?</v>
      </c>
    </row>
    <row r="2915" spans="1:4" x14ac:dyDescent="0.2">
      <c r="A2915" s="10">
        <v>2854</v>
      </c>
      <c r="B2915" s="1890"/>
      <c r="D2915" s="2" t="str">
        <f t="shared" si="44"/>
        <v>OK</v>
      </c>
    </row>
    <row r="2916" spans="1:4" x14ac:dyDescent="0.2">
      <c r="A2916" s="5">
        <v>2855</v>
      </c>
      <c r="B2916" s="1890">
        <f>'Assets-Liab 5-6'!L34</f>
        <v>215883</v>
      </c>
      <c r="C2916" s="2" t="s">
        <v>569</v>
      </c>
      <c r="D2916" s="2" t="str">
        <f t="shared" si="44"/>
        <v>Error?</v>
      </c>
    </row>
    <row r="2917" spans="1:4" x14ac:dyDescent="0.2">
      <c r="A2917" s="5">
        <v>2856</v>
      </c>
      <c r="B2917" s="1890">
        <f>'Assets-Liab 5-6'!L41</f>
        <v>215883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547888</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88705</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547888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88705</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152251</v>
      </c>
      <c r="D3055" s="2" t="str">
        <f t="shared" si="46"/>
        <v>Error?</v>
      </c>
    </row>
    <row r="3056" spans="1:4" x14ac:dyDescent="0.2">
      <c r="A3056" s="5">
        <v>2995</v>
      </c>
      <c r="B3056" s="1890">
        <f>'Expenditures 15-22'!D10</f>
        <v>51777</v>
      </c>
      <c r="D3056" s="2" t="str">
        <f t="shared" si="46"/>
        <v>Error?</v>
      </c>
    </row>
    <row r="3057" spans="1:4" x14ac:dyDescent="0.2">
      <c r="A3057" s="5">
        <v>2996</v>
      </c>
      <c r="B3057" s="1890">
        <f>'Expenditures 15-22'!E10</f>
        <v>956</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204984</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2141</v>
      </c>
      <c r="D3064" s="2" t="str">
        <f t="shared" si="46"/>
        <v>Error?</v>
      </c>
    </row>
    <row r="3065" spans="1:4" x14ac:dyDescent="0.2">
      <c r="A3065" s="5">
        <v>3004</v>
      </c>
      <c r="B3065" s="1890">
        <f>'Expenditures 15-22'!K219</f>
        <v>2141</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152075</v>
      </c>
      <c r="C3225" s="2" t="s">
        <v>569</v>
      </c>
      <c r="D3225" s="2" t="str">
        <f t="shared" si="49"/>
        <v>Error?</v>
      </c>
    </row>
    <row r="3226" spans="1:4" x14ac:dyDescent="0.2">
      <c r="A3226" s="5">
        <v>3165</v>
      </c>
      <c r="B3226" s="1890">
        <f>'Acct Summary 7-8'!I8</f>
        <v>152075</v>
      </c>
      <c r="C3226" s="2" t="s">
        <v>569</v>
      </c>
      <c r="D3226" s="2" t="str">
        <f t="shared" si="49"/>
        <v>Error?</v>
      </c>
    </row>
    <row r="3227" spans="1:4" x14ac:dyDescent="0.2">
      <c r="A3227" s="5">
        <v>3166</v>
      </c>
      <c r="B3227" s="1890">
        <f>'Acct Summary 7-8'!I20</f>
        <v>152075</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1100000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1100000</v>
      </c>
      <c r="C3232" s="2" t="s">
        <v>569</v>
      </c>
      <c r="D3232" s="2" t="str">
        <f t="shared" si="49"/>
        <v>Error?</v>
      </c>
    </row>
    <row r="3233" spans="1:4" x14ac:dyDescent="0.2">
      <c r="A3233" s="5">
        <v>3172</v>
      </c>
      <c r="B3233" s="1890">
        <f>'Acct Summary 7-8'!C78</f>
        <v>885495</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1800000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1800000</v>
      </c>
      <c r="C3238" s="2" t="s">
        <v>569</v>
      </c>
      <c r="D3238" s="2" t="str">
        <f t="shared" si="49"/>
        <v>Error?</v>
      </c>
    </row>
    <row r="3239" spans="1:4" x14ac:dyDescent="0.2">
      <c r="A3239" s="5">
        <v>3178</v>
      </c>
      <c r="B3239" s="1890">
        <f>'Acct Summary 7-8'!D78</f>
        <v>767629</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330000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330000</v>
      </c>
      <c r="C3255" s="2" t="s">
        <v>569</v>
      </c>
      <c r="D3255" s="2" t="str">
        <f t="shared" si="49"/>
        <v>Error?</v>
      </c>
    </row>
    <row r="3256" spans="1:4" x14ac:dyDescent="0.2">
      <c r="A3256" s="5">
        <v>3195</v>
      </c>
      <c r="B3256" s="1890">
        <f>'Acct Summary 7-8'!F78</f>
        <v>277930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17897</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-875107</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44</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3230000</v>
      </c>
      <c r="C3318" s="2" t="s">
        <v>569</v>
      </c>
      <c r="D3318" s="2" t="str">
        <f t="shared" si="50"/>
        <v>Error?</v>
      </c>
    </row>
    <row r="3319" spans="1:4" x14ac:dyDescent="0.2">
      <c r="A3319" s="5">
        <v>3258</v>
      </c>
      <c r="B3319" s="1890">
        <f>'Acct Summary 7-8'!I77</f>
        <v>-3230000</v>
      </c>
      <c r="C3319" s="2" t="s">
        <v>569</v>
      </c>
      <c r="D3319" s="2" t="str">
        <f t="shared" si="50"/>
        <v>Error?</v>
      </c>
    </row>
    <row r="3320" spans="1:4" x14ac:dyDescent="0.2">
      <c r="A3320" s="5">
        <v>3259</v>
      </c>
      <c r="B3320" s="1890">
        <f>'Acct Summary 7-8'!I78</f>
        <v>-3077925</v>
      </c>
      <c r="C3320" s="2" t="s">
        <v>569</v>
      </c>
      <c r="D3320" s="2" t="str">
        <f t="shared" si="50"/>
        <v>Error?</v>
      </c>
    </row>
    <row r="3321" spans="1:4" x14ac:dyDescent="0.2">
      <c r="A3321" s="5">
        <v>3260</v>
      </c>
      <c r="B3321" s="1890">
        <f>'Acct Summary 7-8'!I79</f>
        <v>5677299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2599374</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1603238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383373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109804</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11039</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2107454</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83847</v>
      </c>
      <c r="D3387" s="2" t="str">
        <f t="shared" si="51"/>
        <v>Error?</v>
      </c>
    </row>
    <row r="3388" spans="1:4" x14ac:dyDescent="0.2">
      <c r="A3388" s="5">
        <v>3327</v>
      </c>
      <c r="B3388" s="1890">
        <f>'Expenditures 15-22'!D217</f>
        <v>117899</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83847</v>
      </c>
      <c r="C3390" s="2" t="s">
        <v>569</v>
      </c>
      <c r="D3390" s="2" t="str">
        <f t="shared" si="51"/>
        <v>Error?</v>
      </c>
    </row>
    <row r="3391" spans="1:4" x14ac:dyDescent="0.2">
      <c r="A3391" s="5">
        <v>3330</v>
      </c>
      <c r="B3391" s="1890">
        <f>'Expenditures 15-22'!K217</f>
        <v>117899</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5761905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1333618</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1945562</v>
      </c>
      <c r="D3417" s="2" t="str">
        <f t="shared" si="52"/>
        <v>Error?</v>
      </c>
    </row>
    <row r="3418" spans="1:4" x14ac:dyDescent="0.2">
      <c r="A3418" s="10">
        <v>3357</v>
      </c>
      <c r="B3418" s="1890"/>
      <c r="D3418" s="2" t="str">
        <f t="shared" si="52"/>
        <v>OK</v>
      </c>
    </row>
    <row r="3419" spans="1:4" x14ac:dyDescent="0.2">
      <c r="A3419" s="5">
        <v>3358</v>
      </c>
      <c r="B3419" s="1890">
        <f>'Assets-Liab 5-6'!F4</f>
        <v>983489</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258996</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3929</v>
      </c>
      <c r="D3425" s="2" t="str">
        <f t="shared" si="52"/>
        <v>Error?</v>
      </c>
    </row>
    <row r="3426" spans="1:4" x14ac:dyDescent="0.2">
      <c r="A3426" s="10">
        <v>3365</v>
      </c>
      <c r="B3426" s="1890"/>
      <c r="D3426" s="2" t="str">
        <f t="shared" si="52"/>
        <v>OK</v>
      </c>
    </row>
    <row r="3427" spans="1:4" x14ac:dyDescent="0.2">
      <c r="A3427" s="5">
        <v>3366</v>
      </c>
      <c r="B3427" s="1890">
        <f>'Assets-Liab 5-6'!I4</f>
        <v>2599374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215883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203058</v>
      </c>
      <c r="C3446" s="2" t="s">
        <v>569</v>
      </c>
      <c r="D3446" s="2" t="str">
        <f t="shared" si="52"/>
        <v>Error?</v>
      </c>
    </row>
    <row r="3447" spans="1:4" x14ac:dyDescent="0.2">
      <c r="A3447" s="5">
        <v>3386</v>
      </c>
      <c r="B3447" s="1890">
        <f>'Tax Sched 23'!D16</f>
        <v>98193</v>
      </c>
      <c r="C3447" s="2" t="s">
        <v>569</v>
      </c>
      <c r="D3447" s="2" t="str">
        <f t="shared" si="52"/>
        <v>Error?</v>
      </c>
    </row>
    <row r="3448" spans="1:4" x14ac:dyDescent="0.2">
      <c r="A3448" s="5">
        <v>3387</v>
      </c>
      <c r="B3448" s="1890">
        <f>'Tax Sched 23'!C16</f>
        <v>104865</v>
      </c>
      <c r="D3448" s="2" t="str">
        <f t="shared" si="52"/>
        <v>Error?</v>
      </c>
    </row>
    <row r="3449" spans="1:4" x14ac:dyDescent="0.2">
      <c r="A3449" s="5">
        <v>3388</v>
      </c>
      <c r="B3449" s="1890">
        <f>'Tax Sched 23'!F16</f>
        <v>108521</v>
      </c>
      <c r="C3449" s="2" t="s">
        <v>569</v>
      </c>
      <c r="D3449" s="2" t="str">
        <f t="shared" si="52"/>
        <v>Error?</v>
      </c>
    </row>
    <row r="3450" spans="1:4" x14ac:dyDescent="0.2">
      <c r="A3450" s="5">
        <v>3389</v>
      </c>
      <c r="B3450" s="1890">
        <f>'Tax Sched 23'!E16</f>
        <v>213386</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4238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4238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4238</v>
      </c>
      <c r="D3567" s="2" t="str">
        <f t="shared" si="54"/>
        <v>Error?</v>
      </c>
    </row>
    <row r="3568" spans="1:4" x14ac:dyDescent="0.2">
      <c r="A3568" s="5">
        <v>3507</v>
      </c>
      <c r="B3568" s="1890">
        <f>'Assets-Liab 5-6'!K41</f>
        <v>4238</v>
      </c>
      <c r="C3568" s="2" t="s">
        <v>569</v>
      </c>
      <c r="D3568" s="2" t="str">
        <f t="shared" si="54"/>
        <v>Error?</v>
      </c>
    </row>
    <row r="3569" spans="1:4" x14ac:dyDescent="0.2">
      <c r="A3569" s="5">
        <v>3508</v>
      </c>
      <c r="B3569" s="1890">
        <f>'Acct Summary 7-8'!K4</f>
        <v>56</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56</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56</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56</v>
      </c>
      <c r="C3588" s="2" t="s">
        <v>569</v>
      </c>
      <c r="D3588" s="2" t="str">
        <f t="shared" si="55"/>
        <v>Error?</v>
      </c>
    </row>
    <row r="3589" spans="1:4" x14ac:dyDescent="0.2">
      <c r="A3589" s="5">
        <v>3528</v>
      </c>
      <c r="B3589" s="1890">
        <f>'Acct Summary 7-8'!K79</f>
        <v>4182</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4238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56</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1087</v>
      </c>
      <c r="C3725" s="2" t="s">
        <v>569</v>
      </c>
      <c r="D3725" s="2" t="str">
        <f t="shared" si="57"/>
        <v>Error?</v>
      </c>
    </row>
    <row r="3726" spans="1:4" x14ac:dyDescent="0.2">
      <c r="A3726" s="5">
        <v>3665</v>
      </c>
      <c r="B3726" s="1890">
        <f>'Tax Sched 23'!D13</f>
        <v>517</v>
      </c>
      <c r="C3726" s="2" t="s">
        <v>569</v>
      </c>
      <c r="D3726" s="2" t="str">
        <f t="shared" si="57"/>
        <v>Error?</v>
      </c>
    </row>
    <row r="3727" spans="1:4" x14ac:dyDescent="0.2">
      <c r="A3727" s="5">
        <v>3666</v>
      </c>
      <c r="B3727" s="1890">
        <f>'Tax Sched 23'!C13</f>
        <v>570</v>
      </c>
      <c r="D3727" s="2" t="str">
        <f t="shared" si="57"/>
        <v>Error?</v>
      </c>
    </row>
    <row r="3728" spans="1:4" x14ac:dyDescent="0.2">
      <c r="A3728" s="5">
        <v>3667</v>
      </c>
      <c r="B3728" s="1890">
        <f>'Tax Sched 23'!F13</f>
        <v>590</v>
      </c>
      <c r="C3728" s="2" t="s">
        <v>569</v>
      </c>
      <c r="D3728" s="2" t="str">
        <f t="shared" si="57"/>
        <v>Error?</v>
      </c>
    </row>
    <row r="3729" spans="1:4" x14ac:dyDescent="0.2">
      <c r="A3729" s="5">
        <v>3668</v>
      </c>
      <c r="B3729" s="1890">
        <f>'Tax Sched 23'!E13</f>
        <v>1160</v>
      </c>
      <c r="D3729" s="2" t="str">
        <f t="shared" si="57"/>
        <v>Error?</v>
      </c>
    </row>
    <row r="3730" spans="1:4" x14ac:dyDescent="0.2">
      <c r="A3730" s="5">
        <v>3669</v>
      </c>
      <c r="B3730" s="1890">
        <f>'ICR Computation 30'!E10</f>
        <v>76530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6674329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19334128</v>
      </c>
      <c r="C4122" s="2" t="s">
        <v>569</v>
      </c>
      <c r="D4122" s="2" t="str">
        <f t="shared" si="63"/>
        <v>Error?</v>
      </c>
    </row>
    <row r="4123" spans="1:4" x14ac:dyDescent="0.2">
      <c r="A4123" s="5">
        <v>4062</v>
      </c>
      <c r="B4123" s="1890">
        <f>'Acct Summary 7-8'!D10</f>
        <v>1353509</v>
      </c>
      <c r="C4123" s="2" t="s">
        <v>569</v>
      </c>
      <c r="D4123" s="2" t="str">
        <f t="shared" si="63"/>
        <v>Error?</v>
      </c>
    </row>
    <row r="4124" spans="1:4" x14ac:dyDescent="0.2">
      <c r="A4124" s="5">
        <v>4063</v>
      </c>
      <c r="B4124" s="1890">
        <f>'Acct Summary 7-8'!E10</f>
        <v>4384429</v>
      </c>
      <c r="C4124" s="2" t="s">
        <v>569</v>
      </c>
      <c r="D4124" s="2" t="str">
        <f t="shared" si="63"/>
        <v>Error?</v>
      </c>
    </row>
    <row r="4125" spans="1:4" x14ac:dyDescent="0.2">
      <c r="A4125" s="5">
        <v>4064</v>
      </c>
      <c r="B4125" s="1890">
        <f>'Acct Summary 7-8'!F10</f>
        <v>1651066</v>
      </c>
      <c r="C4125" s="2" t="s">
        <v>569</v>
      </c>
      <c r="D4125" s="2" t="str">
        <f t="shared" si="63"/>
        <v>Error?</v>
      </c>
    </row>
    <row r="4126" spans="1:4" x14ac:dyDescent="0.2">
      <c r="A4126" s="5">
        <v>4065</v>
      </c>
      <c r="B4126" s="1890">
        <f>'Acct Summary 7-8'!G10</f>
        <v>598163</v>
      </c>
      <c r="C4126" s="2" t="s">
        <v>569</v>
      </c>
      <c r="D4126" s="2" t="str">
        <f t="shared" si="63"/>
        <v>Error?</v>
      </c>
    </row>
    <row r="4127" spans="1:4" x14ac:dyDescent="0.2">
      <c r="A4127" s="5">
        <v>4066</v>
      </c>
      <c r="B4127" s="1890">
        <f>'Acct Summary 7-8'!H10</f>
        <v>44</v>
      </c>
      <c r="C4127" s="2" t="s">
        <v>569</v>
      </c>
      <c r="D4127" s="2" t="str">
        <f t="shared" si="63"/>
        <v>Error?</v>
      </c>
    </row>
    <row r="4128" spans="1:4" x14ac:dyDescent="0.2">
      <c r="A4128" s="5">
        <v>4067</v>
      </c>
      <c r="B4128" s="1890">
        <f>'Acct Summary 7-8'!I10</f>
        <v>152075</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56</v>
      </c>
      <c r="C4130" s="2" t="s">
        <v>569</v>
      </c>
      <c r="D4130" s="2" t="str">
        <f t="shared" si="63"/>
        <v>Error?</v>
      </c>
    </row>
    <row r="4131" spans="1:4" x14ac:dyDescent="0.2">
      <c r="A4131" s="5">
        <v>4070</v>
      </c>
      <c r="B4131" s="1890">
        <f>'Acct Summary 7-8'!C18</f>
        <v>6674329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19548633</v>
      </c>
      <c r="C4136" s="2" t="s">
        <v>569</v>
      </c>
      <c r="D4136" s="2" t="str">
        <f t="shared" si="63"/>
        <v>Error?</v>
      </c>
    </row>
    <row r="4137" spans="1:4" x14ac:dyDescent="0.2">
      <c r="A4137" s="5">
        <v>4076</v>
      </c>
      <c r="B4137" s="1890">
        <f>'Acct Summary 7-8'!D19</f>
        <v>2385880</v>
      </c>
      <c r="C4137" s="2" t="s">
        <v>569</v>
      </c>
      <c r="D4137" s="2" t="str">
        <f t="shared" si="63"/>
        <v>Error?</v>
      </c>
    </row>
    <row r="4138" spans="1:4" x14ac:dyDescent="0.2">
      <c r="A4138" s="5">
        <v>4077</v>
      </c>
      <c r="B4138" s="1890">
        <f>'Acct Summary 7-8'!E19</f>
        <v>5259536</v>
      </c>
      <c r="C4138" s="2" t="s">
        <v>569</v>
      </c>
      <c r="D4138" s="2" t="str">
        <f t="shared" si="63"/>
        <v>Error?</v>
      </c>
    </row>
    <row r="4139" spans="1:4" x14ac:dyDescent="0.2">
      <c r="A4139" s="5">
        <v>4078</v>
      </c>
      <c r="B4139" s="1890">
        <f>'Acct Summary 7-8'!F19</f>
        <v>1703136</v>
      </c>
      <c r="C4139" s="2" t="s">
        <v>569</v>
      </c>
      <c r="D4139" s="2" t="str">
        <f t="shared" si="63"/>
        <v>Error?</v>
      </c>
    </row>
    <row r="4140" spans="1:4" x14ac:dyDescent="0.2">
      <c r="A4140" s="5">
        <v>4079</v>
      </c>
      <c r="B4140" s="1890">
        <f>'Acct Summary 7-8'!G19</f>
        <v>580266</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8325000</v>
      </c>
      <c r="C4171" s="2" t="s">
        <v>569</v>
      </c>
      <c r="D4171" s="2" t="str">
        <f t="shared" si="64"/>
        <v>Error?</v>
      </c>
    </row>
    <row r="4172" spans="1:4" x14ac:dyDescent="0.2">
      <c r="A4172" s="5">
        <v>4111</v>
      </c>
      <c r="B4172" s="1890">
        <f>'Short-Term Long-Term Debt 24'!J49</f>
        <v>6384487</v>
      </c>
      <c r="C4172" s="2" t="s">
        <v>569</v>
      </c>
      <c r="D4172" s="2" t="str">
        <f t="shared" si="64"/>
        <v>Error?</v>
      </c>
    </row>
    <row r="4173" spans="1:4" x14ac:dyDescent="0.2">
      <c r="A4173" s="5">
        <v>4112</v>
      </c>
      <c r="B4173" s="1890">
        <f>'Short-Term Long-Term Debt 24'!H49</f>
        <v>4870000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2455.2000000000003</v>
      </c>
      <c r="C4265" s="2" t="s">
        <v>569</v>
      </c>
      <c r="D4265" s="2" t="str">
        <f t="shared" si="65"/>
        <v>Error?</v>
      </c>
      <c r="E4265" s="125"/>
    </row>
    <row r="4266" spans="1:5" x14ac:dyDescent="0.2">
      <c r="A4266" s="12">
        <v>4205</v>
      </c>
      <c r="B4266" s="1890">
        <f>('FP Info 3'!F10)*100000</f>
        <v>306.5</v>
      </c>
      <c r="C4266" s="2" t="s">
        <v>569</v>
      </c>
      <c r="D4266" s="2" t="str">
        <f t="shared" si="65"/>
        <v>Error?</v>
      </c>
      <c r="E4266" s="125"/>
    </row>
    <row r="4267" spans="1:5" x14ac:dyDescent="0.2">
      <c r="A4267" s="12">
        <v>4206</v>
      </c>
      <c r="B4267" s="1890">
        <f>('FP Info 3'!H10)*100000</f>
        <v>184</v>
      </c>
      <c r="C4267" s="2" t="s">
        <v>569</v>
      </c>
      <c r="D4267" s="2" t="str">
        <f t="shared" si="65"/>
        <v>Error?</v>
      </c>
      <c r="E4267" s="125"/>
    </row>
    <row r="4268" spans="1:5" x14ac:dyDescent="0.2">
      <c r="A4268" s="12">
        <v>4207</v>
      </c>
      <c r="B4268" s="1890">
        <f>('FP Info 3'!J10)*100000</f>
        <v>2946</v>
      </c>
      <c r="C4268" s="2" t="s">
        <v>569</v>
      </c>
      <c r="D4268" s="2" t="str">
        <f t="shared" si="65"/>
        <v>Error?</v>
      </c>
    </row>
    <row r="4269" spans="1:5" x14ac:dyDescent="0.2">
      <c r="A4269" s="12">
        <v>4208</v>
      </c>
      <c r="B4269" s="1890">
        <f>'FP Info 3'!J16</f>
        <v>10678386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36449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76603</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11431</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386682210</v>
      </c>
      <c r="D4995" s="2" t="str">
        <f t="shared" si="77"/>
        <v>Error?</v>
      </c>
    </row>
    <row r="4996" spans="1:4" x14ac:dyDescent="0.2">
      <c r="A4996" s="12">
        <v>4935</v>
      </c>
      <c r="B4996" s="1890">
        <f>'FP Info 3'!H31</f>
        <v>53362144.980000004</v>
      </c>
      <c r="D4996" s="2" t="str">
        <f t="shared" si="77"/>
        <v>Error?</v>
      </c>
    </row>
    <row r="4997" spans="1:4" x14ac:dyDescent="0.2">
      <c r="A4997" s="12">
        <v>4936</v>
      </c>
      <c r="B4997" s="1890">
        <f>'FP Info 3'!H37</f>
        <v>8325000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1087</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8854824</v>
      </c>
      <c r="D5061" s="2" t="str">
        <f t="shared" si="78"/>
        <v>Error?</v>
      </c>
    </row>
    <row r="5062" spans="1:4" x14ac:dyDescent="0.2">
      <c r="A5062" s="10">
        <v>5001</v>
      </c>
      <c r="B5062" s="1890"/>
      <c r="D5062" s="2" t="str">
        <f t="shared" si="78"/>
        <v>OK</v>
      </c>
    </row>
    <row r="5063" spans="1:4" x14ac:dyDescent="0.2">
      <c r="A5063" s="5">
        <v>5002</v>
      </c>
      <c r="B5063" s="1890">
        <f>'Revenues 9-14'!C7</f>
        <v>80365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8936276</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452344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452344</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37242</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37242</v>
      </c>
      <c r="C5087" s="2" t="s">
        <v>569</v>
      </c>
      <c r="D5087" s="2" t="str">
        <f t="shared" si="78"/>
        <v>Error?</v>
      </c>
    </row>
    <row r="5088" spans="1:4" x14ac:dyDescent="0.2">
      <c r="A5088" s="5">
        <v>5027</v>
      </c>
      <c r="B5088" s="1890">
        <f>'Revenues 9-14'!C65</f>
        <v>57265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57265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38865</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818</v>
      </c>
      <c r="D5094" s="2" t="str">
        <f t="shared" si="78"/>
        <v>Error?</v>
      </c>
    </row>
    <row r="5095" spans="1:4" x14ac:dyDescent="0.2">
      <c r="A5095" s="5">
        <v>5034</v>
      </c>
      <c r="B5095" s="1890">
        <f>'Revenues 9-14'!C74</f>
        <v>566</v>
      </c>
      <c r="D5095" s="2" t="str">
        <f t="shared" si="78"/>
        <v>Error?</v>
      </c>
    </row>
    <row r="5096" spans="1:4" x14ac:dyDescent="0.2">
      <c r="A5096" s="5">
        <v>5035</v>
      </c>
      <c r="B5096" s="1890">
        <f>'Revenues 9-14'!C75</f>
        <v>157151</v>
      </c>
      <c r="C5096" s="2" t="s">
        <v>569</v>
      </c>
      <c r="D5096" s="2" t="str">
        <f t="shared" si="78"/>
        <v>Error?</v>
      </c>
    </row>
    <row r="5097" spans="1:4" x14ac:dyDescent="0.2">
      <c r="A5097" s="5">
        <v>5036</v>
      </c>
      <c r="B5097" s="1890">
        <f>'Revenues 9-14'!C77</f>
        <v>45179</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93260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138439</v>
      </c>
      <c r="C5102" s="2" t="s">
        <v>569</v>
      </c>
      <c r="D5102" s="2" t="str">
        <f t="shared" si="78"/>
        <v>Error?</v>
      </c>
    </row>
    <row r="5103" spans="1:4" x14ac:dyDescent="0.2">
      <c r="A5103" s="5">
        <v>5042</v>
      </c>
      <c r="B5103" s="1890">
        <f>'Revenues 9-14'!C84</f>
        <v>254398</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254398</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15508</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796</v>
      </c>
      <c r="D5116" s="2" t="str">
        <f t="shared" si="78"/>
        <v>Error?</v>
      </c>
    </row>
    <row r="5117" spans="1:4" x14ac:dyDescent="0.2">
      <c r="A5117" s="5">
        <v>5056</v>
      </c>
      <c r="B5117" s="1890">
        <f>'Revenues 9-14'!C105</f>
        <v>63</v>
      </c>
      <c r="D5117" s="2" t="str">
        <f t="shared" si="78"/>
        <v>Error?</v>
      </c>
    </row>
    <row r="5118" spans="1:4" x14ac:dyDescent="0.2">
      <c r="A5118" s="5">
        <v>5057</v>
      </c>
      <c r="B5118" s="1890">
        <f>'Revenues 9-14'!C106</f>
        <v>6245</v>
      </c>
      <c r="D5118" s="2" t="str">
        <f t="shared" si="78"/>
        <v>Error?</v>
      </c>
    </row>
    <row r="5119" spans="1:4" x14ac:dyDescent="0.2">
      <c r="A5119" s="5">
        <v>5058</v>
      </c>
      <c r="B5119" s="1890">
        <f>'Revenues 9-14'!C107</f>
        <v>22498</v>
      </c>
      <c r="D5119" s="2" t="str">
        <f t="shared" ref="D5119:D5182" si="79">IF(ISBLANK(B5119),"OK",IF(A5119-B5119=0,"OK","Error?"))</f>
        <v>Error?</v>
      </c>
    </row>
    <row r="5120" spans="1:4" x14ac:dyDescent="0.2">
      <c r="A5120" s="5">
        <v>5059</v>
      </c>
      <c r="B5120" s="1890">
        <f>'Revenues 9-14'!C108</f>
        <v>50740</v>
      </c>
      <c r="C5120" s="2" t="s">
        <v>569</v>
      </c>
      <c r="D5120" s="2" t="str">
        <f t="shared" si="79"/>
        <v>Error?</v>
      </c>
    </row>
    <row r="5121" spans="1:4" x14ac:dyDescent="0.2">
      <c r="A5121" s="5">
        <v>5060</v>
      </c>
      <c r="B5121" s="1890">
        <f>'Revenues 9-14'!C109</f>
        <v>10083855</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1568110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1568110</v>
      </c>
      <c r="C5132" s="2" t="s">
        <v>569</v>
      </c>
      <c r="D5132" s="2" t="str">
        <f t="shared" si="79"/>
        <v>Error?</v>
      </c>
    </row>
    <row r="5133" spans="1:4" x14ac:dyDescent="0.2">
      <c r="A5133" s="5">
        <v>5072</v>
      </c>
      <c r="B5133" s="1890">
        <f>'Revenues 9-14'!C125</f>
        <v>266271</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93822</v>
      </c>
      <c r="D5137" s="2" t="str">
        <f t="shared" si="79"/>
        <v>Error?</v>
      </c>
    </row>
    <row r="5138" spans="1:4" x14ac:dyDescent="0.2">
      <c r="A5138" s="10">
        <v>5077</v>
      </c>
      <c r="B5138" s="1890"/>
      <c r="D5138" s="2" t="str">
        <f t="shared" si="79"/>
        <v>OK</v>
      </c>
    </row>
    <row r="5139" spans="1:4" x14ac:dyDescent="0.2">
      <c r="A5139" s="5">
        <v>5078</v>
      </c>
      <c r="B5139" s="1890">
        <f>'Revenues 9-14'!C129</f>
        <v>13720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373813</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12204</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1037</v>
      </c>
      <c r="D5167" s="2" t="str">
        <f t="shared" si="79"/>
        <v>Error?</v>
      </c>
    </row>
    <row r="5168" spans="1:4" x14ac:dyDescent="0.2">
      <c r="A5168" s="5">
        <v>5107</v>
      </c>
      <c r="B5168" s="1890">
        <f>'Revenues 9-14'!C148</f>
        <v>8843</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395897</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1964007</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80899</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6183</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87082</v>
      </c>
      <c r="C5246" s="2" t="s">
        <v>569</v>
      </c>
      <c r="D5246" s="2" t="str">
        <f t="shared" si="80"/>
        <v>Error?</v>
      </c>
    </row>
    <row r="5247" spans="1:4" x14ac:dyDescent="0.2">
      <c r="A5247" s="5">
        <v>5186</v>
      </c>
      <c r="B5247" s="1890">
        <f>'Revenues 9-14'!C200</f>
        <v>121120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11431</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121120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21556</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226285</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247841</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31411</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611937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611937</v>
      </c>
      <c r="C5326" s="2" t="s">
        <v>569</v>
      </c>
      <c r="D5326" s="2" t="str">
        <f t="shared" si="82"/>
        <v>Error?</v>
      </c>
    </row>
    <row r="5327" spans="1:5" x14ac:dyDescent="0.2">
      <c r="A5327" s="5">
        <v>5266</v>
      </c>
      <c r="B5327" s="1890">
        <f>'Revenues 9-14'!C268</f>
        <v>12659799</v>
      </c>
      <c r="C5327" s="2" t="s">
        <v>569</v>
      </c>
      <c r="D5327" s="2" t="str">
        <f t="shared" si="82"/>
        <v>Error?</v>
      </c>
    </row>
    <row r="5328" spans="1:5" x14ac:dyDescent="0.2">
      <c r="A5328" s="5">
        <v>5267</v>
      </c>
      <c r="B5328" s="1890">
        <f>'Revenues 9-14'!D5</f>
        <v>1118712</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1118712</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5241</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5241</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19710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241</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32510</v>
      </c>
      <c r="D5354" s="2" t="str">
        <f t="shared" si="82"/>
        <v>Error?</v>
      </c>
    </row>
    <row r="5355" spans="1:4" x14ac:dyDescent="0.2">
      <c r="A5355" s="5">
        <v>5294</v>
      </c>
      <c r="B5355" s="1890">
        <f>'Revenues 9-14'!D108</f>
        <v>179556</v>
      </c>
      <c r="C5355" s="2" t="s">
        <v>569</v>
      </c>
      <c r="D5355" s="2" t="str">
        <f t="shared" si="82"/>
        <v>Error?</v>
      </c>
    </row>
    <row r="5356" spans="1:4" x14ac:dyDescent="0.2">
      <c r="A5356" s="5">
        <v>5295</v>
      </c>
      <c r="B5356" s="1890">
        <f>'Revenues 9-14'!D109</f>
        <v>1303509</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1353509</v>
      </c>
      <c r="C5508" s="2" t="s">
        <v>569</v>
      </c>
      <c r="D5508" s="2" t="str">
        <f t="shared" si="85"/>
        <v>Error?</v>
      </c>
    </row>
    <row r="5509" spans="1:4" x14ac:dyDescent="0.2">
      <c r="A5509" s="5">
        <v>5448</v>
      </c>
      <c r="B5509" s="1890">
        <f>'Revenues 9-14'!E5</f>
        <v>4366493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4366493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17936</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17936</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4384429</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4384429</v>
      </c>
      <c r="C5552" s="2" t="s">
        <v>569</v>
      </c>
      <c r="D5552" s="2" t="str">
        <f t="shared" si="85"/>
        <v>Error?</v>
      </c>
    </row>
    <row r="5553" spans="1:4" x14ac:dyDescent="0.2">
      <c r="A5553" s="5">
        <v>5492</v>
      </c>
      <c r="B5553" s="1890">
        <f>'Revenues 9-14'!F5</f>
        <v>671520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671520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2211</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3885</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6096</v>
      </c>
      <c r="C5579" s="2" t="s">
        <v>569</v>
      </c>
      <c r="D5579" s="2" t="str">
        <f t="shared" si="86"/>
        <v>Error?</v>
      </c>
    </row>
    <row r="5580" spans="1:4" x14ac:dyDescent="0.2">
      <c r="A5580" s="5">
        <v>5519</v>
      </c>
      <c r="B5580" s="1890">
        <f>'Revenues 9-14'!F65</f>
        <v>5042</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5042</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68</v>
      </c>
      <c r="D5586" s="2" t="str">
        <f t="shared" si="86"/>
        <v>Error?</v>
      </c>
    </row>
    <row r="5587" spans="1:4" x14ac:dyDescent="0.2">
      <c r="A5587" s="5">
        <v>5526</v>
      </c>
      <c r="B5587" s="1890">
        <f>'Revenues 9-14'!F108</f>
        <v>68</v>
      </c>
      <c r="C5587" s="2" t="s">
        <v>569</v>
      </c>
      <c r="D5587" s="2" t="str">
        <f t="shared" si="86"/>
        <v>Error?</v>
      </c>
    </row>
    <row r="5588" spans="1:4" x14ac:dyDescent="0.2">
      <c r="A5588" s="5">
        <v>5527</v>
      </c>
      <c r="B5588" s="1890">
        <f>'Revenues 9-14'!F109</f>
        <v>682726</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505486</v>
      </c>
      <c r="D5615" s="2" t="str">
        <f t="shared" si="86"/>
        <v>Error?</v>
      </c>
    </row>
    <row r="5616" spans="1:4" x14ac:dyDescent="0.2">
      <c r="A5616" s="10">
        <v>5555</v>
      </c>
      <c r="B5616" s="1890"/>
      <c r="D5616" s="2" t="str">
        <f t="shared" si="86"/>
        <v>OK</v>
      </c>
    </row>
    <row r="5617" spans="1:5" x14ac:dyDescent="0.2">
      <c r="A5617" s="5">
        <v>5556</v>
      </c>
      <c r="B5617" s="1890">
        <f>'Revenues 9-14'!F153</f>
        <v>462854</v>
      </c>
      <c r="D5617" s="2" t="str">
        <f t="shared" si="86"/>
        <v>Error?</v>
      </c>
    </row>
    <row r="5618" spans="1:5" x14ac:dyDescent="0.2">
      <c r="A5618" s="5">
        <v>5557</v>
      </c>
      <c r="B5618" s="1890">
        <f>'Revenues 9-14'!F155</f>
        <v>968340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968340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968340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1651066</v>
      </c>
      <c r="C5720" s="2" t="s">
        <v>569</v>
      </c>
      <c r="D5720" s="2" t="str">
        <f t="shared" si="88"/>
        <v>Error?</v>
      </c>
    </row>
    <row r="5721" spans="1:4" x14ac:dyDescent="0.2">
      <c r="A5721" s="5">
        <v>5660</v>
      </c>
      <c r="B5721" s="1890">
        <f>'Revenues 9-14'!G5</f>
        <v>203058</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203058</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406116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189100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189100</v>
      </c>
      <c r="C5730" s="2" t="s">
        <v>569</v>
      </c>
      <c r="D5730" s="2" t="str">
        <f t="shared" si="88"/>
        <v>Error?</v>
      </c>
    </row>
    <row r="5731" spans="1:4" x14ac:dyDescent="0.2">
      <c r="A5731" s="5">
        <v>5670</v>
      </c>
      <c r="B5731" s="1890">
        <f>'Revenues 9-14'!G65</f>
        <v>2947</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2947</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598163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44</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44</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44</v>
      </c>
      <c r="C5915" s="2" t="s">
        <v>569</v>
      </c>
      <c r="D5915" s="2" t="str">
        <f t="shared" si="91"/>
        <v>Error?</v>
      </c>
    </row>
    <row r="5916" spans="1:4" x14ac:dyDescent="0.2">
      <c r="A5916" s="5">
        <v>5855</v>
      </c>
      <c r="B5916" s="1890">
        <f>'Revenues 9-14'!I5</f>
        <v>1087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1087</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150988</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150988</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152075</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56</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56</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56</v>
      </c>
      <c r="C6023" s="2" t="s">
        <v>569</v>
      </c>
      <c r="D6023" s="2" t="str">
        <f t="shared" si="93"/>
        <v>Error?</v>
      </c>
    </row>
    <row r="6024" spans="1:5" x14ac:dyDescent="0.2">
      <c r="A6024" s="5">
        <v>5963</v>
      </c>
      <c r="B6024" s="1890">
        <f>'Revenues 9-14'!G109</f>
        <v>598163</v>
      </c>
      <c r="C6024" s="2" t="s">
        <v>569</v>
      </c>
      <c r="D6024" s="2" t="str">
        <f t="shared" si="93"/>
        <v>Error?</v>
      </c>
    </row>
    <row r="6025" spans="1:5" x14ac:dyDescent="0.2">
      <c r="A6025" s="5">
        <v>5964</v>
      </c>
      <c r="B6025" s="1890">
        <f>'Revenues 9-14'!H109</f>
        <v>44</v>
      </c>
      <c r="C6025" s="2" t="s">
        <v>569</v>
      </c>
      <c r="D6025" s="2" t="str">
        <f t="shared" si="93"/>
        <v>Error?</v>
      </c>
    </row>
    <row r="6026" spans="1:5" x14ac:dyDescent="0.2">
      <c r="A6026" s="5">
        <v>5965</v>
      </c>
      <c r="B6026" s="1890">
        <f>'Revenues 9-14'!I109</f>
        <v>152075</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56</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116902</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26648</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1390.3</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230291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230291</v>
      </c>
      <c r="D6215" s="2" t="str">
        <f t="shared" si="96"/>
        <v>Error?</v>
      </c>
      <c r="E6215" s="2" t="s">
        <v>189</v>
      </c>
    </row>
    <row r="6216" spans="1:5" x14ac:dyDescent="0.2">
      <c r="A6216">
        <v>6155</v>
      </c>
      <c r="B6216" s="1890">
        <f>'Assets-Liab 5-6'!J41</f>
        <v>230291</v>
      </c>
      <c r="D6216" s="2" t="str">
        <f t="shared" si="96"/>
        <v>Error?</v>
      </c>
      <c r="E6216" s="2" t="s">
        <v>189</v>
      </c>
    </row>
    <row r="6217" spans="1:5" x14ac:dyDescent="0.2">
      <c r="A6217">
        <v>6156</v>
      </c>
      <c r="B6217" s="1890">
        <f>'Assets-Liab 5-6'!J4</f>
        <v>230291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88147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88147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88147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203665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203665</v>
      </c>
      <c r="D6229" s="2" t="str">
        <f t="shared" si="96"/>
        <v>Error?</v>
      </c>
      <c r="E6229" s="2" t="s">
        <v>189</v>
      </c>
    </row>
    <row r="6230" spans="1:5" x14ac:dyDescent="0.2">
      <c r="A6230">
        <v>6169</v>
      </c>
      <c r="B6230" s="1890">
        <f>'Acct Summary 7-8'!J20</f>
        <v>-115518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-115518</v>
      </c>
      <c r="D6263" s="2" t="str">
        <f t="shared" si="96"/>
        <v>Error?</v>
      </c>
      <c r="E6263" s="2" t="s">
        <v>189</v>
      </c>
    </row>
    <row r="6264" spans="1:5" x14ac:dyDescent="0.2">
      <c r="A6264">
        <v>6203</v>
      </c>
      <c r="B6264" s="1890">
        <f>'Acct Summary 7-8'!J79</f>
        <v>345809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230291</v>
      </c>
      <c r="D6266" s="2" t="str">
        <f t="shared" si="96"/>
        <v>Error?</v>
      </c>
      <c r="E6266" s="2" t="s">
        <v>189</v>
      </c>
    </row>
    <row r="6267" spans="1:5" x14ac:dyDescent="0.2">
      <c r="A6267">
        <v>6206</v>
      </c>
      <c r="B6267" s="1890">
        <f>'Acct Summary 7-8'!C82</f>
        <v>885495</v>
      </c>
      <c r="D6267" s="2" t="str">
        <f t="shared" si="96"/>
        <v>Error?</v>
      </c>
      <c r="E6267" s="2" t="s">
        <v>189</v>
      </c>
    </row>
    <row r="6268" spans="1:5" x14ac:dyDescent="0.2">
      <c r="A6268">
        <v>6207</v>
      </c>
      <c r="B6268" s="1890">
        <f>'Acct Summary 7-8'!D82</f>
        <v>767629</v>
      </c>
      <c r="D6268" s="2" t="str">
        <f t="shared" si="96"/>
        <v>Error?</v>
      </c>
      <c r="E6268" s="2" t="s">
        <v>189</v>
      </c>
    </row>
    <row r="6269" spans="1:5" x14ac:dyDescent="0.2">
      <c r="A6269">
        <v>6208</v>
      </c>
      <c r="B6269" s="1890">
        <f>'Acct Summary 7-8'!E82</f>
        <v>-875107</v>
      </c>
      <c r="D6269" s="2" t="str">
        <f t="shared" si="96"/>
        <v>Error?</v>
      </c>
      <c r="E6269" s="2" t="s">
        <v>189</v>
      </c>
    </row>
    <row r="6270" spans="1:5" x14ac:dyDescent="0.2">
      <c r="A6270">
        <v>6209</v>
      </c>
      <c r="B6270" s="1890">
        <f>'Acct Summary 7-8'!F82</f>
        <v>277930</v>
      </c>
      <c r="D6270" s="2" t="str">
        <f t="shared" si="96"/>
        <v>Error?</v>
      </c>
      <c r="E6270" s="2" t="s">
        <v>189</v>
      </c>
    </row>
    <row r="6271" spans="1:5" x14ac:dyDescent="0.2">
      <c r="A6271">
        <v>6210</v>
      </c>
      <c r="B6271" s="1890">
        <f>'Acct Summary 7-8'!G82</f>
        <v>17897</v>
      </c>
      <c r="D6271" s="2" t="str">
        <f t="shared" ref="D6271:D6334" si="97">IF(ISBLANK(B6271),"OK",IF(A6271-B6271=0,"OK","Error?"))</f>
        <v>Error?</v>
      </c>
      <c r="E6271" s="2" t="s">
        <v>189</v>
      </c>
    </row>
    <row r="6272" spans="1:5" x14ac:dyDescent="0.2">
      <c r="A6272">
        <v>6211</v>
      </c>
      <c r="B6272" s="1890">
        <f>'Acct Summary 7-8'!H82</f>
        <v>44</v>
      </c>
      <c r="D6272" s="2" t="str">
        <f t="shared" si="97"/>
        <v>Error?</v>
      </c>
      <c r="E6272" s="2" t="s">
        <v>189</v>
      </c>
    </row>
    <row r="6273" spans="1:5" x14ac:dyDescent="0.2">
      <c r="A6273">
        <v>6212</v>
      </c>
      <c r="B6273" s="1890">
        <f>'Acct Summary 7-8'!I82</f>
        <v>-3077925</v>
      </c>
      <c r="D6273" s="2" t="str">
        <f t="shared" si="97"/>
        <v>Error?</v>
      </c>
      <c r="E6273" s="2" t="s">
        <v>189</v>
      </c>
    </row>
    <row r="6274" spans="1:5" x14ac:dyDescent="0.2">
      <c r="A6274">
        <v>6213</v>
      </c>
      <c r="B6274" s="1890">
        <f>'Acct Summary 7-8'!J82</f>
        <v>-115518</v>
      </c>
      <c r="D6274" s="2" t="str">
        <f t="shared" si="97"/>
        <v>Error?</v>
      </c>
      <c r="E6274" s="2" t="s">
        <v>189</v>
      </c>
    </row>
    <row r="6275" spans="1:5" x14ac:dyDescent="0.2">
      <c r="A6275">
        <v>6214</v>
      </c>
      <c r="B6275" s="1890">
        <f>'Acct Summary 7-8'!K82</f>
        <v>56</v>
      </c>
      <c r="D6275" s="2" t="str">
        <f t="shared" si="97"/>
        <v>Error?</v>
      </c>
      <c r="E6275" s="2" t="s">
        <v>189</v>
      </c>
    </row>
    <row r="6276" spans="1:5" x14ac:dyDescent="0.2">
      <c r="A6276">
        <v>6215</v>
      </c>
      <c r="B6276" s="1890">
        <f>'Acct Summary 7-8'!C83</f>
        <v>0.15368094406277091</v>
      </c>
      <c r="D6276" s="2" t="str">
        <f t="shared" si="97"/>
        <v>Error?</v>
      </c>
      <c r="E6276" s="2" t="s">
        <v>189</v>
      </c>
    </row>
    <row r="6277" spans="1:5" x14ac:dyDescent="0.2">
      <c r="A6277">
        <v>6216</v>
      </c>
      <c r="B6277" s="1890">
        <f>'Acct Summary 7-8'!D83</f>
        <v>0.57559885964346613</v>
      </c>
      <c r="D6277" s="2" t="str">
        <f t="shared" si="97"/>
        <v>Error?</v>
      </c>
      <c r="E6277" s="2" t="s">
        <v>189</v>
      </c>
    </row>
    <row r="6278" spans="1:5" x14ac:dyDescent="0.2">
      <c r="A6278">
        <v>6217</v>
      </c>
      <c r="B6278" s="1890">
        <f>'Acct Summary 7-8'!E83</f>
        <v>-0.44979651123942593</v>
      </c>
      <c r="D6278" s="2" t="str">
        <f t="shared" si="97"/>
        <v>Error?</v>
      </c>
      <c r="E6278" s="2" t="s">
        <v>189</v>
      </c>
    </row>
    <row r="6279" spans="1:5" x14ac:dyDescent="0.2">
      <c r="A6279">
        <v>6218</v>
      </c>
      <c r="B6279" s="1890">
        <f>'Acct Summary 7-8'!F83</f>
        <v>0.28259594159161922</v>
      </c>
      <c r="D6279" s="2" t="str">
        <f t="shared" si="97"/>
        <v>Error?</v>
      </c>
      <c r="E6279" s="2" t="s">
        <v>189</v>
      </c>
    </row>
    <row r="6280" spans="1:5" x14ac:dyDescent="0.2">
      <c r="A6280">
        <v>6219</v>
      </c>
      <c r="B6280" s="1890">
        <f>'Acct Summary 7-8'!G83</f>
        <v>6.9101453304298135E-2</v>
      </c>
      <c r="D6280" s="2" t="str">
        <f t="shared" si="97"/>
        <v>Error?</v>
      </c>
      <c r="E6280" s="2" t="s">
        <v>189</v>
      </c>
    </row>
    <row r="6281" spans="1:5" x14ac:dyDescent="0.2">
      <c r="A6281">
        <v>6220</v>
      </c>
      <c r="B6281" s="1890">
        <f>'Acct Summary 7-8'!H83</f>
        <v>1.1198778315092899E-2</v>
      </c>
      <c r="D6281" s="2" t="str">
        <f t="shared" si="97"/>
        <v>Error?</v>
      </c>
      <c r="E6281" s="2" t="s">
        <v>189</v>
      </c>
    </row>
    <row r="6282" spans="1:5" x14ac:dyDescent="0.2">
      <c r="A6282">
        <v>6221</v>
      </c>
      <c r="B6282" s="1890">
        <f>'Acct Summary 7-8'!I83</f>
        <v>-1.1841024031170582</v>
      </c>
      <c r="D6282" s="2" t="str">
        <f t="shared" si="97"/>
        <v>Error?</v>
      </c>
      <c r="E6282" s="2" t="s">
        <v>189</v>
      </c>
    </row>
    <row r="6283" spans="1:5" x14ac:dyDescent="0.2">
      <c r="A6283">
        <v>6222</v>
      </c>
      <c r="B6283" s="1890">
        <f>'Acct Summary 7-8'!J83</f>
        <v>-0.50161751870459548</v>
      </c>
      <c r="D6283" s="2" t="str">
        <f t="shared" si="97"/>
        <v>Error?</v>
      </c>
      <c r="E6283" s="2" t="s">
        <v>189</v>
      </c>
    </row>
    <row r="6284" spans="1:5" x14ac:dyDescent="0.2">
      <c r="A6284">
        <v>6223</v>
      </c>
      <c r="B6284" s="1890">
        <f>'Acct Summary 7-8'!K83</f>
        <v>1.3213780084945729E-2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83083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83083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2993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2993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127095</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5630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2071</v>
      </c>
      <c r="D6350" s="2" t="str">
        <f t="shared" si="98"/>
        <v>Error?</v>
      </c>
      <c r="E6350" s="2" t="s">
        <v>189</v>
      </c>
    </row>
    <row r="6351" spans="1:5" x14ac:dyDescent="0.2">
      <c r="A6351">
        <v>6290</v>
      </c>
      <c r="B6351" s="1890">
        <f>'Revenues 9-14'!J108</f>
        <v>2071</v>
      </c>
      <c r="D6351" s="2" t="str">
        <f t="shared" si="98"/>
        <v>Error?</v>
      </c>
      <c r="E6351" s="2" t="s">
        <v>189</v>
      </c>
    </row>
    <row r="6352" spans="1:5" x14ac:dyDescent="0.2">
      <c r="A6352">
        <v>6291</v>
      </c>
      <c r="B6352" s="1890">
        <f>'Revenues 9-14'!J109</f>
        <v>88147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12204</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62731</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649</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87764</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2554</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5450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9200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2637</v>
      </c>
      <c r="D6878" s="2" t="str">
        <f t="shared" si="106"/>
        <v>Error?</v>
      </c>
    </row>
    <row r="6879" spans="1:4" x14ac:dyDescent="0.2">
      <c r="A6879">
        <v>6818</v>
      </c>
      <c r="B6879" s="1890">
        <f>'Expenditures 15-22'!K21</f>
        <v>2637</v>
      </c>
      <c r="D6879" s="2" t="str">
        <f t="shared" si="106"/>
        <v>Error?</v>
      </c>
    </row>
    <row r="6880" spans="1:4" x14ac:dyDescent="0.2">
      <c r="A6880">
        <v>6819</v>
      </c>
      <c r="B6880" s="1890">
        <f>'Expenditures 15-22'!H22</f>
        <v>477155</v>
      </c>
      <c r="D6880" s="2" t="str">
        <f t="shared" si="106"/>
        <v>Error?</v>
      </c>
    </row>
    <row r="6881" spans="1:4" x14ac:dyDescent="0.2">
      <c r="A6881">
        <v>6820</v>
      </c>
      <c r="B6881" s="1890">
        <f>'Expenditures 15-22'!K22</f>
        <v>477155</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8653</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4473</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4473</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13157</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13157</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17630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26283</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23630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23630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23630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203665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23630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88147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876</v>
      </c>
      <c r="D7073" s="2" t="str">
        <f t="shared" si="109"/>
        <v>Error?</v>
      </c>
    </row>
    <row r="7074" spans="1:4" x14ac:dyDescent="0.2">
      <c r="A7074">
        <v>7013</v>
      </c>
      <c r="B7074" s="1890">
        <f>'Expenditures 15-22'!K216</f>
        <v>876</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117</v>
      </c>
      <c r="D7079" s="2" t="str">
        <f t="shared" si="109"/>
        <v>Error?</v>
      </c>
    </row>
    <row r="7080" spans="1:4" x14ac:dyDescent="0.2">
      <c r="A7080">
        <v>7019</v>
      </c>
      <c r="B7080" s="1890">
        <f>'Expenditures 15-22'!K226</f>
        <v>117</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522</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522</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195202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195202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2071</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2071</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5870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5870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203665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203665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203665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203665</v>
      </c>
      <c r="D7224" s="2" t="str">
        <f t="shared" si="111"/>
        <v>Error?</v>
      </c>
    </row>
    <row r="7225" spans="1:4" x14ac:dyDescent="0.2">
      <c r="A7225">
        <v>7164</v>
      </c>
      <c r="B7225" s="1890">
        <f>'Expenditures 15-22'!K343</f>
        <v>-115518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18435</v>
      </c>
      <c r="D7246" s="2" t="str">
        <f t="shared" si="112"/>
        <v>Error?</v>
      </c>
    </row>
    <row r="7247" spans="1:4" x14ac:dyDescent="0.2">
      <c r="A7247">
        <f t="shared" si="113"/>
        <v>7186</v>
      </c>
      <c r="B7247" s="1890">
        <f>'Expenditures 15-22'!E7</f>
        <v>430</v>
      </c>
      <c r="D7247" s="2" t="str">
        <f t="shared" si="112"/>
        <v>Error?</v>
      </c>
    </row>
    <row r="7248" spans="1:4" x14ac:dyDescent="0.2">
      <c r="A7248">
        <f t="shared" si="113"/>
        <v>7187</v>
      </c>
      <c r="B7248" s="1890">
        <f>'Expenditures 15-22'!F7</f>
        <v>6168</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8159</v>
      </c>
      <c r="D7263" s="2" t="str">
        <f t="shared" si="112"/>
        <v>Error?</v>
      </c>
    </row>
    <row r="7264" spans="1:4" x14ac:dyDescent="0.2">
      <c r="A7264">
        <f t="shared" si="113"/>
        <v>7203</v>
      </c>
      <c r="B7264" s="1890">
        <f>'Expenditures 15-22'!D17</f>
        <v>610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421</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10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100503</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100503</v>
      </c>
      <c r="D7609" s="2" t="str">
        <f t="shared" si="122"/>
        <v>Error?</v>
      </c>
      <c r="E7609" s="2" t="s">
        <v>19</v>
      </c>
    </row>
    <row r="7610" spans="1:5" x14ac:dyDescent="0.2">
      <c r="A7610">
        <f t="shared" si="123"/>
        <v>7549</v>
      </c>
      <c r="B7610" s="1890">
        <f>'Cap Outlay Deprec 26'!H9</f>
        <v>17346</v>
      </c>
      <c r="D7610" s="2" t="str">
        <f t="shared" si="122"/>
        <v>Error?</v>
      </c>
      <c r="E7610" s="2" t="s">
        <v>19</v>
      </c>
    </row>
    <row r="7611" spans="1:5" x14ac:dyDescent="0.2">
      <c r="A7611">
        <f t="shared" si="123"/>
        <v>7550</v>
      </c>
      <c r="B7611" s="1890">
        <f>'Cap Outlay Deprec 26'!I9</f>
        <v>2010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19356</v>
      </c>
      <c r="D7613" s="2" t="str">
        <f t="shared" si="122"/>
        <v>Error?</v>
      </c>
      <c r="E7613" s="2" t="s">
        <v>19</v>
      </c>
    </row>
    <row r="7614" spans="1:5" x14ac:dyDescent="0.2">
      <c r="A7614">
        <f t="shared" si="123"/>
        <v>7553</v>
      </c>
      <c r="B7614" s="1890">
        <f>'Cap Outlay Deprec 26'!L9</f>
        <v>81147</v>
      </c>
      <c r="D7614" s="2" t="str">
        <f t="shared" si="122"/>
        <v>Error?</v>
      </c>
      <c r="E7614" s="2" t="s">
        <v>19</v>
      </c>
    </row>
    <row r="7615" spans="1:5" x14ac:dyDescent="0.2">
      <c r="A7615">
        <f t="shared" si="123"/>
        <v>7554</v>
      </c>
      <c r="B7615" s="1890">
        <f>'Cap Outlay Deprec 26'!C14</f>
        <v>451691</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451691</v>
      </c>
      <c r="D7618" s="2" t="str">
        <f t="shared" si="124"/>
        <v>Error?</v>
      </c>
      <c r="E7618" s="2" t="s">
        <v>19</v>
      </c>
    </row>
    <row r="7619" spans="1:5" x14ac:dyDescent="0.2">
      <c r="A7619">
        <f t="shared" si="123"/>
        <v>7558</v>
      </c>
      <c r="B7619" s="1890">
        <f>'Cap Outlay Deprec 26'!H14</f>
        <v>444006</v>
      </c>
      <c r="D7619" s="2" t="str">
        <f t="shared" si="124"/>
        <v>Error?</v>
      </c>
      <c r="E7619" s="2" t="s">
        <v>19</v>
      </c>
    </row>
    <row r="7620" spans="1:5" x14ac:dyDescent="0.2">
      <c r="A7620">
        <f t="shared" si="123"/>
        <v>7559</v>
      </c>
      <c r="B7620" s="1890">
        <f>'Cap Outlay Deprec 26'!I14</f>
        <v>7685</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451691</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49913</v>
      </c>
      <c r="D7624" s="2" t="str">
        <f t="shared" si="124"/>
        <v>Error?</v>
      </c>
      <c r="E7624" s="2" t="s">
        <v>19</v>
      </c>
    </row>
    <row r="7625" spans="1:5" x14ac:dyDescent="0.2">
      <c r="A7625">
        <f t="shared" si="123"/>
        <v>7564</v>
      </c>
      <c r="B7625" s="1890">
        <f>'Cap Outlay Deprec 26'!I17</f>
        <v>4991.3</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673679.3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-2941</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5630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8843</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14473</v>
      </c>
      <c r="D7719" s="2" t="str">
        <f t="shared" si="126"/>
        <v>Error?</v>
      </c>
      <c r="E7719" s="2" t="s">
        <v>822</v>
      </c>
    </row>
    <row r="7720" spans="1:6" x14ac:dyDescent="0.2">
      <c r="A7720">
        <v>7659</v>
      </c>
      <c r="B7720" s="1890">
        <f>'Rest Tax Levies-Tort Im 25'!H14</f>
        <v>80365</v>
      </c>
      <c r="D7720" s="2" t="str">
        <f t="shared" si="126"/>
        <v>Error?</v>
      </c>
      <c r="E7720" s="2" t="s">
        <v>822</v>
      </c>
    </row>
    <row r="7721" spans="1:6" x14ac:dyDescent="0.2">
      <c r="A7721">
        <v>7660</v>
      </c>
      <c r="B7721" s="1890">
        <f>'Rest Tax Levies-Tort Im 25'!K14</f>
        <v>14639</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-3107</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-3107</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1100000</v>
      </c>
      <c r="D7748" s="2" t="str">
        <f t="shared" si="127"/>
        <v>Error?</v>
      </c>
      <c r="E7748" s="4" t="s">
        <v>1324</v>
      </c>
    </row>
    <row r="7749" spans="1:6" x14ac:dyDescent="0.2">
      <c r="A7749">
        <v>7688</v>
      </c>
      <c r="B7749" s="1890">
        <f>'Acct Summary 7-8'!D25</f>
        <v>1800000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330000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14639</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20980000</v>
      </c>
      <c r="D7817" s="2" t="str">
        <f t="shared" si="128"/>
        <v>Error?</v>
      </c>
      <c r="E7817" s="4" t="s">
        <v>1969</v>
      </c>
    </row>
    <row r="7818" spans="1:5" x14ac:dyDescent="0.2">
      <c r="A7818">
        <v>7757</v>
      </c>
      <c r="B7818" s="1890">
        <f>'PCTC-OEPP 27-28'!F172</f>
        <v>587080</v>
      </c>
      <c r="D7818" s="2" t="str">
        <f t="shared" si="128"/>
        <v>Error?</v>
      </c>
      <c r="E7818" s="4" t="s">
        <v>1983</v>
      </c>
    </row>
    <row r="7819" spans="1:5" x14ac:dyDescent="0.2">
      <c r="A7819">
        <v>7758</v>
      </c>
      <c r="B7819" s="1890">
        <f>'PCTC-OEPP 27-28'!F173</f>
        <v>584</v>
      </c>
      <c r="D7819" s="2" t="str">
        <f t="shared" si="128"/>
        <v>Error?</v>
      </c>
      <c r="E7819" s="4" t="s">
        <v>1983</v>
      </c>
    </row>
    <row r="7820" spans="1:5" x14ac:dyDescent="0.2">
      <c r="A7820">
        <v>7759</v>
      </c>
      <c r="B7820" s="1890">
        <f>'ICR Computation 30'!E40</f>
        <v>-503425</v>
      </c>
      <c r="D7820" s="2" t="str">
        <f t="shared" si="128"/>
        <v>Error?</v>
      </c>
    </row>
    <row r="7821" spans="1:5" x14ac:dyDescent="0.2">
      <c r="A7821">
        <v>7760</v>
      </c>
      <c r="B7821" s="1890">
        <f>'ICR Computation 30'!G40</f>
        <v>-503425</v>
      </c>
      <c r="D7821" s="2" t="str">
        <f t="shared" si="128"/>
        <v>Error?</v>
      </c>
    </row>
    <row r="7822" spans="1:5" x14ac:dyDescent="0.2">
      <c r="A7822" s="1">
        <v>7761</v>
      </c>
      <c r="B7822" s="1890">
        <f>'PCTC-OEPP 27-28'!F14</f>
        <v>23006787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87764</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26479</v>
      </c>
      <c r="D7830" s="2" t="str">
        <f t="shared" si="129"/>
        <v>Error?</v>
      </c>
      <c r="E7830" s="4" t="s">
        <v>2001</v>
      </c>
    </row>
    <row r="7831" spans="1:5" x14ac:dyDescent="0.2">
      <c r="A7831">
        <v>7770</v>
      </c>
      <c r="B7831" s="1890">
        <f>'PCTC-OEPP 27-28'!F52</f>
        <v>2052</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6543612</v>
      </c>
      <c r="D7834" s="2" t="str">
        <f t="shared" si="129"/>
        <v>Error?</v>
      </c>
      <c r="E7834" s="4" t="s">
        <v>2001</v>
      </c>
    </row>
    <row r="7835" spans="1:5" x14ac:dyDescent="0.2">
      <c r="A7835">
        <v>7774</v>
      </c>
      <c r="B7835" s="1890">
        <f>'PCTC-OEPP 27-28'!F78</f>
        <v>16463175</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11841.455081637057</v>
      </c>
      <c r="D7837" s="2" t="str">
        <f t="shared" si="129"/>
        <v>Error?</v>
      </c>
      <c r="E7837" s="4" t="s">
        <v>2001</v>
      </c>
    </row>
    <row r="7838" spans="1:5" x14ac:dyDescent="0.2">
      <c r="A7838">
        <v>7777</v>
      </c>
      <c r="B7838" s="1890">
        <f>'PCTC-OEPP 27-28'!F96</f>
        <v>138439</v>
      </c>
      <c r="D7838" s="2" t="str">
        <f t="shared" si="129"/>
        <v>Error?</v>
      </c>
      <c r="E7838" s="4" t="s">
        <v>2001</v>
      </c>
    </row>
    <row r="7839" spans="1:5" x14ac:dyDescent="0.2">
      <c r="A7839">
        <v>7778</v>
      </c>
      <c r="B7839" s="1890">
        <f>'PCTC-OEPP 27-28'!F102</f>
        <v>19710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373813</v>
      </c>
      <c r="D7842" s="2" t="str">
        <f t="shared" si="129"/>
        <v>Error?</v>
      </c>
      <c r="E7842" s="4" t="s">
        <v>2001</v>
      </c>
    </row>
    <row r="7843" spans="1:5" x14ac:dyDescent="0.2">
      <c r="A7843">
        <v>7782</v>
      </c>
      <c r="B7843" s="1890">
        <f>'PCTC-OEPP 27-28'!F107</f>
        <v>12204</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8843</v>
      </c>
      <c r="D7846" s="2" t="str">
        <f t="shared" si="129"/>
        <v>Error?</v>
      </c>
      <c r="E7846" s="4" t="s">
        <v>2001</v>
      </c>
    </row>
    <row r="7847" spans="1:5" x14ac:dyDescent="0.2">
      <c r="A7847">
        <v>7786</v>
      </c>
      <c r="B7847" s="1890">
        <f>'PCTC-OEPP 27-28'!F112</f>
        <v>968340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87082</v>
      </c>
      <c r="D7858" s="2" t="str">
        <f t="shared" si="129"/>
        <v>Error?</v>
      </c>
      <c r="E7858" s="4" t="s">
        <v>2001</v>
      </c>
    </row>
    <row r="7859" spans="1:5" x14ac:dyDescent="0.2">
      <c r="A7859">
        <v>7798</v>
      </c>
      <c r="B7859" s="1890">
        <f>'PCTC-OEPP 27-28'!F127</f>
        <v>121120</v>
      </c>
      <c r="D7859" s="2" t="str">
        <f t="shared" si="129"/>
        <v>Error?</v>
      </c>
      <c r="E7859" s="4" t="s">
        <v>2001</v>
      </c>
    </row>
    <row r="7860" spans="1:5" x14ac:dyDescent="0.2">
      <c r="A7860">
        <v>7799</v>
      </c>
      <c r="B7860" s="1890">
        <f>'PCTC-OEPP 27-28'!F128</f>
        <v>11431</v>
      </c>
      <c r="D7860" s="2" t="str">
        <f t="shared" si="129"/>
        <v>Error?</v>
      </c>
      <c r="E7860" s="4" t="s">
        <v>2001</v>
      </c>
    </row>
    <row r="7861" spans="1:5" x14ac:dyDescent="0.2">
      <c r="A7861">
        <v>7800</v>
      </c>
      <c r="B7861" s="1890">
        <f>'PCTC-OEPP 27-28'!F129</f>
        <v>226285</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31411</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36449</v>
      </c>
      <c r="D7874" s="2" t="str">
        <f t="shared" si="129"/>
        <v>Error?</v>
      </c>
      <c r="E7874" s="4" t="s">
        <v>2001</v>
      </c>
    </row>
    <row r="7875" spans="1:5" x14ac:dyDescent="0.2">
      <c r="A7875">
        <v>7814</v>
      </c>
      <c r="B7875" s="1890">
        <f>'PCTC-OEPP 27-28'!F170</f>
        <v>76603</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3172110</v>
      </c>
      <c r="D7877" s="2" t="str">
        <f t="shared" si="129"/>
        <v>Error?</v>
      </c>
      <c r="E7877" s="4" t="s">
        <v>2001</v>
      </c>
    </row>
    <row r="7878" spans="1:5" x14ac:dyDescent="0.2">
      <c r="A7878">
        <v>7817</v>
      </c>
      <c r="B7878" s="1890">
        <f>'PCTC-OEPP 27-28'!F176</f>
        <v>13291065</v>
      </c>
      <c r="D7878" s="2" t="str">
        <f t="shared" si="129"/>
        <v>Error?</v>
      </c>
      <c r="E7878" s="4" t="s">
        <v>2001</v>
      </c>
    </row>
    <row r="7879" spans="1:5" x14ac:dyDescent="0.2">
      <c r="A7879">
        <v>7818</v>
      </c>
      <c r="B7879" s="1890">
        <f>'PCTC-OEPP 27-28'!F178</f>
        <v>13964744.300000001</v>
      </c>
      <c r="D7879" s="2" t="str">
        <f t="shared" si="129"/>
        <v>Error?</v>
      </c>
      <c r="E7879" s="4" t="s">
        <v>2001</v>
      </c>
    </row>
    <row r="7880" spans="1:5" x14ac:dyDescent="0.2">
      <c r="A7880">
        <v>7819</v>
      </c>
      <c r="B7880" s="1890">
        <f>'PCTC-OEPP 27-28'!F180</f>
        <v>10044.410774652953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1183</v>
      </c>
      <c r="B2" s="2608"/>
      <c r="C2" s="2608"/>
      <c r="D2" s="2608"/>
      <c r="E2" s="2608"/>
      <c r="F2" s="2608"/>
      <c r="G2" s="2608"/>
      <c r="H2" s="2608"/>
      <c r="I2" s="2608"/>
      <c r="J2" s="2608"/>
      <c r="K2" s="2608"/>
      <c r="L2" s="2608"/>
    </row>
    <row r="3" spans="1:29" ht="13.5" customHeight="1" x14ac:dyDescent="0.2">
      <c r="A3" s="2640" t="s">
        <v>1182</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1" t="str">
        <f>COVER!A17</f>
        <v xml:space="preserve">   Peotone CUSD 207U</v>
      </c>
      <c r="B7" s="2632"/>
      <c r="C7" s="2632"/>
      <c r="D7" s="2633"/>
      <c r="E7" s="2634" t="str">
        <f>COVER!A13</f>
        <v xml:space="preserve">56099207U26  </v>
      </c>
      <c r="F7" s="2635"/>
      <c r="G7" s="2641" t="str">
        <f>COVER!T23</f>
        <v>066-004945</v>
      </c>
      <c r="H7" s="2642"/>
      <c r="I7" s="2642"/>
      <c r="J7" s="2642"/>
      <c r="K7" s="2642"/>
      <c r="L7" s="264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STEVE STEIN</v>
      </c>
      <c r="B10" s="2621"/>
      <c r="C10" s="2621"/>
      <c r="D10" s="2621"/>
      <c r="E10" s="2621"/>
      <c r="F10" s="2622"/>
      <c r="G10" s="2614" t="str">
        <f>COVER!T17</f>
        <v>323 SPRINGFIELD AVE</v>
      </c>
      <c r="H10" s="2615"/>
      <c r="I10" s="2615"/>
      <c r="J10" s="2615"/>
      <c r="K10" s="2615"/>
      <c r="L10" s="2616"/>
    </row>
    <row r="11" spans="1:29" ht="13.5" customHeight="1" x14ac:dyDescent="0.2">
      <c r="A11" s="1008" t="s">
        <v>1505</v>
      </c>
      <c r="B11" s="1009"/>
      <c r="C11" s="1010"/>
      <c r="D11" s="1015"/>
      <c r="E11" s="1010"/>
      <c r="F11" s="1014"/>
      <c r="G11" s="2614" t="str">
        <f>COVER!T19</f>
        <v>JOLIET</v>
      </c>
      <c r="H11" s="2615"/>
      <c r="I11" s="2615"/>
      <c r="J11" s="2615"/>
      <c r="K11" s="2615"/>
      <c r="L11" s="2616"/>
    </row>
    <row r="12" spans="1:29" ht="13.5" customHeight="1" x14ac:dyDescent="0.2">
      <c r="A12" s="2623" t="s">
        <v>1504</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1506</v>
      </c>
      <c r="H13" s="2610"/>
      <c r="I13" s="2626" t="str">
        <f>COVER!T25</f>
        <v>JILLE@GASSENSMITH.COM</v>
      </c>
      <c r="J13" s="2627"/>
      <c r="K13" s="2627"/>
      <c r="L13" s="2628"/>
    </row>
    <row r="14" spans="1:29" ht="13.5" customHeight="1" x14ac:dyDescent="0.2">
      <c r="A14" s="2614" t="str">
        <f>COVER!A19</f>
        <v>212 WEST WILSON</v>
      </c>
      <c r="B14" s="2615"/>
      <c r="C14" s="2615"/>
      <c r="D14" s="2615"/>
      <c r="E14" s="2615"/>
      <c r="F14" s="2616"/>
      <c r="G14" s="1019" t="s">
        <v>1177</v>
      </c>
      <c r="H14" s="1017"/>
      <c r="I14" s="1017"/>
      <c r="J14" s="1017"/>
      <c r="K14" s="1017"/>
      <c r="L14" s="1018"/>
    </row>
    <row r="15" spans="1:29" ht="13.5" customHeight="1" x14ac:dyDescent="0.2">
      <c r="A15" s="2614" t="str">
        <f>COVER!A21</f>
        <v xml:space="preserve">PEOTONE  </v>
      </c>
      <c r="B15" s="2615"/>
      <c r="C15" s="2615"/>
      <c r="D15" s="2615"/>
      <c r="E15" s="2615"/>
      <c r="F15" s="2616"/>
      <c r="G15" s="2611" t="str">
        <f>COVER!T15</f>
        <v>JILL GASSENSMITH</v>
      </c>
      <c r="H15" s="2612"/>
      <c r="I15" s="2612"/>
      <c r="J15" s="2612"/>
      <c r="K15" s="2612"/>
      <c r="L15" s="2613"/>
    </row>
    <row r="16" spans="1:29" ht="12.2" customHeight="1" x14ac:dyDescent="0.2">
      <c r="A16" s="2637">
        <f>COVER!A25</f>
        <v>60468</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1176</v>
      </c>
      <c r="H17" s="1017"/>
      <c r="I17" s="1017"/>
      <c r="J17" s="1017"/>
      <c r="K17" s="1021" t="s">
        <v>1175</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Peotone CUSD 207U</v>
      </c>
      <c r="B1" s="2654"/>
      <c r="C1" s="2654"/>
      <c r="D1" s="2654"/>
    </row>
    <row r="2" spans="1:11" s="1036" customFormat="1" ht="12.75" x14ac:dyDescent="0.2">
      <c r="A2" s="2655" t="str">
        <f>'Single Audit Cover'!E7</f>
        <v xml:space="preserve">56099207U26  </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Peotone CUSD 207U</v>
      </c>
      <c r="B1" s="2658"/>
      <c r="C1" s="2658"/>
      <c r="D1" s="2658"/>
      <c r="E1" s="2658"/>
    </row>
    <row r="2" spans="1:5" x14ac:dyDescent="0.2">
      <c r="A2" s="2659" t="str">
        <f>'Single Audit Cover'!E7</f>
        <v xml:space="preserve">56099207U26  </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611937</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26648</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-76603</v>
      </c>
    </row>
    <row r="19" spans="1:4" ht="13.5" thickBot="1" x14ac:dyDescent="0.25">
      <c r="A19" s="1086" t="s">
        <v>1226</v>
      </c>
      <c r="D19" s="1087">
        <f>SUM(D10:D17)</f>
        <v>561982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561982</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561982</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Peotone CUSD 207U</v>
      </c>
      <c r="C1" s="2662"/>
      <c r="D1" s="2662"/>
      <c r="E1" s="2662"/>
      <c r="F1" s="2662"/>
      <c r="G1" s="2662"/>
      <c r="H1" s="2662"/>
      <c r="I1" s="2662"/>
      <c r="J1" s="2662"/>
      <c r="K1" s="2662"/>
      <c r="L1" s="2662"/>
      <c r="M1" s="2662"/>
    </row>
    <row r="2" spans="2:14" ht="15" x14ac:dyDescent="0.2">
      <c r="B2" s="2663" t="str">
        <f>'Single Audit Cover'!E7</f>
        <v xml:space="preserve">56099207U26  </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2065</v>
      </c>
      <c r="C53" s="174">
        <v>22</v>
      </c>
      <c r="D53" s="242" t="s">
        <v>1448</v>
      </c>
      <c r="E53" s="243"/>
      <c r="F53" s="244"/>
      <c r="G53" s="244" t="s">
        <v>1447</v>
      </c>
      <c r="H53" s="245">
        <v>36495</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Peotone CUSD 207U</v>
      </c>
      <c r="B1" s="2675"/>
      <c r="C1" s="2675"/>
      <c r="D1" s="2675"/>
      <c r="E1" s="2675"/>
      <c r="F1" s="2675"/>
    </row>
    <row r="2" spans="1:7" ht="13.5" customHeight="1" x14ac:dyDescent="0.2">
      <c r="A2" s="2663" t="str">
        <f>'Single Audit Cover'!E7</f>
        <v xml:space="preserve">56099207U26  </v>
      </c>
      <c r="B2" s="2663"/>
      <c r="C2" s="2663"/>
      <c r="D2" s="2663"/>
      <c r="E2" s="2663"/>
      <c r="F2" s="2663"/>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1709</v>
      </c>
      <c r="B7" s="2674"/>
      <c r="C7" s="2674"/>
      <c r="D7" s="2674"/>
      <c r="E7" s="2674"/>
      <c r="F7" s="267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4" t="s">
        <v>1711</v>
      </c>
      <c r="B13" s="2674"/>
      <c r="C13" s="2674"/>
      <c r="D13" s="2674"/>
      <c r="E13" s="2674"/>
      <c r="F13" s="2674"/>
    </row>
    <row r="14" spans="1:7" ht="9.75" customHeight="1" x14ac:dyDescent="0.2">
      <c r="C14" s="1081"/>
      <c r="D14" s="1081"/>
    </row>
    <row r="15" spans="1:7" ht="13.5" customHeight="1" x14ac:dyDescent="0.2">
      <c r="C15" s="1525" t="s">
        <v>1261</v>
      </c>
      <c r="D15" s="2672" t="s">
        <v>1260</v>
      </c>
      <c r="E15" s="2672"/>
      <c r="F15" s="2672"/>
    </row>
    <row r="16" spans="1:7" ht="13.5" customHeight="1" x14ac:dyDescent="0.2">
      <c r="A16" s="1103"/>
      <c r="B16" s="1097" t="s">
        <v>1259</v>
      </c>
      <c r="C16" s="1525" t="s">
        <v>1258</v>
      </c>
      <c r="D16" s="2673" t="s">
        <v>1574</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8" t="s">
        <v>1712</v>
      </c>
      <c r="B32" s="2668"/>
      <c r="C32" s="2668"/>
      <c r="D32" s="2668"/>
      <c r="E32" s="2668"/>
      <c r="F32" s="266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9">
        <f>+C33+C34</f>
        <v>0</v>
      </c>
      <c r="F34" s="267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1576</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1537</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Peotone CUSD 207U</v>
      </c>
      <c r="C1" s="2690"/>
      <c r="D1" s="2690"/>
      <c r="E1" s="2690"/>
      <c r="F1" s="2690"/>
      <c r="G1" s="2690"/>
      <c r="H1" s="2690"/>
      <c r="I1" s="2690"/>
      <c r="J1" s="1223"/>
    </row>
    <row r="2" spans="2:10" s="295" customFormat="1" ht="12.75" customHeight="1" x14ac:dyDescent="0.2">
      <c r="B2" s="2691" t="str">
        <f>'Single Audit Cover'!E7</f>
        <v xml:space="preserve">56099207U26  </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c r="D11" s="2695"/>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c r="E29" s="2696"/>
      <c r="F29" s="2696"/>
      <c r="G29" s="2696"/>
      <c r="H29" s="2696"/>
      <c r="I29" s="2696"/>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7" t="s">
        <v>1731</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1579</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4"/>
      <c r="F49" s="2684"/>
      <c r="G49" s="2684"/>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Peotone CUSD 207U</v>
      </c>
      <c r="C1" s="2689"/>
      <c r="D1" s="2689"/>
      <c r="E1" s="2689"/>
      <c r="F1" s="2689"/>
      <c r="G1" s="2689"/>
      <c r="H1" s="2689"/>
      <c r="I1" s="2689"/>
      <c r="J1" s="2689"/>
      <c r="K1" s="2689"/>
      <c r="L1" s="1189"/>
      <c r="M1" s="1189"/>
    </row>
    <row r="2" spans="1:13" ht="12" customHeight="1" x14ac:dyDescent="0.2">
      <c r="B2" s="2691" t="str">
        <f>'Single Audit Cover'!E7</f>
        <v xml:space="preserve">56099207U26  </v>
      </c>
      <c r="C2" s="2691"/>
      <c r="D2" s="2691"/>
      <c r="E2" s="2691"/>
      <c r="F2" s="2691"/>
      <c r="G2" s="2691"/>
      <c r="H2" s="2691"/>
      <c r="I2" s="2691"/>
      <c r="J2" s="2691"/>
      <c r="K2" s="2691"/>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Peotone CUSD 207U</v>
      </c>
      <c r="C1" s="2712"/>
      <c r="D1" s="2712"/>
      <c r="E1" s="2712"/>
      <c r="F1" s="2712"/>
      <c r="G1" s="2712"/>
      <c r="H1" s="2712"/>
      <c r="I1" s="2712"/>
      <c r="J1" s="2712"/>
      <c r="K1" s="2712"/>
      <c r="L1" s="1266"/>
    </row>
    <row r="2" spans="1:12" ht="12.75" customHeight="1" x14ac:dyDescent="0.2">
      <c r="B2" s="2713" t="str">
        <f>'Single Audit Cover'!E7</f>
        <v xml:space="preserve">56099207U26  </v>
      </c>
      <c r="C2" s="2713"/>
      <c r="D2" s="2713"/>
      <c r="E2" s="2713"/>
      <c r="F2" s="2713"/>
      <c r="G2" s="2713"/>
      <c r="H2" s="2713"/>
      <c r="I2" s="2713"/>
      <c r="J2" s="2713"/>
      <c r="K2" s="2713"/>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9"/>
      <c r="E14" s="2709"/>
      <c r="F14" s="2709"/>
      <c r="H14" s="1275" t="s">
        <v>1294</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0"/>
      <c r="E16" s="2710"/>
      <c r="F16" s="2710"/>
      <c r="G16" s="2710"/>
      <c r="H16" s="2710"/>
      <c r="I16" s="2710"/>
      <c r="J16" s="2710"/>
      <c r="K16" s="2710"/>
      <c r="L16" s="300"/>
    </row>
    <row r="17" spans="2:12" ht="13.5" customHeight="1" x14ac:dyDescent="0.2">
      <c r="B17" s="1201" t="s">
        <v>1292</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Peotone CUSD 207U</v>
      </c>
      <c r="C1" s="2689"/>
      <c r="D1" s="2689"/>
      <c r="E1" s="1285"/>
    </row>
    <row r="2" spans="2:5" s="1103" customFormat="1" ht="12.75" customHeight="1" x14ac:dyDescent="0.2">
      <c r="B2" s="2691" t="str">
        <f>'Single Audit Cover'!E7</f>
        <v xml:space="preserve">56099207U26  </v>
      </c>
      <c r="C2" s="2691"/>
      <c r="D2" s="2691"/>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386682210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2.4552000000000001E-2</v>
      </c>
      <c r="E10" s="333" t="s">
        <v>998</v>
      </c>
      <c r="F10" s="332">
        <v>3.065E-3</v>
      </c>
      <c r="G10" s="333" t="s">
        <v>998</v>
      </c>
      <c r="H10" s="332">
        <v>1.8400000000000001E-3</v>
      </c>
      <c r="I10" s="333" t="s">
        <v>999</v>
      </c>
      <c r="J10" s="1473">
        <f>ROUND(D10+F10+H10,5)</f>
        <v>2.946E-2</v>
      </c>
      <c r="K10" s="217"/>
      <c r="L10" s="332">
        <v>3.0000000000000001E-6</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15816449</v>
      </c>
      <c r="E16" s="1597"/>
      <c r="F16" s="1596">
        <f>SUM('Acct Summary 7-8'!C17,'Acct Summary 7-8'!D17,'Acct Summary 7-8'!F17)</f>
        <v>16963320</v>
      </c>
      <c r="G16" s="1597"/>
      <c r="H16" s="1596">
        <f>SUM(D16-F16)</f>
        <v>-1146871</v>
      </c>
      <c r="I16" s="1598"/>
      <c r="J16" s="1596">
        <f>SUM('Acct Summary 7-8'!C81,'Acct Summary 7-8'!D81,'Acct Summary 7-8'!F81,'Acct Summary 7-8'!I81)</f>
        <v>10678386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53362144.980000004</v>
      </c>
      <c r="I31" s="345"/>
      <c r="J31" s="217"/>
      <c r="K31" s="217"/>
      <c r="L31" s="217"/>
      <c r="M31" s="217"/>
    </row>
    <row r="32" spans="1:13" ht="13.35" customHeight="1" x14ac:dyDescent="0.2">
      <c r="B32" s="346" t="s">
        <v>2065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8325000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Peotone CUSD 207U</v>
      </c>
      <c r="E7" s="368"/>
      <c r="G7" s="247"/>
      <c r="H7" s="364"/>
      <c r="I7" s="364"/>
      <c r="J7" s="364"/>
      <c r="K7" s="364"/>
      <c r="L7" s="307"/>
      <c r="M7" s="307"/>
      <c r="N7" s="307"/>
      <c r="O7" s="307"/>
      <c r="P7" s="307"/>
    </row>
    <row r="8" spans="1:18" ht="12.75" x14ac:dyDescent="0.2">
      <c r="A8" s="307"/>
      <c r="B8" s="307"/>
      <c r="C8" s="366" t="s">
        <v>1117</v>
      </c>
      <c r="D8" s="369" t="str">
        <f>COVER!A13</f>
        <v xml:space="preserve">56099207U26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10678386</v>
      </c>
      <c r="I12" s="380"/>
      <c r="J12" s="380"/>
      <c r="K12" s="1609">
        <f>TRUNC((H12/H13*100000),5)/100000</f>
        <v>0.6751443386</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15816449</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16963320</v>
      </c>
      <c r="I17" s="380"/>
      <c r="J17" s="389"/>
      <c r="K17" s="1609">
        <f>TRUNC((H17/H18*100000),5)/100000</f>
        <v>1.0725112823</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15816449</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7.9317909999999996</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10678386</v>
      </c>
      <c r="I24" s="394"/>
      <c r="J24" s="394"/>
      <c r="K24" s="1605">
        <f>TRUNC(((H24/H25*100000)/100000),2)</f>
        <v>226.61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47120.333330000001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9682909.2206100002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8325000</v>
      </c>
      <c r="I32" s="392"/>
      <c r="J32" s="392"/>
      <c r="K32" s="1605">
        <f>TRUNC(100-((((H32/H33*100))*100)/100),2)</f>
        <v>84.39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53362144.980000004</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5761905</v>
      </c>
      <c r="D4" s="1623">
        <v>1333618</v>
      </c>
      <c r="E4" s="1623">
        <v>1945562</v>
      </c>
      <c r="F4" s="1623">
        <v>983489</v>
      </c>
      <c r="G4" s="1623">
        <v>258996</v>
      </c>
      <c r="H4" s="1623">
        <v>3929</v>
      </c>
      <c r="I4" s="1623">
        <v>2599374</v>
      </c>
      <c r="J4" s="1624">
        <v>230291</v>
      </c>
      <c r="K4" s="1623">
        <v>4238</v>
      </c>
      <c r="L4" s="1623">
        <v>215883</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v>0</v>
      </c>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v>0</v>
      </c>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v>0</v>
      </c>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v>0</v>
      </c>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v>0</v>
      </c>
      <c r="M12" s="1626"/>
      <c r="N12" s="1626"/>
    </row>
    <row r="13" spans="1:14" ht="13.5" customHeight="1" thickBot="1" x14ac:dyDescent="0.25">
      <c r="A13" s="1475" t="s">
        <v>639</v>
      </c>
      <c r="B13" s="1456"/>
      <c r="C13" s="1637">
        <f>SUM(C4:C12)</f>
        <v>5761905</v>
      </c>
      <c r="D13" s="1637">
        <f t="shared" ref="D13:L13" si="0">SUM(D4:D12)</f>
        <v>1333618</v>
      </c>
      <c r="E13" s="1637">
        <f t="shared" si="0"/>
        <v>1945562</v>
      </c>
      <c r="F13" s="1637">
        <f t="shared" si="0"/>
        <v>983489</v>
      </c>
      <c r="G13" s="1637">
        <f t="shared" si="0"/>
        <v>258996</v>
      </c>
      <c r="H13" s="1637">
        <f t="shared" si="0"/>
        <v>3929</v>
      </c>
      <c r="I13" s="1637">
        <f t="shared" si="0"/>
        <v>2599374</v>
      </c>
      <c r="J13" s="1637">
        <f t="shared" si="0"/>
        <v>230291</v>
      </c>
      <c r="K13" s="1637">
        <f t="shared" si="0"/>
        <v>4238</v>
      </c>
      <c r="L13" s="1637">
        <f t="shared" si="0"/>
        <v>215883</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2973996</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28374199+100503</f>
        <v>28474702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1547652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3333389+4509468+36771+451691</f>
        <v>8331319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1940513</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6384487</v>
      </c>
    </row>
    <row r="23" spans="1:14" ht="13.5" customHeight="1" thickBot="1" x14ac:dyDescent="0.25">
      <c r="A23" s="1475" t="s">
        <v>638</v>
      </c>
      <c r="B23" s="1478"/>
      <c r="C23" s="1625"/>
      <c r="D23" s="1625"/>
      <c r="E23" s="1625"/>
      <c r="F23" s="1625"/>
      <c r="G23" s="1625"/>
      <c r="H23" s="1625"/>
      <c r="I23" s="1625"/>
      <c r="J23" s="1625"/>
      <c r="K23" s="1625"/>
      <c r="L23" s="1625"/>
      <c r="M23" s="1644">
        <f>SUM(M15:M22)</f>
        <v>41327669</v>
      </c>
      <c r="N23" s="1644">
        <f>SUM(N21:N22)</f>
        <v>8325000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215883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215883</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8325000</v>
      </c>
    </row>
    <row r="37" spans="1:14" ht="13.5" thickBot="1" x14ac:dyDescent="0.25">
      <c r="A37" s="1475" t="s">
        <v>648</v>
      </c>
      <c r="B37" s="1478"/>
      <c r="C37" s="1632"/>
      <c r="D37" s="1632"/>
      <c r="E37" s="1632"/>
      <c r="F37" s="1632"/>
      <c r="G37" s="1632"/>
      <c r="H37" s="1632"/>
      <c r="I37" s="1632"/>
      <c r="J37" s="1632"/>
      <c r="K37" s="1632"/>
      <c r="L37" s="1635"/>
      <c r="M37" s="1625"/>
      <c r="N37" s="1644">
        <f>SUM(N36:N36)</f>
        <v>8325000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5761905</v>
      </c>
      <c r="D39" s="1623">
        <v>1333618</v>
      </c>
      <c r="E39" s="1623">
        <v>1945562</v>
      </c>
      <c r="F39" s="1623">
        <v>983489</v>
      </c>
      <c r="G39" s="1623">
        <v>258996</v>
      </c>
      <c r="H39" s="1623">
        <v>3929</v>
      </c>
      <c r="I39" s="1623">
        <v>2599374</v>
      </c>
      <c r="J39" s="1624">
        <v>230291</v>
      </c>
      <c r="K39" s="1623">
        <v>4238</v>
      </c>
      <c r="L39" s="1623">
        <v>0</v>
      </c>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41327669</v>
      </c>
      <c r="N40" s="1654"/>
    </row>
    <row r="41" spans="1:14" ht="13.5" customHeight="1" thickBot="1" x14ac:dyDescent="0.25">
      <c r="A41" s="1475" t="s">
        <v>650</v>
      </c>
      <c r="B41" s="1454"/>
      <c r="C41" s="1644">
        <f>(SUM(C34,C37,C38,C39))</f>
        <v>5761905</v>
      </c>
      <c r="D41" s="1644">
        <f t="shared" ref="D41:L41" si="2">SUM(D34,D37,D38:D39)</f>
        <v>1333618</v>
      </c>
      <c r="E41" s="1644">
        <f t="shared" si="2"/>
        <v>1945562</v>
      </c>
      <c r="F41" s="1644">
        <f t="shared" si="2"/>
        <v>983489</v>
      </c>
      <c r="G41" s="1644">
        <f t="shared" si="2"/>
        <v>258996</v>
      </c>
      <c r="H41" s="1644">
        <f t="shared" si="2"/>
        <v>3929</v>
      </c>
      <c r="I41" s="1644">
        <f t="shared" si="2"/>
        <v>2599374</v>
      </c>
      <c r="J41" s="1644">
        <f t="shared" si="2"/>
        <v>230291</v>
      </c>
      <c r="K41" s="1644">
        <f t="shared" si="2"/>
        <v>4238</v>
      </c>
      <c r="L41" s="1644">
        <f t="shared" si="2"/>
        <v>215883</v>
      </c>
      <c r="M41" s="1644">
        <f>SUM(M40)</f>
        <v>41327669</v>
      </c>
      <c r="N41" s="1644">
        <f>SUM(N37)</f>
        <v>8325000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10083855</v>
      </c>
      <c r="D4" s="1656">
        <f>'Revenues 9-14'!D109</f>
        <v>1303509</v>
      </c>
      <c r="E4" s="1656">
        <f>'Revenues 9-14'!E109</f>
        <v>4384429</v>
      </c>
      <c r="F4" s="1656">
        <f>'Revenues 9-14'!F109</f>
        <v>682726</v>
      </c>
      <c r="G4" s="1656">
        <f>'Revenues 9-14'!G109</f>
        <v>598163</v>
      </c>
      <c r="H4" s="1656">
        <f>'Revenues 9-14'!H109</f>
        <v>44</v>
      </c>
      <c r="I4" s="1656">
        <f>'Revenues 9-14'!I109</f>
        <v>152075</v>
      </c>
      <c r="J4" s="1656">
        <f>'Revenues 9-14'!J109</f>
        <v>88147</v>
      </c>
      <c r="K4" s="1656">
        <f>'Revenues 9-14'!K109</f>
        <v>56</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1964007</v>
      </c>
      <c r="D6" s="1657">
        <f>'Revenues 9-14'!D170</f>
        <v>50000</v>
      </c>
      <c r="E6" s="1657">
        <f>'Revenues 9-14'!E170</f>
        <v>0</v>
      </c>
      <c r="F6" s="1657">
        <f>'Revenues 9-14'!F170</f>
        <v>968340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611937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12659799</v>
      </c>
      <c r="D8" s="1644">
        <f t="shared" ref="D8:K8" si="0">SUM(D4:D7)</f>
        <v>1353509</v>
      </c>
      <c r="E8" s="1644">
        <f t="shared" si="0"/>
        <v>4384429</v>
      </c>
      <c r="F8" s="1644">
        <f t="shared" si="0"/>
        <v>1651066</v>
      </c>
      <c r="G8" s="1644">
        <f t="shared" si="0"/>
        <v>598163</v>
      </c>
      <c r="H8" s="1644">
        <f t="shared" si="0"/>
        <v>44</v>
      </c>
      <c r="I8" s="1644">
        <f t="shared" si="0"/>
        <v>152075</v>
      </c>
      <c r="J8" s="1644">
        <f t="shared" si="0"/>
        <v>88147</v>
      </c>
      <c r="K8" s="1644">
        <f t="shared" si="0"/>
        <v>56</v>
      </c>
      <c r="L8" s="325"/>
    </row>
    <row r="9" spans="1:13" ht="15.75" thickTop="1" x14ac:dyDescent="0.2">
      <c r="A9" s="449" t="s">
        <v>1637</v>
      </c>
      <c r="B9" s="450">
        <v>3998</v>
      </c>
      <c r="C9" s="1636">
        <v>6674329</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19334128</v>
      </c>
      <c r="D10" s="1644">
        <f t="shared" ref="D10:K10" si="1">SUM(D8:D9)</f>
        <v>1353509</v>
      </c>
      <c r="E10" s="1644">
        <f t="shared" si="1"/>
        <v>4384429</v>
      </c>
      <c r="F10" s="1644">
        <f t="shared" si="1"/>
        <v>1651066</v>
      </c>
      <c r="G10" s="1644">
        <f t="shared" si="1"/>
        <v>598163</v>
      </c>
      <c r="H10" s="1644">
        <f t="shared" si="1"/>
        <v>44</v>
      </c>
      <c r="I10" s="1644">
        <f t="shared" si="1"/>
        <v>152075</v>
      </c>
      <c r="J10" s="1644">
        <f t="shared" si="1"/>
        <v>88147</v>
      </c>
      <c r="K10" s="1644">
        <f t="shared" si="1"/>
        <v>56</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8833640</v>
      </c>
      <c r="D12" s="1666" t="s">
        <v>1161</v>
      </c>
      <c r="E12" s="1625" t="s">
        <v>1161</v>
      </c>
      <c r="F12" s="1625" t="s">
        <v>1161</v>
      </c>
      <c r="G12" s="1656">
        <f>'Expenditures 15-22'!K229</f>
        <v>212207</v>
      </c>
      <c r="H12" s="1667"/>
      <c r="I12" s="1625" t="s">
        <v>1161</v>
      </c>
      <c r="J12" s="1625" t="s">
        <v>1161</v>
      </c>
      <c r="K12" s="1667" t="s">
        <v>1161</v>
      </c>
      <c r="L12" s="325"/>
    </row>
    <row r="13" spans="1:13" ht="15.75" customHeight="1" x14ac:dyDescent="0.2">
      <c r="A13" s="1359" t="s">
        <v>454</v>
      </c>
      <c r="B13" s="1361">
        <v>2000</v>
      </c>
      <c r="C13" s="1657">
        <f>'Expenditures 15-22'!K74</f>
        <v>3402019</v>
      </c>
      <c r="D13" s="1657">
        <f>'Expenditures 15-22'!K129</f>
        <v>2385880</v>
      </c>
      <c r="E13" s="1626" t="s">
        <v>1161</v>
      </c>
      <c r="F13" s="1657">
        <f>'Expenditures 15-22'!K184</f>
        <v>1703136</v>
      </c>
      <c r="G13" s="1657">
        <f>'Expenditures 15-22'!K279</f>
        <v>368059</v>
      </c>
      <c r="H13" s="1657">
        <f>'Expenditures 15-22'!K303</f>
        <v>0</v>
      </c>
      <c r="I13" s="1625" t="s">
        <v>1161</v>
      </c>
      <c r="J13" s="1657">
        <f>'Expenditures 15-22'!K330</f>
        <v>203665</v>
      </c>
      <c r="K13" s="1668">
        <f>'Expenditures 15-22'!K352</f>
        <v>0</v>
      </c>
      <c r="L13" s="325"/>
    </row>
    <row r="14" spans="1:13" ht="15.75" customHeight="1" x14ac:dyDescent="0.2">
      <c r="A14" s="1359" t="s">
        <v>446</v>
      </c>
      <c r="B14" s="1361">
        <v>3000</v>
      </c>
      <c r="C14" s="1657">
        <f>'Expenditures 15-22'!K75</f>
        <v>2052</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636593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5259536</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12874304</v>
      </c>
      <c r="D17" s="1644">
        <f t="shared" si="2"/>
        <v>2385880</v>
      </c>
      <c r="E17" s="1644">
        <f t="shared" si="2"/>
        <v>5259536</v>
      </c>
      <c r="F17" s="1644">
        <f t="shared" si="2"/>
        <v>1703136</v>
      </c>
      <c r="G17" s="1644">
        <f t="shared" si="2"/>
        <v>580266</v>
      </c>
      <c r="H17" s="1644">
        <f t="shared" si="2"/>
        <v>0</v>
      </c>
      <c r="I17" s="1625"/>
      <c r="J17" s="1644">
        <f>SUM(J12:J16)</f>
        <v>203665</v>
      </c>
      <c r="K17" s="1644">
        <f>SUM(K12:K16)</f>
        <v>0</v>
      </c>
      <c r="L17" s="325"/>
    </row>
    <row r="18" spans="1:12" ht="15" customHeight="1" thickTop="1" x14ac:dyDescent="0.2">
      <c r="A18" s="1479" t="s">
        <v>1638</v>
      </c>
      <c r="B18" s="1480">
        <v>4180</v>
      </c>
      <c r="C18" s="1656">
        <f t="shared" ref="C18:H18" si="3">C9</f>
        <v>6674329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19548633</v>
      </c>
      <c r="D19" s="1644">
        <f t="shared" si="4"/>
        <v>2385880</v>
      </c>
      <c r="E19" s="1644">
        <f t="shared" si="4"/>
        <v>5259536</v>
      </c>
      <c r="F19" s="1644">
        <f t="shared" si="4"/>
        <v>1703136</v>
      </c>
      <c r="G19" s="1644">
        <f t="shared" si="4"/>
        <v>580266</v>
      </c>
      <c r="H19" s="1644">
        <f t="shared" si="4"/>
        <v>0</v>
      </c>
      <c r="I19" s="1625"/>
      <c r="J19" s="1644">
        <f>SUM(J17:J18)</f>
        <v>203665</v>
      </c>
      <c r="K19" s="1644">
        <f>SUM(K17:K18)</f>
        <v>0</v>
      </c>
      <c r="L19" s="325"/>
    </row>
    <row r="20" spans="1:12" ht="16.5" thickTop="1" thickBot="1" x14ac:dyDescent="0.25">
      <c r="A20" s="2300" t="s">
        <v>1639</v>
      </c>
      <c r="B20" s="2301"/>
      <c r="C20" s="1672">
        <f>C8-C17</f>
        <v>-214505</v>
      </c>
      <c r="D20" s="1672">
        <f t="shared" ref="D20:K20" si="5">D8-D17</f>
        <v>-1032371</v>
      </c>
      <c r="E20" s="1672">
        <f t="shared" si="5"/>
        <v>-875107</v>
      </c>
      <c r="F20" s="1672">
        <f t="shared" si="5"/>
        <v>-52070</v>
      </c>
      <c r="G20" s="1672">
        <f t="shared" si="5"/>
        <v>17897</v>
      </c>
      <c r="H20" s="1672">
        <f t="shared" si="5"/>
        <v>44</v>
      </c>
      <c r="I20" s="1672">
        <f t="shared" si="5"/>
        <v>152075</v>
      </c>
      <c r="J20" s="1672">
        <f t="shared" si="5"/>
        <v>-115518</v>
      </c>
      <c r="K20" s="1672">
        <f t="shared" si="5"/>
        <v>56</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1100000</v>
      </c>
      <c r="D25" s="1624">
        <v>1800000</v>
      </c>
      <c r="E25" s="1624">
        <v>0</v>
      </c>
      <c r="F25" s="1624">
        <v>330000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1100000</v>
      </c>
      <c r="D44" s="1674">
        <f t="shared" ref="D44:K44" si="6">SUM(D24:D43)</f>
        <v>1800000</v>
      </c>
      <c r="E44" s="1674">
        <f t="shared" si="6"/>
        <v>0</v>
      </c>
      <c r="F44" s="1674">
        <f t="shared" si="6"/>
        <v>330000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3230000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0</v>
      </c>
      <c r="E76" s="1674">
        <f t="shared" si="7"/>
        <v>0</v>
      </c>
      <c r="F76" s="1674">
        <f t="shared" si="7"/>
        <v>0</v>
      </c>
      <c r="G76" s="1674">
        <f t="shared" si="7"/>
        <v>0</v>
      </c>
      <c r="H76" s="1674">
        <f t="shared" si="7"/>
        <v>0</v>
      </c>
      <c r="I76" s="1674">
        <f t="shared" si="7"/>
        <v>3230000</v>
      </c>
      <c r="J76" s="1674">
        <f t="shared" si="7"/>
        <v>0</v>
      </c>
      <c r="K76" s="1674">
        <f t="shared" si="7"/>
        <v>0</v>
      </c>
      <c r="L76" s="453"/>
    </row>
    <row r="77" spans="1:12" ht="14.25" thickTop="1" thickBot="1" x14ac:dyDescent="0.25">
      <c r="A77" s="2292" t="s">
        <v>1169</v>
      </c>
      <c r="B77" s="2293"/>
      <c r="C77" s="1674">
        <f t="shared" ref="C77:K77" si="8">C44-C76</f>
        <v>1100000</v>
      </c>
      <c r="D77" s="1674">
        <f t="shared" si="8"/>
        <v>1800000</v>
      </c>
      <c r="E77" s="1674">
        <f t="shared" si="8"/>
        <v>0</v>
      </c>
      <c r="F77" s="1674">
        <f t="shared" si="8"/>
        <v>330000</v>
      </c>
      <c r="G77" s="1674">
        <f t="shared" si="8"/>
        <v>0</v>
      </c>
      <c r="H77" s="1674">
        <f t="shared" si="8"/>
        <v>0</v>
      </c>
      <c r="I77" s="1674">
        <f t="shared" si="8"/>
        <v>-3230000</v>
      </c>
      <c r="J77" s="1674">
        <f t="shared" si="8"/>
        <v>0</v>
      </c>
      <c r="K77" s="1674">
        <f t="shared" si="8"/>
        <v>0</v>
      </c>
      <c r="L77" s="325"/>
    </row>
    <row r="78" spans="1:12" ht="21.75" customHeight="1" thickTop="1" thickBot="1" x14ac:dyDescent="0.25">
      <c r="A78" s="2296" t="s">
        <v>593</v>
      </c>
      <c r="B78" s="2297"/>
      <c r="C78" s="1679">
        <f t="shared" ref="C78:K78" si="9">C20+C77</f>
        <v>885495</v>
      </c>
      <c r="D78" s="1679">
        <f t="shared" si="9"/>
        <v>767629</v>
      </c>
      <c r="E78" s="1679">
        <f t="shared" si="9"/>
        <v>-875107</v>
      </c>
      <c r="F78" s="1679">
        <f t="shared" si="9"/>
        <v>277930</v>
      </c>
      <c r="G78" s="1679">
        <f t="shared" si="9"/>
        <v>17897</v>
      </c>
      <c r="H78" s="1679">
        <f t="shared" si="9"/>
        <v>44</v>
      </c>
      <c r="I78" s="1679">
        <f t="shared" si="9"/>
        <v>-3077925</v>
      </c>
      <c r="J78" s="1679">
        <f t="shared" si="9"/>
        <v>-115518</v>
      </c>
      <c r="K78" s="1679">
        <f t="shared" si="9"/>
        <v>56</v>
      </c>
      <c r="L78" s="457"/>
    </row>
    <row r="79" spans="1:12" ht="13.5" thickTop="1" x14ac:dyDescent="0.2">
      <c r="A79" s="1902" t="str">
        <f>"Fund Balances - July 1, "&amp;'AFR20'!E2-1</f>
        <v>Fund Balances - July 1, 2019</v>
      </c>
      <c r="B79" s="458"/>
      <c r="C79" s="1633">
        <v>4876410</v>
      </c>
      <c r="D79" s="1680">
        <v>565989</v>
      </c>
      <c r="E79" s="1680">
        <v>2820669</v>
      </c>
      <c r="F79" s="1680">
        <v>705559</v>
      </c>
      <c r="G79" s="1680">
        <v>241099</v>
      </c>
      <c r="H79" s="1680">
        <v>3885</v>
      </c>
      <c r="I79" s="1680">
        <v>5677299</v>
      </c>
      <c r="J79" s="1680">
        <v>345809</v>
      </c>
      <c r="K79" s="1680">
        <v>4182</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5761905</v>
      </c>
      <c r="D81" s="1644">
        <f>SUM(D78:D80)</f>
        <v>1333618</v>
      </c>
      <c r="E81" s="1644">
        <f t="shared" ref="E81:K81" si="10">SUM(E78:E80)</f>
        <v>1945562</v>
      </c>
      <c r="F81" s="1644">
        <f t="shared" si="10"/>
        <v>983489</v>
      </c>
      <c r="G81" s="1644">
        <f t="shared" si="10"/>
        <v>258996</v>
      </c>
      <c r="H81" s="1644">
        <f t="shared" si="10"/>
        <v>3929</v>
      </c>
      <c r="I81" s="1644">
        <f t="shared" si="10"/>
        <v>2599374</v>
      </c>
      <c r="J81" s="1644">
        <f t="shared" si="10"/>
        <v>230291</v>
      </c>
      <c r="K81" s="1644">
        <f t="shared" si="10"/>
        <v>4238</v>
      </c>
      <c r="L81" s="325"/>
    </row>
    <row r="82" spans="1:12" ht="0.75" customHeight="1" thickTop="1" thickBot="1" x14ac:dyDescent="0.25">
      <c r="A82" s="459" t="s">
        <v>340</v>
      </c>
      <c r="B82" s="460"/>
      <c r="C82" s="461">
        <f>(C81-C79)</f>
        <v>885495</v>
      </c>
      <c r="D82" s="461">
        <f t="shared" ref="D82:K82" si="11">(D81-D79)</f>
        <v>767629</v>
      </c>
      <c r="E82" s="461">
        <f t="shared" si="11"/>
        <v>-875107</v>
      </c>
      <c r="F82" s="461">
        <f t="shared" si="11"/>
        <v>277930</v>
      </c>
      <c r="G82" s="461">
        <f t="shared" si="11"/>
        <v>17897</v>
      </c>
      <c r="H82" s="461">
        <f t="shared" si="11"/>
        <v>44</v>
      </c>
      <c r="I82" s="461">
        <f t="shared" si="11"/>
        <v>-3077925</v>
      </c>
      <c r="J82" s="461">
        <f t="shared" si="11"/>
        <v>-115518</v>
      </c>
      <c r="K82" s="461">
        <f t="shared" si="11"/>
        <v>56</v>
      </c>
    </row>
    <row r="83" spans="1:12" ht="14.25" hidden="1" thickTop="1" thickBot="1" x14ac:dyDescent="0.25">
      <c r="A83" s="462" t="s">
        <v>341</v>
      </c>
      <c r="B83" s="428"/>
      <c r="C83" s="463">
        <f>C82/C81</f>
        <v>0.15368094406277091</v>
      </c>
      <c r="D83" s="463">
        <f t="shared" ref="D83:K83" si="12">D82/D81</f>
        <v>0.57559885964346613</v>
      </c>
      <c r="E83" s="463">
        <f t="shared" si="12"/>
        <v>-0.44979651123942593</v>
      </c>
      <c r="F83" s="463">
        <f t="shared" si="12"/>
        <v>0.28259594159161922</v>
      </c>
      <c r="G83" s="463">
        <f t="shared" si="12"/>
        <v>6.9101453304298135E-2</v>
      </c>
      <c r="H83" s="463">
        <f t="shared" si="12"/>
        <v>1.1198778315092899E-2</v>
      </c>
      <c r="I83" s="463">
        <f t="shared" si="12"/>
        <v>-1.1841024031170582</v>
      </c>
      <c r="J83" s="463">
        <f t="shared" si="12"/>
        <v>-0.50161751870459548</v>
      </c>
      <c r="K83" s="463">
        <f t="shared" si="12"/>
        <v>1.3213780084945729E-2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37" activePane="bottomLeft" state="frozen"/>
      <selection pane="bottomLeft" activeCell="C258" sqref="C25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8854824</v>
      </c>
      <c r="D5" s="1636">
        <v>1118712</v>
      </c>
      <c r="E5" s="1623">
        <v>4366493</v>
      </c>
      <c r="F5" s="1681">
        <v>671520</v>
      </c>
      <c r="G5" s="1623">
        <v>203058</v>
      </c>
      <c r="H5" s="1623">
        <v>0</v>
      </c>
      <c r="I5" s="1623">
        <v>1087</v>
      </c>
      <c r="J5" s="1624">
        <v>83083</v>
      </c>
      <c r="K5" s="1623">
        <v>0</v>
      </c>
    </row>
    <row r="6" spans="1:12" ht="15" x14ac:dyDescent="0.2">
      <c r="A6" s="427" t="s">
        <v>1646</v>
      </c>
      <c r="B6" s="429">
        <v>1130</v>
      </c>
      <c r="C6" s="1623">
        <v>1087</v>
      </c>
      <c r="D6" s="1623">
        <v>0</v>
      </c>
      <c r="E6" s="1630"/>
      <c r="F6" s="1630"/>
      <c r="G6" s="1625"/>
      <c r="H6" s="1625"/>
      <c r="I6" s="1625"/>
      <c r="J6" s="1625"/>
      <c r="K6" s="1625"/>
    </row>
    <row r="7" spans="1:12" x14ac:dyDescent="0.2">
      <c r="A7" s="427" t="s">
        <v>110</v>
      </c>
      <c r="B7" s="471">
        <v>1140</v>
      </c>
      <c r="C7" s="1623">
        <v>80365</v>
      </c>
      <c r="D7" s="1623">
        <v>0</v>
      </c>
      <c r="E7" s="1625"/>
      <c r="F7" s="1624">
        <v>0</v>
      </c>
      <c r="G7" s="1624">
        <v>0</v>
      </c>
      <c r="H7" s="1624">
        <v>0</v>
      </c>
      <c r="I7" s="1625"/>
      <c r="J7" s="1625"/>
      <c r="K7" s="1625"/>
    </row>
    <row r="8" spans="1:12" x14ac:dyDescent="0.2">
      <c r="A8" s="427" t="s">
        <v>410</v>
      </c>
      <c r="B8" s="429">
        <v>1150</v>
      </c>
      <c r="C8" s="1630"/>
      <c r="D8" s="1630"/>
      <c r="E8" s="1632"/>
      <c r="F8" s="1632"/>
      <c r="G8" s="1636">
        <v>203058</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8936276</v>
      </c>
      <c r="D12" s="1683">
        <f t="shared" si="0"/>
        <v>1118712</v>
      </c>
      <c r="E12" s="1683">
        <f t="shared" si="0"/>
        <v>4366493</v>
      </c>
      <c r="F12" s="1683">
        <f t="shared" si="0"/>
        <v>671520</v>
      </c>
      <c r="G12" s="1683">
        <f t="shared" si="0"/>
        <v>406116</v>
      </c>
      <c r="H12" s="1683">
        <f t="shared" si="0"/>
        <v>0</v>
      </c>
      <c r="I12" s="1683">
        <f t="shared" si="0"/>
        <v>1087</v>
      </c>
      <c r="J12" s="1683">
        <f t="shared" si="0"/>
        <v>83083</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452344</v>
      </c>
      <c r="D16" s="1623">
        <v>0</v>
      </c>
      <c r="E16" s="1623">
        <v>0</v>
      </c>
      <c r="F16" s="1623">
        <v>0</v>
      </c>
      <c r="G16" s="1623">
        <v>189100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452344</v>
      </c>
      <c r="D18" s="1685">
        <f t="shared" ref="D18:K18" si="1">SUM(D14:D17)</f>
        <v>0</v>
      </c>
      <c r="E18" s="1685">
        <f t="shared" si="1"/>
        <v>0</v>
      </c>
      <c r="F18" s="1685">
        <f t="shared" si="1"/>
        <v>0</v>
      </c>
      <c r="G18" s="1685">
        <f t="shared" si="1"/>
        <v>189100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37242</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37242</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2211</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3885</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6096</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57265</v>
      </c>
      <c r="D65" s="1623">
        <v>5241</v>
      </c>
      <c r="E65" s="1623">
        <v>17936</v>
      </c>
      <c r="F65" s="1624">
        <v>5042</v>
      </c>
      <c r="G65" s="1623">
        <v>2947</v>
      </c>
      <c r="H65" s="1623">
        <v>44</v>
      </c>
      <c r="I65" s="1623">
        <v>150988</v>
      </c>
      <c r="J65" s="1624">
        <v>2993</v>
      </c>
      <c r="K65" s="1623">
        <v>56</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57265</v>
      </c>
      <c r="D67" s="1644">
        <f t="shared" ref="D67:K67" si="2">SUM(D65:D66)</f>
        <v>5241</v>
      </c>
      <c r="E67" s="1644">
        <f t="shared" si="2"/>
        <v>17936</v>
      </c>
      <c r="F67" s="1644">
        <f t="shared" si="2"/>
        <v>5042</v>
      </c>
      <c r="G67" s="1644">
        <f t="shared" si="2"/>
        <v>2947</v>
      </c>
      <c r="H67" s="1644">
        <f t="shared" si="2"/>
        <v>44</v>
      </c>
      <c r="I67" s="1644">
        <f t="shared" si="2"/>
        <v>150988</v>
      </c>
      <c r="J67" s="1644">
        <f t="shared" si="2"/>
        <v>2993</v>
      </c>
      <c r="K67" s="1644">
        <f t="shared" si="2"/>
        <v>56</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116902</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38865</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818</v>
      </c>
      <c r="D73" s="1625"/>
      <c r="E73" s="1625"/>
      <c r="F73" s="1625"/>
      <c r="G73" s="1625"/>
      <c r="H73" s="1625"/>
      <c r="I73" s="1625"/>
      <c r="J73" s="1625"/>
      <c r="K73" s="1625"/>
    </row>
    <row r="74" spans="1:11" ht="12.75" customHeight="1" x14ac:dyDescent="0.2">
      <c r="A74" s="427" t="s">
        <v>25</v>
      </c>
      <c r="B74" s="429">
        <v>1690</v>
      </c>
      <c r="C74" s="1682">
        <v>566</v>
      </c>
      <c r="D74" s="1625"/>
      <c r="E74" s="1625"/>
      <c r="F74" s="1625"/>
      <c r="G74" s="1625"/>
      <c r="H74" s="1625"/>
      <c r="I74" s="1625"/>
      <c r="J74" s="1625"/>
      <c r="K74" s="1625"/>
    </row>
    <row r="75" spans="1:11" ht="12.75" customHeight="1" thickBot="1" x14ac:dyDescent="0.25">
      <c r="A75" s="1455" t="s">
        <v>544</v>
      </c>
      <c r="B75" s="1456"/>
      <c r="C75" s="1644">
        <f>SUM(C69:C74)</f>
        <v>157151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45179</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93260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138439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254398</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254398</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19710</v>
      </c>
      <c r="E95" s="1667"/>
      <c r="F95" s="1667"/>
      <c r="G95" s="1667"/>
      <c r="H95" s="1667"/>
      <c r="I95" s="1667"/>
      <c r="J95" s="1667"/>
      <c r="K95" s="1667"/>
    </row>
    <row r="96" spans="1:11" ht="12.75" customHeight="1" x14ac:dyDescent="0.2">
      <c r="A96" s="427" t="s">
        <v>388</v>
      </c>
      <c r="B96" s="429">
        <v>1920</v>
      </c>
      <c r="C96" s="1682">
        <v>15508</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127095</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796</v>
      </c>
      <c r="D99" s="1623">
        <v>241</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5630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63</v>
      </c>
      <c r="D105" s="1690"/>
      <c r="E105" s="1625"/>
      <c r="F105" s="1625"/>
      <c r="G105" s="1625"/>
      <c r="H105" s="1660"/>
      <c r="I105" s="1625"/>
      <c r="J105" s="1625"/>
      <c r="K105" s="1625"/>
    </row>
    <row r="106" spans="1:12" ht="12.75" customHeight="1" x14ac:dyDescent="0.2">
      <c r="A106" s="427" t="s">
        <v>1416</v>
      </c>
      <c r="B106" s="429">
        <v>1993</v>
      </c>
      <c r="C106" s="1623">
        <v>6245</v>
      </c>
      <c r="D106" s="1648">
        <v>0</v>
      </c>
      <c r="E106" s="1624">
        <v>0</v>
      </c>
      <c r="F106" s="1624">
        <v>0</v>
      </c>
      <c r="G106" s="1624">
        <v>0</v>
      </c>
      <c r="H106" s="1624">
        <v>0</v>
      </c>
      <c r="I106" s="1667"/>
      <c r="J106" s="1624">
        <v>0</v>
      </c>
      <c r="K106" s="1624">
        <v>0</v>
      </c>
    </row>
    <row r="107" spans="1:12" ht="12.75" customHeight="1" x14ac:dyDescent="0.2">
      <c r="A107" s="427" t="s">
        <v>78</v>
      </c>
      <c r="B107" s="429">
        <v>1999</v>
      </c>
      <c r="C107" s="1682">
        <v>22498</v>
      </c>
      <c r="D107" s="1623">
        <v>32510</v>
      </c>
      <c r="E107" s="1623">
        <v>0</v>
      </c>
      <c r="F107" s="1623">
        <v>68</v>
      </c>
      <c r="G107" s="1623">
        <v>0</v>
      </c>
      <c r="H107" s="1623">
        <v>0</v>
      </c>
      <c r="I107" s="1623">
        <v>0</v>
      </c>
      <c r="J107" s="1624">
        <v>2071</v>
      </c>
      <c r="K107" s="1623">
        <v>0</v>
      </c>
    </row>
    <row r="108" spans="1:12" ht="12.75" customHeight="1" thickBot="1" x14ac:dyDescent="0.25">
      <c r="A108" s="1455" t="s">
        <v>484</v>
      </c>
      <c r="B108" s="1457"/>
      <c r="C108" s="1683">
        <f>SUM(C95:C107)</f>
        <v>50740</v>
      </c>
      <c r="D108" s="1683">
        <f t="shared" ref="D108:K108" si="3">SUM(D95:D107)</f>
        <v>179556</v>
      </c>
      <c r="E108" s="1683">
        <f t="shared" si="3"/>
        <v>0</v>
      </c>
      <c r="F108" s="1683">
        <f t="shared" si="3"/>
        <v>68</v>
      </c>
      <c r="G108" s="1683">
        <f t="shared" si="3"/>
        <v>0</v>
      </c>
      <c r="H108" s="1683">
        <f t="shared" si="3"/>
        <v>0</v>
      </c>
      <c r="I108" s="1683">
        <f t="shared" si="3"/>
        <v>0</v>
      </c>
      <c r="J108" s="1683">
        <f t="shared" si="3"/>
        <v>2071</v>
      </c>
      <c r="K108" s="1644">
        <f t="shared" si="3"/>
        <v>0</v>
      </c>
    </row>
    <row r="109" spans="1:12" ht="14.25" thickTop="1" thickBot="1" x14ac:dyDescent="0.25">
      <c r="A109" s="1458" t="s">
        <v>246</v>
      </c>
      <c r="B109" s="1459" t="s">
        <v>566</v>
      </c>
      <c r="C109" s="1691">
        <f t="shared" ref="C109:K109" si="4">SUM(C12,C18,C40,C63,C67,C75,C82,C93,C108,)</f>
        <v>10083855</v>
      </c>
      <c r="D109" s="1691">
        <f t="shared" si="4"/>
        <v>1303509</v>
      </c>
      <c r="E109" s="1691">
        <f t="shared" si="4"/>
        <v>4384429</v>
      </c>
      <c r="F109" s="1691">
        <f t="shared" si="4"/>
        <v>682726</v>
      </c>
      <c r="G109" s="1691">
        <f t="shared" si="4"/>
        <v>598163</v>
      </c>
      <c r="H109" s="1691">
        <f t="shared" si="4"/>
        <v>44</v>
      </c>
      <c r="I109" s="1691">
        <f t="shared" si="4"/>
        <v>152075</v>
      </c>
      <c r="J109" s="1691">
        <f t="shared" si="4"/>
        <v>88147</v>
      </c>
      <c r="K109" s="1679">
        <f t="shared" si="4"/>
        <v>56</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1568110</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1568110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266271</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93822</v>
      </c>
      <c r="D128" s="1690"/>
      <c r="E128" s="1625"/>
      <c r="F128" s="1623">
        <v>0</v>
      </c>
      <c r="G128" s="1625"/>
      <c r="H128" s="1625"/>
      <c r="I128" s="1625"/>
      <c r="J128" s="1625"/>
      <c r="K128" s="1625"/>
    </row>
    <row r="129" spans="1:11" ht="12.75" customHeight="1" x14ac:dyDescent="0.2">
      <c r="A129" s="427" t="s">
        <v>1433</v>
      </c>
      <c r="B129" s="478">
        <v>3130</v>
      </c>
      <c r="C129" s="1623">
        <v>13720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373813</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12204</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12204</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1037</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8843</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505486</v>
      </c>
      <c r="G152" s="1624">
        <v>0</v>
      </c>
      <c r="H152" s="1625"/>
      <c r="I152" s="1625"/>
      <c r="J152" s="1625"/>
      <c r="K152" s="1625"/>
    </row>
    <row r="153" spans="1:11" ht="12.75" customHeight="1" x14ac:dyDescent="0.2">
      <c r="A153" s="427" t="s">
        <v>1050</v>
      </c>
      <c r="B153" s="478">
        <v>3510</v>
      </c>
      <c r="C153" s="1682">
        <v>0</v>
      </c>
      <c r="D153" s="1623">
        <v>0</v>
      </c>
      <c r="E153" s="1690"/>
      <c r="F153" s="1623">
        <v>462854</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968340</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395897</v>
      </c>
      <c r="D169" s="1708">
        <f t="shared" si="6"/>
        <v>50000</v>
      </c>
      <c r="E169" s="1708">
        <f t="shared" si="6"/>
        <v>0</v>
      </c>
      <c r="F169" s="1708">
        <f t="shared" si="6"/>
        <v>968340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1964007</v>
      </c>
      <c r="D170" s="1691">
        <f t="shared" si="7"/>
        <v>50000</v>
      </c>
      <c r="E170" s="1691">
        <f t="shared" si="7"/>
        <v>0</v>
      </c>
      <c r="F170" s="1691">
        <f t="shared" si="7"/>
        <v>968340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80899</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6183</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87082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121120</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121120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11431</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11431</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21556</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226285</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247841</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31411</v>
      </c>
      <c r="D258" s="1701">
        <v>0</v>
      </c>
      <c r="E258" s="1625"/>
      <c r="F258" s="1701">
        <v>0</v>
      </c>
      <c r="G258" s="1701">
        <v>0</v>
      </c>
      <c r="H258" s="1625"/>
      <c r="I258" s="1625"/>
      <c r="J258" s="1625"/>
      <c r="K258" s="1625"/>
    </row>
    <row r="259" spans="1:11" ht="12.75" customHeight="1" thickTop="1" thickBot="1" x14ac:dyDescent="0.25">
      <c r="A259" s="427" t="s">
        <v>753</v>
      </c>
      <c r="B259" s="429">
        <v>4932</v>
      </c>
      <c r="C259" s="1701">
        <v>0</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36449</v>
      </c>
      <c r="D263" s="1701">
        <v>0</v>
      </c>
      <c r="E263" s="1625"/>
      <c r="F263" s="1701">
        <v>0</v>
      </c>
      <c r="G263" s="1701">
        <v>0</v>
      </c>
      <c r="H263" s="1625"/>
      <c r="I263" s="1625"/>
      <c r="J263" s="1625"/>
      <c r="K263" s="1625"/>
    </row>
    <row r="264" spans="1:11" ht="12.75" customHeight="1" thickTop="1" thickBot="1" x14ac:dyDescent="0.25">
      <c r="A264" s="427" t="s">
        <v>374</v>
      </c>
      <c r="B264" s="429">
        <v>4992</v>
      </c>
      <c r="C264" s="1700">
        <v>76603</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611937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611937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12659799</v>
      </c>
      <c r="D268" s="1691">
        <f t="shared" si="12"/>
        <v>1353509</v>
      </c>
      <c r="E268" s="1691">
        <f t="shared" si="12"/>
        <v>4384429</v>
      </c>
      <c r="F268" s="1691">
        <f t="shared" si="12"/>
        <v>1651066</v>
      </c>
      <c r="G268" s="1691">
        <f t="shared" si="12"/>
        <v>598163</v>
      </c>
      <c r="H268" s="1691">
        <f t="shared" si="12"/>
        <v>44</v>
      </c>
      <c r="I268" s="1691">
        <f t="shared" si="12"/>
        <v>152075</v>
      </c>
      <c r="J268" s="1691">
        <f t="shared" si="12"/>
        <v>88147</v>
      </c>
      <c r="K268" s="1679">
        <f t="shared" si="12"/>
        <v>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0"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3924831</v>
      </c>
      <c r="D5" s="1623">
        <v>1015610</v>
      </c>
      <c r="E5" s="1623">
        <v>8608</v>
      </c>
      <c r="F5" s="1623">
        <v>335777</v>
      </c>
      <c r="G5" s="1623">
        <v>0</v>
      </c>
      <c r="H5" s="1623">
        <v>384</v>
      </c>
      <c r="I5" s="1624">
        <v>649</v>
      </c>
      <c r="J5" s="1624">
        <v>0</v>
      </c>
      <c r="K5" s="1722">
        <f>SUM(C5:J5)</f>
        <v>5285859</v>
      </c>
      <c r="L5" s="1623">
        <v>5419193</v>
      </c>
    </row>
    <row r="6" spans="1:14" x14ac:dyDescent="0.2">
      <c r="A6" s="1319" t="s">
        <v>1419</v>
      </c>
      <c r="B6" s="503" t="s">
        <v>1417</v>
      </c>
      <c r="C6" s="1632"/>
      <c r="D6" s="1632"/>
      <c r="E6" s="1623" t="s">
        <v>1161</v>
      </c>
      <c r="F6" s="1632"/>
      <c r="G6" s="1632"/>
      <c r="H6" s="1632"/>
      <c r="I6" s="1632"/>
      <c r="J6" s="1632"/>
      <c r="K6" s="1722">
        <f>SUM(C6,E6)</f>
        <v>0</v>
      </c>
      <c r="L6" s="1623">
        <v>0</v>
      </c>
    </row>
    <row r="7" spans="1:14" x14ac:dyDescent="0.2">
      <c r="A7" s="1319" t="s">
        <v>162</v>
      </c>
      <c r="B7" s="503" t="s">
        <v>961</v>
      </c>
      <c r="C7" s="1624">
        <v>62731</v>
      </c>
      <c r="D7" s="1624">
        <v>18435</v>
      </c>
      <c r="E7" s="1624">
        <v>430</v>
      </c>
      <c r="F7" s="1624">
        <v>6168</v>
      </c>
      <c r="G7" s="1624">
        <v>0</v>
      </c>
      <c r="H7" s="1624">
        <v>0</v>
      </c>
      <c r="I7" s="1624">
        <v>0</v>
      </c>
      <c r="J7" s="1624">
        <v>0</v>
      </c>
      <c r="K7" s="1722">
        <f t="shared" ref="K7:K32" si="0">SUM(C7:J7)</f>
        <v>87764</v>
      </c>
      <c r="L7" s="1623">
        <v>92402</v>
      </c>
    </row>
    <row r="8" spans="1:14" x14ac:dyDescent="0.2">
      <c r="A8" s="1319" t="s">
        <v>163</v>
      </c>
      <c r="B8" s="503">
        <v>1200</v>
      </c>
      <c r="C8" s="1623">
        <v>1603238</v>
      </c>
      <c r="D8" s="1623">
        <v>383373</v>
      </c>
      <c r="E8" s="1623">
        <v>109804</v>
      </c>
      <c r="F8" s="1623">
        <v>11039</v>
      </c>
      <c r="G8" s="1623">
        <v>0</v>
      </c>
      <c r="H8" s="1623">
        <v>0</v>
      </c>
      <c r="I8" s="1624">
        <v>0</v>
      </c>
      <c r="J8" s="1624">
        <v>0</v>
      </c>
      <c r="K8" s="1722">
        <f t="shared" si="0"/>
        <v>2107454</v>
      </c>
      <c r="L8" s="1623">
        <v>2166942</v>
      </c>
    </row>
    <row r="9" spans="1:14" x14ac:dyDescent="0.2">
      <c r="A9" s="1319" t="s">
        <v>716</v>
      </c>
      <c r="B9" s="503" t="s">
        <v>962</v>
      </c>
      <c r="C9" s="1624">
        <v>0</v>
      </c>
      <c r="D9" s="1624">
        <v>0</v>
      </c>
      <c r="E9" s="1624">
        <v>0</v>
      </c>
      <c r="F9" s="1624">
        <v>0</v>
      </c>
      <c r="G9" s="1624">
        <v>0</v>
      </c>
      <c r="H9" s="1624">
        <v>0</v>
      </c>
      <c r="I9" s="1624">
        <v>0</v>
      </c>
      <c r="J9" s="1624">
        <v>0</v>
      </c>
      <c r="K9" s="1722">
        <f t="shared" si="0"/>
        <v>0</v>
      </c>
      <c r="L9" s="1623">
        <v>0</v>
      </c>
    </row>
    <row r="10" spans="1:14" x14ac:dyDescent="0.2">
      <c r="A10" s="1319" t="s">
        <v>717</v>
      </c>
      <c r="B10" s="503">
        <v>1250</v>
      </c>
      <c r="C10" s="1623">
        <v>152251</v>
      </c>
      <c r="D10" s="1623">
        <v>51777</v>
      </c>
      <c r="E10" s="1623">
        <v>956</v>
      </c>
      <c r="F10" s="1623">
        <v>0</v>
      </c>
      <c r="G10" s="1623">
        <v>0</v>
      </c>
      <c r="H10" s="1623">
        <v>0</v>
      </c>
      <c r="I10" s="1624">
        <v>0</v>
      </c>
      <c r="J10" s="1624">
        <v>0</v>
      </c>
      <c r="K10" s="1722">
        <f t="shared" si="0"/>
        <v>204984</v>
      </c>
      <c r="L10" s="1623">
        <v>210380</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133292</v>
      </c>
      <c r="D13" s="1623">
        <v>42749</v>
      </c>
      <c r="E13" s="1623">
        <v>0</v>
      </c>
      <c r="F13" s="1623">
        <v>5774</v>
      </c>
      <c r="G13" s="1623">
        <v>0</v>
      </c>
      <c r="H13" s="1623">
        <v>0</v>
      </c>
      <c r="I13" s="1624">
        <v>2554</v>
      </c>
      <c r="J13" s="1624">
        <v>0</v>
      </c>
      <c r="K13" s="1722">
        <f t="shared" si="0"/>
        <v>184369</v>
      </c>
      <c r="L13" s="1623">
        <v>196017</v>
      </c>
    </row>
    <row r="14" spans="1:14" x14ac:dyDescent="0.2">
      <c r="A14" s="1319" t="s">
        <v>957</v>
      </c>
      <c r="B14" s="503">
        <v>1500</v>
      </c>
      <c r="C14" s="1623">
        <v>247003</v>
      </c>
      <c r="D14" s="1623">
        <v>34822</v>
      </c>
      <c r="E14" s="1623">
        <v>123667</v>
      </c>
      <c r="F14" s="1623">
        <v>28578</v>
      </c>
      <c r="G14" s="1623">
        <v>0</v>
      </c>
      <c r="H14" s="1623">
        <v>8219</v>
      </c>
      <c r="I14" s="1624">
        <v>5450</v>
      </c>
      <c r="J14" s="1624">
        <v>0</v>
      </c>
      <c r="K14" s="1722">
        <f t="shared" si="0"/>
        <v>447739</v>
      </c>
      <c r="L14" s="1623">
        <v>479954</v>
      </c>
    </row>
    <row r="15" spans="1:14" x14ac:dyDescent="0.2">
      <c r="A15" s="1319" t="s">
        <v>958</v>
      </c>
      <c r="B15" s="503">
        <v>1600</v>
      </c>
      <c r="C15" s="1623">
        <v>21196</v>
      </c>
      <c r="D15" s="1623">
        <v>4771</v>
      </c>
      <c r="E15" s="1623">
        <v>0</v>
      </c>
      <c r="F15" s="1623">
        <v>456</v>
      </c>
      <c r="G15" s="1623">
        <v>0</v>
      </c>
      <c r="H15" s="1623">
        <v>56</v>
      </c>
      <c r="I15" s="1624">
        <v>0</v>
      </c>
      <c r="J15" s="1624">
        <v>0</v>
      </c>
      <c r="K15" s="1722">
        <f t="shared" si="0"/>
        <v>26479</v>
      </c>
      <c r="L15" s="1623">
        <v>34542</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v>0</v>
      </c>
    </row>
    <row r="17" spans="1:12" x14ac:dyDescent="0.2">
      <c r="A17" s="1319" t="s">
        <v>719</v>
      </c>
      <c r="B17" s="503" t="s">
        <v>161</v>
      </c>
      <c r="C17" s="1624">
        <v>8159</v>
      </c>
      <c r="D17" s="1624">
        <v>610</v>
      </c>
      <c r="E17" s="1624">
        <v>0</v>
      </c>
      <c r="F17" s="1624">
        <v>421</v>
      </c>
      <c r="G17" s="1624">
        <v>0</v>
      </c>
      <c r="H17" s="1624">
        <v>10</v>
      </c>
      <c r="I17" s="1624">
        <v>0</v>
      </c>
      <c r="J17" s="1624">
        <v>0</v>
      </c>
      <c r="K17" s="1722">
        <f t="shared" si="0"/>
        <v>9200</v>
      </c>
      <c r="L17" s="1623">
        <v>11687</v>
      </c>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v>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350000</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2637</v>
      </c>
      <c r="I21" s="1723"/>
      <c r="J21" s="1632"/>
      <c r="K21" s="1722">
        <f t="shared" si="0"/>
        <v>2637</v>
      </c>
      <c r="L21" s="1627">
        <v>3824</v>
      </c>
    </row>
    <row r="22" spans="1:12" x14ac:dyDescent="0.2">
      <c r="A22" s="1320" t="s">
        <v>735</v>
      </c>
      <c r="B22" s="494" t="s">
        <v>722</v>
      </c>
      <c r="C22" s="1632"/>
      <c r="D22" s="1632"/>
      <c r="E22" s="1632"/>
      <c r="F22" s="1632"/>
      <c r="G22" s="1632"/>
      <c r="H22" s="1629">
        <v>477155</v>
      </c>
      <c r="I22" s="1723"/>
      <c r="J22" s="1632"/>
      <c r="K22" s="1722">
        <f t="shared" si="0"/>
        <v>477155</v>
      </c>
      <c r="L22" s="1627">
        <v>435234</v>
      </c>
    </row>
    <row r="23" spans="1:12" x14ac:dyDescent="0.2">
      <c r="A23" s="1320" t="s">
        <v>736</v>
      </c>
      <c r="B23" s="494" t="s">
        <v>723</v>
      </c>
      <c r="C23" s="1632"/>
      <c r="D23" s="1632"/>
      <c r="E23" s="1632"/>
      <c r="F23" s="1632"/>
      <c r="G23" s="1632"/>
      <c r="H23" s="1629">
        <v>0</v>
      </c>
      <c r="I23" s="1723"/>
      <c r="J23" s="1632"/>
      <c r="K23" s="1722">
        <f t="shared" si="0"/>
        <v>0</v>
      </c>
      <c r="L23" s="1627">
        <v>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0</v>
      </c>
      <c r="I29" s="1723"/>
      <c r="J29" s="1632"/>
      <c r="K29" s="1722">
        <f t="shared" si="0"/>
        <v>0</v>
      </c>
      <c r="L29" s="1627">
        <v>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6152701</v>
      </c>
      <c r="D33" s="1724">
        <f t="shared" ref="D33:L33" si="1">SUM(D5:D32)</f>
        <v>1552147</v>
      </c>
      <c r="E33" s="1724">
        <f t="shared" si="1"/>
        <v>243465</v>
      </c>
      <c r="F33" s="1724">
        <f t="shared" si="1"/>
        <v>388213</v>
      </c>
      <c r="G33" s="1724">
        <f t="shared" si="1"/>
        <v>0</v>
      </c>
      <c r="H33" s="1724">
        <f t="shared" si="1"/>
        <v>488461</v>
      </c>
      <c r="I33" s="1724">
        <f t="shared" si="1"/>
        <v>8653</v>
      </c>
      <c r="J33" s="1724">
        <f t="shared" si="1"/>
        <v>0</v>
      </c>
      <c r="K33" s="1724">
        <f t="shared" si="1"/>
        <v>8833640</v>
      </c>
      <c r="L33" s="1724">
        <f t="shared" si="1"/>
        <v>9400175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130112</v>
      </c>
      <c r="D36" s="1636">
        <v>42698</v>
      </c>
      <c r="E36" s="1636">
        <v>0</v>
      </c>
      <c r="F36" s="1636">
        <v>0</v>
      </c>
      <c r="G36" s="1636">
        <v>0</v>
      </c>
      <c r="H36" s="1636">
        <v>0</v>
      </c>
      <c r="I36" s="1624">
        <v>0</v>
      </c>
      <c r="J36" s="1624">
        <v>0</v>
      </c>
      <c r="K36" s="1722">
        <f t="shared" ref="K36:K41" si="2">SUM(C36:J36)</f>
        <v>172810</v>
      </c>
      <c r="L36" s="1623">
        <v>187514</v>
      </c>
    </row>
    <row r="37" spans="1:14" x14ac:dyDescent="0.2">
      <c r="A37" s="1319" t="s">
        <v>1083</v>
      </c>
      <c r="B37" s="503">
        <v>2120</v>
      </c>
      <c r="C37" s="1623">
        <v>169758</v>
      </c>
      <c r="D37" s="1623">
        <v>45952</v>
      </c>
      <c r="E37" s="1623">
        <v>11966</v>
      </c>
      <c r="F37" s="1623">
        <v>1112</v>
      </c>
      <c r="G37" s="1623">
        <v>0</v>
      </c>
      <c r="H37" s="1623">
        <v>680</v>
      </c>
      <c r="I37" s="1624">
        <v>0</v>
      </c>
      <c r="J37" s="1624">
        <v>0</v>
      </c>
      <c r="K37" s="1722">
        <f t="shared" si="2"/>
        <v>229468</v>
      </c>
      <c r="L37" s="1623">
        <v>223210</v>
      </c>
    </row>
    <row r="38" spans="1:14" x14ac:dyDescent="0.2">
      <c r="A38" s="1319" t="s">
        <v>196</v>
      </c>
      <c r="B38" s="503">
        <v>2130</v>
      </c>
      <c r="C38" s="1623">
        <v>135520</v>
      </c>
      <c r="D38" s="1623">
        <v>21090</v>
      </c>
      <c r="E38" s="1623">
        <v>2019</v>
      </c>
      <c r="F38" s="1623">
        <v>2573</v>
      </c>
      <c r="G38" s="1623">
        <v>0</v>
      </c>
      <c r="H38" s="1623">
        <v>146</v>
      </c>
      <c r="I38" s="1624">
        <v>0</v>
      </c>
      <c r="J38" s="1624">
        <v>0</v>
      </c>
      <c r="K38" s="1722">
        <f t="shared" si="2"/>
        <v>161348</v>
      </c>
      <c r="L38" s="1623">
        <v>165723</v>
      </c>
    </row>
    <row r="39" spans="1:14" x14ac:dyDescent="0.2">
      <c r="A39" s="1319" t="s">
        <v>197</v>
      </c>
      <c r="B39" s="503">
        <v>2140</v>
      </c>
      <c r="C39" s="1623">
        <v>168433</v>
      </c>
      <c r="D39" s="1623">
        <v>33451</v>
      </c>
      <c r="E39" s="1623">
        <v>0</v>
      </c>
      <c r="F39" s="1623">
        <v>0</v>
      </c>
      <c r="G39" s="1623">
        <v>0</v>
      </c>
      <c r="H39" s="1623">
        <v>0</v>
      </c>
      <c r="I39" s="1624">
        <v>0</v>
      </c>
      <c r="J39" s="1624">
        <v>0</v>
      </c>
      <c r="K39" s="1722">
        <f t="shared" si="2"/>
        <v>201884</v>
      </c>
      <c r="L39" s="1623">
        <v>200975</v>
      </c>
    </row>
    <row r="40" spans="1:14" x14ac:dyDescent="0.2">
      <c r="A40" s="1319" t="s">
        <v>198</v>
      </c>
      <c r="B40" s="503">
        <v>2150</v>
      </c>
      <c r="C40" s="1623">
        <v>175026</v>
      </c>
      <c r="D40" s="1623">
        <v>41809</v>
      </c>
      <c r="E40" s="1623">
        <v>0</v>
      </c>
      <c r="F40" s="1623">
        <v>0</v>
      </c>
      <c r="G40" s="1623">
        <v>0</v>
      </c>
      <c r="H40" s="1623">
        <v>0</v>
      </c>
      <c r="I40" s="1624">
        <v>0</v>
      </c>
      <c r="J40" s="1624">
        <v>0</v>
      </c>
      <c r="K40" s="1722">
        <f t="shared" si="2"/>
        <v>216835</v>
      </c>
      <c r="L40" s="1623">
        <v>220278</v>
      </c>
    </row>
    <row r="41" spans="1:14" x14ac:dyDescent="0.2">
      <c r="A41" s="1319" t="s">
        <v>1653</v>
      </c>
      <c r="B41" s="503">
        <v>2190</v>
      </c>
      <c r="C41" s="1623">
        <v>0</v>
      </c>
      <c r="D41" s="1623">
        <v>0</v>
      </c>
      <c r="E41" s="1623">
        <v>850</v>
      </c>
      <c r="F41" s="1623">
        <v>5802</v>
      </c>
      <c r="G41" s="1623">
        <v>0</v>
      </c>
      <c r="H41" s="1623">
        <v>0</v>
      </c>
      <c r="I41" s="1624">
        <v>0</v>
      </c>
      <c r="J41" s="1624">
        <v>0</v>
      </c>
      <c r="K41" s="1722">
        <f t="shared" si="2"/>
        <v>6652</v>
      </c>
      <c r="L41" s="1623">
        <v>3311</v>
      </c>
    </row>
    <row r="42" spans="1:14" ht="12.75" customHeight="1" thickBot="1" x14ac:dyDescent="0.25">
      <c r="A42" s="1429" t="s">
        <v>556</v>
      </c>
      <c r="B42" s="1430" t="s">
        <v>711</v>
      </c>
      <c r="C42" s="1724">
        <f>SUM(C36:C41)</f>
        <v>778849</v>
      </c>
      <c r="D42" s="1724">
        <f t="shared" ref="D42:L42" si="3">SUM(D36:D41)</f>
        <v>185000</v>
      </c>
      <c r="E42" s="1724">
        <f t="shared" si="3"/>
        <v>14835</v>
      </c>
      <c r="F42" s="1724">
        <f t="shared" si="3"/>
        <v>9487</v>
      </c>
      <c r="G42" s="1724">
        <f t="shared" si="3"/>
        <v>0</v>
      </c>
      <c r="H42" s="1724">
        <f t="shared" si="3"/>
        <v>826</v>
      </c>
      <c r="I42" s="1724">
        <f t="shared" si="3"/>
        <v>0</v>
      </c>
      <c r="J42" s="1724">
        <f t="shared" si="3"/>
        <v>0</v>
      </c>
      <c r="K42" s="1724">
        <f t="shared" si="3"/>
        <v>988997</v>
      </c>
      <c r="L42" s="1724">
        <f t="shared" si="3"/>
        <v>1001011</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65035</v>
      </c>
      <c r="D44" s="1636">
        <v>20883</v>
      </c>
      <c r="E44" s="1636">
        <v>40429</v>
      </c>
      <c r="F44" s="1636">
        <v>15847</v>
      </c>
      <c r="G44" s="1636">
        <v>0</v>
      </c>
      <c r="H44" s="1636">
        <v>2257</v>
      </c>
      <c r="I44" s="1624">
        <v>4473</v>
      </c>
      <c r="J44" s="1624">
        <v>0</v>
      </c>
      <c r="K44" s="1728">
        <f>SUM(C44:J44)</f>
        <v>148924</v>
      </c>
      <c r="L44" s="1636">
        <v>164658</v>
      </c>
    </row>
    <row r="45" spans="1:14" x14ac:dyDescent="0.2">
      <c r="A45" s="1319" t="s">
        <v>810</v>
      </c>
      <c r="B45" s="503">
        <v>2220</v>
      </c>
      <c r="C45" s="1623">
        <v>55287</v>
      </c>
      <c r="D45" s="1623">
        <v>12853</v>
      </c>
      <c r="E45" s="1623">
        <v>3051</v>
      </c>
      <c r="F45" s="1623">
        <v>15198</v>
      </c>
      <c r="G45" s="1623">
        <v>0</v>
      </c>
      <c r="H45" s="1623">
        <v>0</v>
      </c>
      <c r="I45" s="1624">
        <v>0</v>
      </c>
      <c r="J45" s="1624">
        <v>0</v>
      </c>
      <c r="K45" s="1728">
        <f>SUM(C45:J45)</f>
        <v>86389</v>
      </c>
      <c r="L45" s="1623">
        <v>88765</v>
      </c>
    </row>
    <row r="46" spans="1:14" x14ac:dyDescent="0.2">
      <c r="A46" s="1319" t="s">
        <v>811</v>
      </c>
      <c r="B46" s="503">
        <v>2230</v>
      </c>
      <c r="C46" s="1623">
        <v>0</v>
      </c>
      <c r="D46" s="1623">
        <v>0</v>
      </c>
      <c r="E46" s="1623">
        <v>7926</v>
      </c>
      <c r="F46" s="1623">
        <v>0</v>
      </c>
      <c r="G46" s="1623">
        <v>0</v>
      </c>
      <c r="H46" s="1623">
        <v>0</v>
      </c>
      <c r="I46" s="1624">
        <v>0</v>
      </c>
      <c r="J46" s="1624">
        <v>0</v>
      </c>
      <c r="K46" s="1728">
        <f>SUM(C46:J46)</f>
        <v>7926</v>
      </c>
      <c r="L46" s="1623">
        <v>11493</v>
      </c>
    </row>
    <row r="47" spans="1:14" ht="12.75" customHeight="1" thickBot="1" x14ac:dyDescent="0.25">
      <c r="A47" s="1429" t="s">
        <v>557</v>
      </c>
      <c r="B47" s="1430" t="s">
        <v>32</v>
      </c>
      <c r="C47" s="1724">
        <f>SUM(C44:C46)</f>
        <v>120322</v>
      </c>
      <c r="D47" s="1724">
        <f t="shared" ref="D47:K47" si="4">SUM(D44:D46)</f>
        <v>33736</v>
      </c>
      <c r="E47" s="1724">
        <f t="shared" si="4"/>
        <v>51406</v>
      </c>
      <c r="F47" s="1724">
        <f t="shared" si="4"/>
        <v>31045</v>
      </c>
      <c r="G47" s="1724">
        <f t="shared" si="4"/>
        <v>0</v>
      </c>
      <c r="H47" s="1724">
        <f t="shared" si="4"/>
        <v>2257</v>
      </c>
      <c r="I47" s="1724">
        <f t="shared" si="4"/>
        <v>4473</v>
      </c>
      <c r="J47" s="1724">
        <f t="shared" si="4"/>
        <v>0</v>
      </c>
      <c r="K47" s="1724">
        <f t="shared" si="4"/>
        <v>243239</v>
      </c>
      <c r="L47" s="1724">
        <f>SUM(L44:L46)</f>
        <v>264916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45107</v>
      </c>
      <c r="D49" s="1636">
        <v>24738</v>
      </c>
      <c r="E49" s="1636">
        <v>76094</v>
      </c>
      <c r="F49" s="1636">
        <v>17999</v>
      </c>
      <c r="G49" s="1636">
        <v>0</v>
      </c>
      <c r="H49" s="1636">
        <v>19776</v>
      </c>
      <c r="I49" s="1624">
        <v>0</v>
      </c>
      <c r="J49" s="1624">
        <v>0</v>
      </c>
      <c r="K49" s="1728">
        <f>SUM(C49:J49)</f>
        <v>183714</v>
      </c>
      <c r="L49" s="1636">
        <v>194428</v>
      </c>
    </row>
    <row r="50" spans="1:14" x14ac:dyDescent="0.2">
      <c r="A50" s="1319" t="s">
        <v>813</v>
      </c>
      <c r="B50" s="503">
        <v>2320</v>
      </c>
      <c r="C50" s="1623">
        <v>163879</v>
      </c>
      <c r="D50" s="1623">
        <v>45310</v>
      </c>
      <c r="E50" s="1623">
        <v>1629</v>
      </c>
      <c r="F50" s="1623">
        <v>285</v>
      </c>
      <c r="G50" s="1623">
        <v>0</v>
      </c>
      <c r="H50" s="1623">
        <v>1261</v>
      </c>
      <c r="I50" s="1624">
        <v>0</v>
      </c>
      <c r="J50" s="1624">
        <v>0</v>
      </c>
      <c r="K50" s="1728">
        <f>SUM(C50:J50)</f>
        <v>212364</v>
      </c>
      <c r="L50" s="1623">
        <v>209127</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8">
        <f>SUM(C52:J52)</f>
        <v>0</v>
      </c>
      <c r="L52" s="1629">
        <v>0</v>
      </c>
    </row>
    <row r="53" spans="1:14" ht="12.75" customHeight="1" thickBot="1" x14ac:dyDescent="0.25">
      <c r="A53" s="1429" t="s">
        <v>712</v>
      </c>
      <c r="B53" s="1430" t="s">
        <v>33</v>
      </c>
      <c r="C53" s="1724">
        <f>SUM(C49:C52)</f>
        <v>208986</v>
      </c>
      <c r="D53" s="1724">
        <f t="shared" ref="D53:L53" si="5">SUM(D49:D52)</f>
        <v>70048</v>
      </c>
      <c r="E53" s="1724">
        <f t="shared" si="5"/>
        <v>77723</v>
      </c>
      <c r="F53" s="1724">
        <f t="shared" si="5"/>
        <v>18284</v>
      </c>
      <c r="G53" s="1724">
        <f t="shared" si="5"/>
        <v>0</v>
      </c>
      <c r="H53" s="1724">
        <f t="shared" si="5"/>
        <v>21037</v>
      </c>
      <c r="I53" s="1724">
        <f t="shared" si="5"/>
        <v>0</v>
      </c>
      <c r="J53" s="1724">
        <f t="shared" si="5"/>
        <v>0</v>
      </c>
      <c r="K53" s="1724">
        <f t="shared" si="5"/>
        <v>396078</v>
      </c>
      <c r="L53" s="1724">
        <f t="shared" si="5"/>
        <v>403555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475012</v>
      </c>
      <c r="D55" s="1636">
        <v>111156</v>
      </c>
      <c r="E55" s="1636">
        <v>1020</v>
      </c>
      <c r="F55" s="1636">
        <v>2217</v>
      </c>
      <c r="G55" s="1636">
        <v>0</v>
      </c>
      <c r="H55" s="1636">
        <v>2937</v>
      </c>
      <c r="I55" s="1624">
        <v>0</v>
      </c>
      <c r="J55" s="1624">
        <v>0</v>
      </c>
      <c r="K55" s="1728">
        <f>SUM(C55:J55)</f>
        <v>592342</v>
      </c>
      <c r="L55" s="1636">
        <v>606058</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475012</v>
      </c>
      <c r="D57" s="1729">
        <f t="shared" ref="D57:K57" si="6">SUM(D55:D56)</f>
        <v>111156</v>
      </c>
      <c r="E57" s="1729">
        <f t="shared" si="6"/>
        <v>1020</v>
      </c>
      <c r="F57" s="1729">
        <f t="shared" si="6"/>
        <v>2217</v>
      </c>
      <c r="G57" s="1729">
        <f t="shared" si="6"/>
        <v>0</v>
      </c>
      <c r="H57" s="1729">
        <f t="shared" si="6"/>
        <v>2937</v>
      </c>
      <c r="I57" s="1729">
        <f t="shared" si="6"/>
        <v>0</v>
      </c>
      <c r="J57" s="1729">
        <f t="shared" si="6"/>
        <v>0</v>
      </c>
      <c r="K57" s="1729">
        <f t="shared" si="6"/>
        <v>592342</v>
      </c>
      <c r="L57" s="1724">
        <f>SUM(L55:L56)</f>
        <v>606058</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98000</v>
      </c>
      <c r="D59" s="1636">
        <v>31454</v>
      </c>
      <c r="E59" s="1636">
        <v>3593</v>
      </c>
      <c r="F59" s="1636">
        <v>45</v>
      </c>
      <c r="G59" s="1636">
        <v>0</v>
      </c>
      <c r="H59" s="1636">
        <v>1324</v>
      </c>
      <c r="I59" s="1624">
        <v>0</v>
      </c>
      <c r="J59" s="1624">
        <v>0</v>
      </c>
      <c r="K59" s="1728">
        <f t="shared" ref="K59:K64" si="7">SUM(C59:J59)</f>
        <v>134416</v>
      </c>
      <c r="L59" s="1636">
        <v>131059</v>
      </c>
      <c r="M59" s="501"/>
      <c r="N59" s="501"/>
    </row>
    <row r="60" spans="1:14" s="321" customFormat="1" x14ac:dyDescent="0.2">
      <c r="A60" s="1319" t="s">
        <v>460</v>
      </c>
      <c r="B60" s="503">
        <v>2520</v>
      </c>
      <c r="C60" s="1623">
        <v>94121</v>
      </c>
      <c r="D60" s="1623">
        <v>22292</v>
      </c>
      <c r="E60" s="1623">
        <v>21467</v>
      </c>
      <c r="F60" s="1623">
        <v>27097</v>
      </c>
      <c r="G60" s="1623">
        <v>0</v>
      </c>
      <c r="H60" s="1623">
        <v>249</v>
      </c>
      <c r="I60" s="1624">
        <v>0</v>
      </c>
      <c r="J60" s="1624">
        <v>0</v>
      </c>
      <c r="K60" s="1728">
        <f t="shared" si="7"/>
        <v>165226</v>
      </c>
      <c r="L60" s="1623">
        <v>159310</v>
      </c>
      <c r="M60" s="501"/>
      <c r="N60" s="501"/>
    </row>
    <row r="61" spans="1:14" s="321" customFormat="1" x14ac:dyDescent="0.2">
      <c r="A61" s="1319" t="s">
        <v>195</v>
      </c>
      <c r="B61" s="503">
        <v>2540</v>
      </c>
      <c r="C61" s="1623">
        <v>0</v>
      </c>
      <c r="D61" s="1623">
        <v>0</v>
      </c>
      <c r="E61" s="1623">
        <v>31017</v>
      </c>
      <c r="F61" s="1623">
        <v>12556</v>
      </c>
      <c r="G61" s="1623">
        <v>0</v>
      </c>
      <c r="H61" s="1623">
        <v>0</v>
      </c>
      <c r="I61" s="1624">
        <v>0</v>
      </c>
      <c r="J61" s="1624">
        <v>0</v>
      </c>
      <c r="K61" s="1728">
        <f t="shared" si="7"/>
        <v>43573</v>
      </c>
      <c r="L61" s="1623">
        <v>49463</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v>0</v>
      </c>
      <c r="M62" s="501"/>
      <c r="N62" s="501"/>
    </row>
    <row r="63" spans="1:14" s="501" customFormat="1" x14ac:dyDescent="0.2">
      <c r="A63" s="1319" t="s">
        <v>100</v>
      </c>
      <c r="B63" s="503">
        <v>2560</v>
      </c>
      <c r="C63" s="1623">
        <v>152812</v>
      </c>
      <c r="D63" s="1623">
        <v>23025</v>
      </c>
      <c r="E63" s="1623">
        <v>2234</v>
      </c>
      <c r="F63" s="1623">
        <v>76530</v>
      </c>
      <c r="G63" s="1623">
        <v>0</v>
      </c>
      <c r="H63" s="1623">
        <v>752</v>
      </c>
      <c r="I63" s="1624">
        <v>0</v>
      </c>
      <c r="J63" s="1624">
        <v>0</v>
      </c>
      <c r="K63" s="1728">
        <f t="shared" si="7"/>
        <v>255353</v>
      </c>
      <c r="L63" s="1623">
        <v>280293</v>
      </c>
    </row>
    <row r="64" spans="1:14" s="501" customFormat="1" x14ac:dyDescent="0.2">
      <c r="A64" s="1324" t="s">
        <v>101</v>
      </c>
      <c r="B64" s="513">
        <v>2570</v>
      </c>
      <c r="C64" s="1636">
        <v>0</v>
      </c>
      <c r="D64" s="1636">
        <v>0</v>
      </c>
      <c r="E64" s="1636">
        <v>110253</v>
      </c>
      <c r="F64" s="1636">
        <v>15655</v>
      </c>
      <c r="G64" s="1636">
        <v>0</v>
      </c>
      <c r="H64" s="1636">
        <v>0</v>
      </c>
      <c r="I64" s="1624">
        <v>0</v>
      </c>
      <c r="J64" s="1624">
        <v>0</v>
      </c>
      <c r="K64" s="1728">
        <f t="shared" si="7"/>
        <v>125908</v>
      </c>
      <c r="L64" s="1636">
        <v>123722</v>
      </c>
    </row>
    <row r="65" spans="1:14" s="321" customFormat="1" ht="12.75" customHeight="1" thickBot="1" x14ac:dyDescent="0.25">
      <c r="A65" s="1429" t="s">
        <v>714</v>
      </c>
      <c r="B65" s="1430" t="s">
        <v>35</v>
      </c>
      <c r="C65" s="1724">
        <f>SUM(C59:C64)</f>
        <v>344933</v>
      </c>
      <c r="D65" s="1724">
        <f t="shared" ref="D65:L65" si="8">SUM(D59:D64)</f>
        <v>76771</v>
      </c>
      <c r="E65" s="1724">
        <f t="shared" si="8"/>
        <v>168564</v>
      </c>
      <c r="F65" s="1724">
        <f t="shared" si="8"/>
        <v>131883</v>
      </c>
      <c r="G65" s="1724">
        <f t="shared" si="8"/>
        <v>0</v>
      </c>
      <c r="H65" s="1724">
        <f t="shared" si="8"/>
        <v>2325</v>
      </c>
      <c r="I65" s="1724">
        <f t="shared" si="8"/>
        <v>0</v>
      </c>
      <c r="J65" s="1724">
        <f t="shared" si="8"/>
        <v>0</v>
      </c>
      <c r="K65" s="1724">
        <f t="shared" si="8"/>
        <v>724476</v>
      </c>
      <c r="L65" s="1724">
        <f t="shared" si="8"/>
        <v>743847</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v>0</v>
      </c>
      <c r="M68" s="501"/>
      <c r="N68" s="501"/>
    </row>
    <row r="69" spans="1:14" s="321" customFormat="1" x14ac:dyDescent="0.2">
      <c r="A69" s="1319" t="s">
        <v>1054</v>
      </c>
      <c r="B69" s="503">
        <v>2630</v>
      </c>
      <c r="C69" s="1623">
        <v>203784</v>
      </c>
      <c r="D69" s="1623">
        <v>27941</v>
      </c>
      <c r="E69" s="1623">
        <v>64962</v>
      </c>
      <c r="F69" s="1623">
        <v>136147</v>
      </c>
      <c r="G69" s="1623">
        <v>9159</v>
      </c>
      <c r="H69" s="1623">
        <v>0</v>
      </c>
      <c r="I69" s="1624">
        <v>13157</v>
      </c>
      <c r="J69" s="1624">
        <v>0</v>
      </c>
      <c r="K69" s="1728">
        <f>SUM(C69:J69)</f>
        <v>455150</v>
      </c>
      <c r="L69" s="1623">
        <v>542118</v>
      </c>
      <c r="M69" s="501"/>
      <c r="N69" s="501"/>
    </row>
    <row r="70" spans="1:14" s="321" customFormat="1" x14ac:dyDescent="0.2">
      <c r="A70" s="1319" t="s">
        <v>400</v>
      </c>
      <c r="B70" s="503">
        <v>2640</v>
      </c>
      <c r="C70" s="1623">
        <v>0</v>
      </c>
      <c r="D70" s="1623">
        <v>0</v>
      </c>
      <c r="E70" s="1623">
        <v>1737</v>
      </c>
      <c r="F70" s="1623">
        <v>0</v>
      </c>
      <c r="G70" s="1623">
        <v>0</v>
      </c>
      <c r="H70" s="1623">
        <v>0</v>
      </c>
      <c r="I70" s="1624">
        <v>0</v>
      </c>
      <c r="J70" s="1624">
        <v>0</v>
      </c>
      <c r="K70" s="1728">
        <f>SUM(C70:J70)</f>
        <v>1737</v>
      </c>
      <c r="L70" s="1623">
        <v>1857</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v>0</v>
      </c>
      <c r="M71" s="501"/>
      <c r="N71" s="501"/>
    </row>
    <row r="72" spans="1:14" s="321" customFormat="1" ht="12.75" customHeight="1" thickBot="1" x14ac:dyDescent="0.25">
      <c r="A72" s="1429" t="s">
        <v>37</v>
      </c>
      <c r="B72" s="1432" t="s">
        <v>36</v>
      </c>
      <c r="C72" s="1724">
        <f>SUM(C67:C71)</f>
        <v>203784</v>
      </c>
      <c r="D72" s="1724">
        <f t="shared" ref="D72:K72" si="9">SUM(D67:D71)</f>
        <v>27941</v>
      </c>
      <c r="E72" s="1724">
        <f t="shared" si="9"/>
        <v>66699</v>
      </c>
      <c r="F72" s="1724">
        <f t="shared" si="9"/>
        <v>136147</v>
      </c>
      <c r="G72" s="1724">
        <f t="shared" si="9"/>
        <v>9159</v>
      </c>
      <c r="H72" s="1724">
        <f t="shared" si="9"/>
        <v>0</v>
      </c>
      <c r="I72" s="1724">
        <f t="shared" si="9"/>
        <v>13157</v>
      </c>
      <c r="J72" s="1724">
        <f t="shared" si="9"/>
        <v>0</v>
      </c>
      <c r="K72" s="1724">
        <f t="shared" si="9"/>
        <v>456887</v>
      </c>
      <c r="L72" s="1724">
        <f>SUM(L67:L71)</f>
        <v>543975</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0</v>
      </c>
      <c r="M73" s="501"/>
      <c r="N73" s="501"/>
    </row>
    <row r="74" spans="1:14" ht="12.75" customHeight="1" thickTop="1" thickBot="1" x14ac:dyDescent="0.25">
      <c r="A74" s="1429" t="s">
        <v>806</v>
      </c>
      <c r="B74" s="1433">
        <v>2000</v>
      </c>
      <c r="C74" s="1731">
        <f>SUM(C42,C47,C53,C57,C65,C72,C73)</f>
        <v>2131886</v>
      </c>
      <c r="D74" s="1731">
        <f t="shared" ref="D74:K74" si="10">SUM(D42,D47,D53,D57,D65,D72,D73)</f>
        <v>504652</v>
      </c>
      <c r="E74" s="1731">
        <f t="shared" si="10"/>
        <v>380247</v>
      </c>
      <c r="F74" s="1731">
        <f t="shared" si="10"/>
        <v>329063</v>
      </c>
      <c r="G74" s="1731">
        <f t="shared" si="10"/>
        <v>9159</v>
      </c>
      <c r="H74" s="1731">
        <f t="shared" si="10"/>
        <v>29382</v>
      </c>
      <c r="I74" s="1731">
        <f t="shared" si="10"/>
        <v>17630</v>
      </c>
      <c r="J74" s="1731">
        <f t="shared" si="10"/>
        <v>0</v>
      </c>
      <c r="K74" s="1731">
        <f t="shared" si="10"/>
        <v>3402019</v>
      </c>
      <c r="L74" s="1731">
        <f>SUM(L42,L47,L53,L57,L65,L72,L73)</f>
        <v>3563362</v>
      </c>
    </row>
    <row r="75" spans="1:14" s="254" customFormat="1" ht="15.75" customHeight="1" thickTop="1" thickBot="1" x14ac:dyDescent="0.25">
      <c r="A75" s="1393" t="s">
        <v>47</v>
      </c>
      <c r="B75" s="1394" t="s">
        <v>571</v>
      </c>
      <c r="C75" s="1699">
        <v>60</v>
      </c>
      <c r="D75" s="1699">
        <v>0</v>
      </c>
      <c r="E75" s="1699">
        <v>950</v>
      </c>
      <c r="F75" s="1699">
        <v>1042</v>
      </c>
      <c r="G75" s="1699">
        <v>0</v>
      </c>
      <c r="H75" s="1699">
        <v>0</v>
      </c>
      <c r="I75" s="1677">
        <v>0</v>
      </c>
      <c r="J75" s="1677">
        <v>0</v>
      </c>
      <c r="K75" s="1724">
        <f>SUM(C75:J75)</f>
        <v>2052</v>
      </c>
      <c r="L75" s="1701">
        <v>2860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v>0</v>
      </c>
    </row>
    <row r="79" spans="1:14" x14ac:dyDescent="0.2">
      <c r="A79" s="1319" t="s">
        <v>301</v>
      </c>
      <c r="B79" s="503">
        <v>4120</v>
      </c>
      <c r="C79" s="1723"/>
      <c r="D79" s="1723"/>
      <c r="E79" s="1623">
        <v>547888</v>
      </c>
      <c r="F79" s="1723"/>
      <c r="G79" s="1723"/>
      <c r="H79" s="1623">
        <v>0</v>
      </c>
      <c r="I79" s="1632"/>
      <c r="J79" s="1632"/>
      <c r="K79" s="1722">
        <f t="shared" si="11"/>
        <v>547888</v>
      </c>
      <c r="L79" s="1623">
        <v>558236</v>
      </c>
    </row>
    <row r="80" spans="1:14" x14ac:dyDescent="0.2">
      <c r="A80" s="1319" t="s">
        <v>302</v>
      </c>
      <c r="B80" s="503">
        <v>4130</v>
      </c>
      <c r="C80" s="1723"/>
      <c r="D80" s="1723"/>
      <c r="E80" s="1623">
        <v>0</v>
      </c>
      <c r="F80" s="1723"/>
      <c r="G80" s="1723"/>
      <c r="H80" s="1623">
        <v>0</v>
      </c>
      <c r="I80" s="1632"/>
      <c r="J80" s="1632"/>
      <c r="K80" s="1722">
        <f t="shared" si="11"/>
        <v>0</v>
      </c>
      <c r="L80" s="1623">
        <v>0</v>
      </c>
    </row>
    <row r="81" spans="1:12" x14ac:dyDescent="0.2">
      <c r="A81" s="1319" t="s">
        <v>692</v>
      </c>
      <c r="B81" s="503">
        <v>4140</v>
      </c>
      <c r="C81" s="1723"/>
      <c r="D81" s="1723"/>
      <c r="E81" s="1623">
        <v>88705</v>
      </c>
      <c r="F81" s="1723"/>
      <c r="G81" s="1723"/>
      <c r="H81" s="1623">
        <v>0</v>
      </c>
      <c r="I81" s="1632"/>
      <c r="J81" s="1632"/>
      <c r="K81" s="1722">
        <f t="shared" si="11"/>
        <v>88705</v>
      </c>
      <c r="L81" s="1623">
        <v>128622</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0</v>
      </c>
      <c r="I83" s="1632"/>
      <c r="J83" s="1632"/>
      <c r="K83" s="1722">
        <f t="shared" si="11"/>
        <v>0</v>
      </c>
      <c r="L83" s="1623">
        <v>0</v>
      </c>
    </row>
    <row r="84" spans="1:12" ht="13.5" thickBot="1" x14ac:dyDescent="0.25">
      <c r="A84" s="1429" t="s">
        <v>1471</v>
      </c>
      <c r="B84" s="1434">
        <v>4100</v>
      </c>
      <c r="C84" s="1723"/>
      <c r="D84" s="1723"/>
      <c r="E84" s="1724">
        <f>SUM(E78:E83)</f>
        <v>636593</v>
      </c>
      <c r="F84" s="1723"/>
      <c r="G84" s="1723"/>
      <c r="H84" s="1724">
        <f>SUM(H78:H83)</f>
        <v>0</v>
      </c>
      <c r="I84" s="1632"/>
      <c r="J84" s="1632"/>
      <c r="K84" s="1724">
        <f>SUM(K78:K83)</f>
        <v>636593</v>
      </c>
      <c r="L84" s="1724">
        <f>SUM(L78:L83)</f>
        <v>686858</v>
      </c>
    </row>
    <row r="85" spans="1:12" ht="12.75" customHeight="1" thickTop="1" thickBot="1" x14ac:dyDescent="0.25">
      <c r="A85" s="1326" t="s">
        <v>253</v>
      </c>
      <c r="B85" s="517">
        <v>4210</v>
      </c>
      <c r="C85" s="1723"/>
      <c r="D85" s="1723"/>
      <c r="E85" s="1733"/>
      <c r="F85" s="1723"/>
      <c r="G85" s="1723"/>
      <c r="H85" s="1680">
        <v>0</v>
      </c>
      <c r="I85" s="1632"/>
      <c r="J85" s="1632"/>
      <c r="K85" s="1731">
        <f>H85</f>
        <v>0</v>
      </c>
      <c r="L85" s="1676">
        <v>0</v>
      </c>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636593</v>
      </c>
      <c r="F102" s="1723"/>
      <c r="G102" s="1723"/>
      <c r="H102" s="1731">
        <f>SUM(H84,H92,H100,H101)</f>
        <v>0</v>
      </c>
      <c r="I102" s="1632"/>
      <c r="J102" s="1632"/>
      <c r="K102" s="1731">
        <f>SUM(K84,K92,K100,K101)</f>
        <v>636593</v>
      </c>
      <c r="L102" s="1731">
        <f>SUM(L84,L92,L100,L101)</f>
        <v>686858</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8284647</v>
      </c>
      <c r="D114" s="1724">
        <f t="shared" ref="D114:K114" si="13">SUM(D33,D74,D75,D102,D112,D113)</f>
        <v>2056799</v>
      </c>
      <c r="E114" s="1724">
        <f t="shared" si="13"/>
        <v>1261255</v>
      </c>
      <c r="F114" s="1724">
        <f t="shared" si="13"/>
        <v>718318</v>
      </c>
      <c r="G114" s="1724">
        <f t="shared" si="13"/>
        <v>9159</v>
      </c>
      <c r="H114" s="1724">
        <f>SUM(H33,H74,H75,H102,H112,H113)</f>
        <v>517843</v>
      </c>
      <c r="I114" s="1724">
        <f t="shared" si="13"/>
        <v>26283</v>
      </c>
      <c r="J114" s="1724">
        <f t="shared" si="13"/>
        <v>0</v>
      </c>
      <c r="K114" s="1724">
        <f t="shared" si="13"/>
        <v>12874304</v>
      </c>
      <c r="L114" s="1724">
        <f>SUM(L33,L74,L75,L102,L112,L113)</f>
        <v>13653255</v>
      </c>
    </row>
    <row r="115" spans="1:14" ht="13.5" thickTop="1" x14ac:dyDescent="0.2">
      <c r="A115" s="2355" t="s">
        <v>989</v>
      </c>
      <c r="B115" s="2356"/>
      <c r="C115" s="1725"/>
      <c r="D115" s="1725"/>
      <c r="E115" s="1725"/>
      <c r="F115" s="1725"/>
      <c r="G115" s="1725"/>
      <c r="H115" s="1725"/>
      <c r="I115" s="1725"/>
      <c r="J115" s="1725"/>
      <c r="K115" s="1739">
        <f>'Revenues 9-14'!C268-'Expenditures 15-22'!K114</f>
        <v>-214505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293</v>
      </c>
      <c r="B117" s="233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v>0</v>
      </c>
    </row>
    <row r="123" spans="1:14" ht="14.25" thickTop="1" thickBot="1" x14ac:dyDescent="0.25">
      <c r="A123" s="1319" t="s">
        <v>4</v>
      </c>
      <c r="B123" s="503">
        <v>2530</v>
      </c>
      <c r="C123" s="1623">
        <v>0</v>
      </c>
      <c r="D123" s="1623">
        <v>0</v>
      </c>
      <c r="E123" s="1623">
        <v>41632</v>
      </c>
      <c r="F123" s="1623">
        <v>0</v>
      </c>
      <c r="G123" s="1623">
        <v>0</v>
      </c>
      <c r="H123" s="1623">
        <v>0</v>
      </c>
      <c r="I123" s="1624">
        <v>0</v>
      </c>
      <c r="J123" s="1624">
        <v>0</v>
      </c>
      <c r="K123" s="1724">
        <f>SUM(C123:J123)</f>
        <v>41632</v>
      </c>
      <c r="L123" s="1623">
        <v>43118</v>
      </c>
    </row>
    <row r="124" spans="1:14" ht="14.25" thickTop="1" thickBot="1" x14ac:dyDescent="0.25">
      <c r="A124" s="1319" t="s">
        <v>195</v>
      </c>
      <c r="B124" s="503">
        <v>2540</v>
      </c>
      <c r="C124" s="1623">
        <v>541993</v>
      </c>
      <c r="D124" s="1623">
        <v>84913</v>
      </c>
      <c r="E124" s="1623">
        <v>902136</v>
      </c>
      <c r="F124" s="1623">
        <v>413020</v>
      </c>
      <c r="G124" s="1623">
        <v>377877</v>
      </c>
      <c r="H124" s="1623">
        <v>679</v>
      </c>
      <c r="I124" s="1624">
        <v>23630</v>
      </c>
      <c r="J124" s="1624">
        <v>0</v>
      </c>
      <c r="K124" s="1724">
        <f>SUM(C124:J124)</f>
        <v>2344248</v>
      </c>
      <c r="L124" s="1623">
        <v>2635083</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0</v>
      </c>
    </row>
    <row r="127" spans="1:14" ht="12.75" customHeight="1" thickTop="1" thickBot="1" x14ac:dyDescent="0.25">
      <c r="A127" s="1429" t="s">
        <v>714</v>
      </c>
      <c r="B127" s="1430" t="s">
        <v>35</v>
      </c>
      <c r="C127" s="1724">
        <f>SUM(C122:C126)</f>
        <v>541993</v>
      </c>
      <c r="D127" s="1724">
        <f t="shared" ref="D127:L127" si="14">SUM(D122:D126)</f>
        <v>84913</v>
      </c>
      <c r="E127" s="1724">
        <f t="shared" si="14"/>
        <v>943768</v>
      </c>
      <c r="F127" s="1724">
        <f t="shared" si="14"/>
        <v>413020</v>
      </c>
      <c r="G127" s="1724">
        <f t="shared" si="14"/>
        <v>377877</v>
      </c>
      <c r="H127" s="1724">
        <f t="shared" si="14"/>
        <v>679</v>
      </c>
      <c r="I127" s="1724">
        <f t="shared" si="14"/>
        <v>23630</v>
      </c>
      <c r="J127" s="1724">
        <f t="shared" si="14"/>
        <v>0</v>
      </c>
      <c r="K127" s="1724">
        <f t="shared" si="14"/>
        <v>2385880</v>
      </c>
      <c r="L127" s="1724">
        <f t="shared" si="14"/>
        <v>2678201</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0</v>
      </c>
    </row>
    <row r="129" spans="1:14" ht="12.75" customHeight="1" thickBot="1" x14ac:dyDescent="0.25">
      <c r="A129" s="1438" t="s">
        <v>806</v>
      </c>
      <c r="B129" s="1439" t="s">
        <v>565</v>
      </c>
      <c r="C129" s="1731">
        <f>SUM(C120,C127,C128)</f>
        <v>541993</v>
      </c>
      <c r="D129" s="1731">
        <f t="shared" ref="D129:L129" si="15">SUM(D120,D127,D128)</f>
        <v>84913</v>
      </c>
      <c r="E129" s="1731">
        <f t="shared" si="15"/>
        <v>943768</v>
      </c>
      <c r="F129" s="1731">
        <f t="shared" si="15"/>
        <v>413020</v>
      </c>
      <c r="G129" s="1731">
        <f t="shared" si="15"/>
        <v>377877</v>
      </c>
      <c r="H129" s="1731">
        <f t="shared" si="15"/>
        <v>679</v>
      </c>
      <c r="I129" s="1731">
        <f t="shared" si="15"/>
        <v>23630</v>
      </c>
      <c r="J129" s="1731">
        <f t="shared" si="15"/>
        <v>0</v>
      </c>
      <c r="K129" s="1731">
        <f t="shared" si="15"/>
        <v>2385880</v>
      </c>
      <c r="L129" s="1731">
        <f t="shared" si="15"/>
        <v>2678201</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5" t="s">
        <v>616</v>
      </c>
      <c r="B151" s="2327"/>
      <c r="C151" s="1724">
        <f>SUM(C129,C130,C139,C149,C150)</f>
        <v>541993</v>
      </c>
      <c r="D151" s="1724">
        <f t="shared" ref="D151:K151" si="16">SUM(D129,D130,D139,D149,D150)</f>
        <v>84913</v>
      </c>
      <c r="E151" s="1724">
        <f t="shared" si="16"/>
        <v>943768</v>
      </c>
      <c r="F151" s="1724">
        <f t="shared" si="16"/>
        <v>413020</v>
      </c>
      <c r="G151" s="1724">
        <f t="shared" si="16"/>
        <v>377877</v>
      </c>
      <c r="H151" s="1724">
        <f t="shared" si="16"/>
        <v>679</v>
      </c>
      <c r="I151" s="1724">
        <f t="shared" si="16"/>
        <v>23630</v>
      </c>
      <c r="J151" s="1724">
        <f t="shared" si="16"/>
        <v>0</v>
      </c>
      <c r="K151" s="1724">
        <f t="shared" si="16"/>
        <v>2385880</v>
      </c>
      <c r="L151" s="1724">
        <f>SUM(L129,L130,L139,L149,L150)</f>
        <v>2678201</v>
      </c>
    </row>
    <row r="152" spans="1:14" ht="12.75" customHeight="1" thickTop="1" x14ac:dyDescent="0.2">
      <c r="A152" s="2348" t="s">
        <v>1170</v>
      </c>
      <c r="B152" s="2349"/>
      <c r="C152" s="1725"/>
      <c r="D152" s="1725"/>
      <c r="E152" s="1725"/>
      <c r="F152" s="1725"/>
      <c r="G152" s="1725"/>
      <c r="H152" s="1725"/>
      <c r="I152" s="1725"/>
      <c r="J152" s="1723"/>
      <c r="K152" s="1739">
        <f>'Revenues 9-14'!D268-'Expenditures 15-22'!K151</f>
        <v>-1032371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617</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386692</v>
      </c>
      <c r="I169" s="1723"/>
      <c r="J169" s="1723"/>
      <c r="K169" s="1722">
        <f>SUM(C169:H169)</f>
        <v>386692</v>
      </c>
      <c r="L169" s="1745">
        <v>404885</v>
      </c>
    </row>
    <row r="170" spans="1:14" ht="33.75" customHeight="1" x14ac:dyDescent="0.2">
      <c r="A170" s="543" t="s">
        <v>1654</v>
      </c>
      <c r="B170" s="545" t="s">
        <v>31</v>
      </c>
      <c r="C170" s="1723"/>
      <c r="D170" s="1723"/>
      <c r="E170" s="1723"/>
      <c r="F170" s="1723"/>
      <c r="G170" s="1723"/>
      <c r="H170" s="1696">
        <v>4870000</v>
      </c>
      <c r="I170" s="1723"/>
      <c r="J170" s="1723"/>
      <c r="K170" s="1722">
        <f>SUM(C170:J170)</f>
        <v>4870000</v>
      </c>
      <c r="L170" s="1696">
        <v>5016100</v>
      </c>
    </row>
    <row r="171" spans="1:14" ht="15.75" customHeight="1" x14ac:dyDescent="0.2">
      <c r="A171" s="507" t="s">
        <v>761</v>
      </c>
      <c r="B171" s="546" t="s">
        <v>84</v>
      </c>
      <c r="C171" s="1723"/>
      <c r="D171" s="1723"/>
      <c r="E171" s="1623">
        <v>0</v>
      </c>
      <c r="F171" s="1723"/>
      <c r="G171" s="1723"/>
      <c r="H171" s="1696">
        <v>2844</v>
      </c>
      <c r="I171" s="1632"/>
      <c r="J171" s="1723"/>
      <c r="K171" s="1722">
        <f>SUM(C171:J171)</f>
        <v>2844</v>
      </c>
      <c r="L171" s="1696">
        <v>4120</v>
      </c>
    </row>
    <row r="172" spans="1:14" ht="12.75" customHeight="1" thickBot="1" x14ac:dyDescent="0.25">
      <c r="A172" s="1429" t="s">
        <v>633</v>
      </c>
      <c r="B172" s="1430" t="s">
        <v>489</v>
      </c>
      <c r="C172" s="1723"/>
      <c r="D172" s="1723"/>
      <c r="E172" s="1731">
        <f>SUM(E168,E169,E170,E171)</f>
        <v>0</v>
      </c>
      <c r="F172" s="1723"/>
      <c r="G172" s="1723"/>
      <c r="H172" s="1731">
        <f>SUM(H168,H169,H170,H171)</f>
        <v>5259536</v>
      </c>
      <c r="I172" s="1734"/>
      <c r="J172" s="1723"/>
      <c r="K172" s="1731">
        <f>SUM(K168,K169,K170,K171)</f>
        <v>5259536</v>
      </c>
      <c r="L172" s="1731">
        <f>SUM(L168,L169,L170,L171)</f>
        <v>5425105</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5259536</v>
      </c>
      <c r="I174" s="1734"/>
      <c r="J174" s="1723"/>
      <c r="K174" s="1731">
        <f>SUM(K160,K172,K173)</f>
        <v>5259536</v>
      </c>
      <c r="L174" s="1731">
        <f>SUM(L160,L172,L173)</f>
        <v>5425105</v>
      </c>
    </row>
    <row r="175" spans="1:14" ht="13.5" thickTop="1" x14ac:dyDescent="0.2">
      <c r="A175" s="2355" t="s">
        <v>989</v>
      </c>
      <c r="B175" s="2356"/>
      <c r="C175" s="1723"/>
      <c r="D175" s="1723"/>
      <c r="E175" s="1723"/>
      <c r="F175" s="1723"/>
      <c r="G175" s="1723"/>
      <c r="H175" s="1725"/>
      <c r="I175" s="1723"/>
      <c r="J175" s="1723"/>
      <c r="K175" s="1739">
        <f>'Revenues 9-14'!E268-'Expenditures 15-22'!K174</f>
        <v>-875107</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920577</v>
      </c>
      <c r="D182" s="1623">
        <v>32511</v>
      </c>
      <c r="E182" s="1623">
        <v>568058</v>
      </c>
      <c r="F182" s="1623">
        <v>176905</v>
      </c>
      <c r="G182" s="1623">
        <v>0</v>
      </c>
      <c r="H182" s="1623">
        <v>5085</v>
      </c>
      <c r="I182" s="1624">
        <v>0</v>
      </c>
      <c r="J182" s="1624">
        <v>0</v>
      </c>
      <c r="K182" s="1722">
        <f>SUM(C182:J182)</f>
        <v>1703136</v>
      </c>
      <c r="L182" s="1623">
        <v>1799124</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920577</v>
      </c>
      <c r="D184" s="1731">
        <f t="shared" ref="D184:J184" si="17">SUM(D180,D182,D183)</f>
        <v>32511</v>
      </c>
      <c r="E184" s="1731">
        <f t="shared" si="17"/>
        <v>568058</v>
      </c>
      <c r="F184" s="1731">
        <f t="shared" si="17"/>
        <v>176905</v>
      </c>
      <c r="G184" s="1731">
        <f t="shared" si="17"/>
        <v>0</v>
      </c>
      <c r="H184" s="1731">
        <f t="shared" si="17"/>
        <v>5085</v>
      </c>
      <c r="I184" s="1731">
        <f t="shared" si="17"/>
        <v>0</v>
      </c>
      <c r="J184" s="1731">
        <f t="shared" si="17"/>
        <v>0</v>
      </c>
      <c r="K184" s="1731">
        <f>SUM(K180,K182,K183)</f>
        <v>1703136</v>
      </c>
      <c r="L184" s="1731">
        <f>SUM(L180, L182:L183)</f>
        <v>1799124</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920577</v>
      </c>
      <c r="D210" s="1724">
        <f>SUM(D184,D185)</f>
        <v>32511</v>
      </c>
      <c r="E210" s="1724">
        <f>SUM(E184,E185,E196)</f>
        <v>568058</v>
      </c>
      <c r="F210" s="1724">
        <f>SUM(F184,F185)</f>
        <v>176905</v>
      </c>
      <c r="G210" s="1724">
        <f>SUM(G184,G185)</f>
        <v>0</v>
      </c>
      <c r="H210" s="1724">
        <f>SUM(H184,H185,H196,H208,H209)</f>
        <v>5085</v>
      </c>
      <c r="I210" s="1724">
        <f>SUM(I184,I185)</f>
        <v>0</v>
      </c>
      <c r="J210" s="1724">
        <f>SUM(J184,J185)</f>
        <v>0</v>
      </c>
      <c r="K210" s="1722">
        <f>SUM(K184,K185,K196,K208,K209)</f>
        <v>1703136</v>
      </c>
      <c r="L210" s="1724">
        <f>SUM(L184,L185,L196,L208,L209)</f>
        <v>1799124</v>
      </c>
    </row>
    <row r="211" spans="1:14" ht="13.5" thickTop="1" x14ac:dyDescent="0.2">
      <c r="A211" s="2355" t="s">
        <v>989</v>
      </c>
      <c r="B211" s="2356"/>
      <c r="C211" s="1725"/>
      <c r="D211" s="1725"/>
      <c r="E211" s="1725"/>
      <c r="F211" s="1725"/>
      <c r="G211" s="1725"/>
      <c r="H211" s="1725"/>
      <c r="I211" s="1723"/>
      <c r="J211" s="1723"/>
      <c r="K211" s="1739">
        <f>'Revenues 9-14'!F268-'Expenditures 15-22'!K210</f>
        <v>-52070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959</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83847</v>
      </c>
      <c r="E215" s="1723"/>
      <c r="F215" s="1723"/>
      <c r="G215" s="1723"/>
      <c r="H215" s="1723"/>
      <c r="I215" s="1723"/>
      <c r="J215" s="1723"/>
      <c r="K215" s="1722">
        <f>D215</f>
        <v>83847</v>
      </c>
      <c r="L215" s="1623">
        <v>83283</v>
      </c>
    </row>
    <row r="216" spans="1:14" x14ac:dyDescent="0.2">
      <c r="A216" s="1319" t="s">
        <v>162</v>
      </c>
      <c r="B216" s="503" t="s">
        <v>961</v>
      </c>
      <c r="C216" s="1723"/>
      <c r="D216" s="1624">
        <v>876</v>
      </c>
      <c r="E216" s="1723"/>
      <c r="F216" s="1723"/>
      <c r="G216" s="1723"/>
      <c r="H216" s="1723"/>
      <c r="I216" s="1723"/>
      <c r="J216" s="1723"/>
      <c r="K216" s="1722">
        <f t="shared" ref="K216:K228" si="19">D216</f>
        <v>876</v>
      </c>
      <c r="L216" s="1623">
        <v>865</v>
      </c>
    </row>
    <row r="217" spans="1:14" x14ac:dyDescent="0.2">
      <c r="A217" s="1319" t="s">
        <v>163</v>
      </c>
      <c r="B217" s="503">
        <v>1200</v>
      </c>
      <c r="C217" s="1723"/>
      <c r="D217" s="1623">
        <v>117899</v>
      </c>
      <c r="E217" s="1723"/>
      <c r="F217" s="1723"/>
      <c r="G217" s="1723"/>
      <c r="H217" s="1723"/>
      <c r="I217" s="1723"/>
      <c r="J217" s="1723"/>
      <c r="K217" s="1722">
        <f t="shared" si="19"/>
        <v>117899</v>
      </c>
      <c r="L217" s="1623">
        <v>115307</v>
      </c>
    </row>
    <row r="218" spans="1:14" x14ac:dyDescent="0.2">
      <c r="A218" s="1319" t="s">
        <v>276</v>
      </c>
      <c r="B218" s="503" t="s">
        <v>962</v>
      </c>
      <c r="C218" s="1723"/>
      <c r="D218" s="1624">
        <v>0</v>
      </c>
      <c r="E218" s="1723"/>
      <c r="F218" s="1723"/>
      <c r="G218" s="1723"/>
      <c r="H218" s="1723"/>
      <c r="I218" s="1723"/>
      <c r="J218" s="1723"/>
      <c r="K218" s="1722">
        <f t="shared" si="19"/>
        <v>0</v>
      </c>
      <c r="L218" s="1623">
        <v>0</v>
      </c>
    </row>
    <row r="219" spans="1:14" x14ac:dyDescent="0.2">
      <c r="A219" s="1319" t="s">
        <v>277</v>
      </c>
      <c r="B219" s="503">
        <v>1250</v>
      </c>
      <c r="C219" s="1723"/>
      <c r="D219" s="1623">
        <v>2141</v>
      </c>
      <c r="E219" s="1723"/>
      <c r="F219" s="1723"/>
      <c r="G219" s="1723"/>
      <c r="H219" s="1723"/>
      <c r="I219" s="1723"/>
      <c r="J219" s="1723"/>
      <c r="K219" s="1722">
        <f t="shared" si="19"/>
        <v>2141</v>
      </c>
      <c r="L219" s="1623">
        <v>2145</v>
      </c>
    </row>
    <row r="220" spans="1:14" x14ac:dyDescent="0.2">
      <c r="A220" s="1319" t="s">
        <v>278</v>
      </c>
      <c r="B220" s="503" t="s">
        <v>160</v>
      </c>
      <c r="C220" s="1723"/>
      <c r="D220" s="1624">
        <v>0</v>
      </c>
      <c r="E220" s="1723"/>
      <c r="F220" s="1723"/>
      <c r="G220" s="1723"/>
      <c r="H220" s="1723"/>
      <c r="I220" s="1723"/>
      <c r="J220" s="1723"/>
      <c r="K220" s="1722">
        <f t="shared" si="19"/>
        <v>0</v>
      </c>
      <c r="L220" s="1623">
        <v>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1918</v>
      </c>
      <c r="E222" s="1723"/>
      <c r="F222" s="1723"/>
      <c r="G222" s="1723"/>
      <c r="H222" s="1723"/>
      <c r="I222" s="1723"/>
      <c r="J222" s="1723"/>
      <c r="K222" s="1722">
        <f t="shared" si="19"/>
        <v>1918</v>
      </c>
      <c r="L222" s="1623">
        <v>1951</v>
      </c>
    </row>
    <row r="223" spans="1:14" x14ac:dyDescent="0.2">
      <c r="A223" s="1319" t="s">
        <v>957</v>
      </c>
      <c r="B223" s="503">
        <v>1500</v>
      </c>
      <c r="C223" s="1723"/>
      <c r="D223" s="1623">
        <v>4513</v>
      </c>
      <c r="E223" s="1723"/>
      <c r="F223" s="1723"/>
      <c r="G223" s="1723"/>
      <c r="H223" s="1723"/>
      <c r="I223" s="1723"/>
      <c r="J223" s="1723"/>
      <c r="K223" s="1722">
        <f t="shared" si="19"/>
        <v>4513</v>
      </c>
      <c r="L223" s="1623">
        <v>4480</v>
      </c>
    </row>
    <row r="224" spans="1:14" x14ac:dyDescent="0.2">
      <c r="A224" s="1319" t="s">
        <v>958</v>
      </c>
      <c r="B224" s="503">
        <v>1600</v>
      </c>
      <c r="C224" s="1723"/>
      <c r="D224" s="1623">
        <v>896</v>
      </c>
      <c r="E224" s="1723"/>
      <c r="F224" s="1723"/>
      <c r="G224" s="1723"/>
      <c r="H224" s="1723"/>
      <c r="I224" s="1723"/>
      <c r="J224" s="1723"/>
      <c r="K224" s="1722">
        <f t="shared" si="19"/>
        <v>896</v>
      </c>
      <c r="L224" s="1623">
        <v>840</v>
      </c>
    </row>
    <row r="225" spans="1:12" x14ac:dyDescent="0.2">
      <c r="A225" s="1319" t="s">
        <v>980</v>
      </c>
      <c r="B225" s="503">
        <v>1650</v>
      </c>
      <c r="C225" s="1723"/>
      <c r="D225" s="1623">
        <v>0</v>
      </c>
      <c r="E225" s="1723"/>
      <c r="F225" s="1723"/>
      <c r="G225" s="1723"/>
      <c r="H225" s="1723"/>
      <c r="I225" s="1723"/>
      <c r="J225" s="1723"/>
      <c r="K225" s="1722">
        <f t="shared" si="19"/>
        <v>0</v>
      </c>
      <c r="L225" s="1623">
        <v>0</v>
      </c>
    </row>
    <row r="226" spans="1:12" x14ac:dyDescent="0.2">
      <c r="A226" s="1319" t="s">
        <v>719</v>
      </c>
      <c r="B226" s="503" t="s">
        <v>161</v>
      </c>
      <c r="C226" s="1723"/>
      <c r="D226" s="1624">
        <v>117</v>
      </c>
      <c r="E226" s="1723"/>
      <c r="F226" s="1723"/>
      <c r="G226" s="1723"/>
      <c r="H226" s="1723"/>
      <c r="I226" s="1723"/>
      <c r="J226" s="1723"/>
      <c r="K226" s="1722">
        <f t="shared" si="19"/>
        <v>117</v>
      </c>
      <c r="L226" s="1623">
        <v>146</v>
      </c>
    </row>
    <row r="227" spans="1:12" x14ac:dyDescent="0.2">
      <c r="A227" s="1319" t="s">
        <v>1080</v>
      </c>
      <c r="B227" s="503">
        <v>1800</v>
      </c>
      <c r="C227" s="1723"/>
      <c r="D227" s="1623">
        <v>0</v>
      </c>
      <c r="E227" s="1723"/>
      <c r="F227" s="1723"/>
      <c r="G227" s="1723"/>
      <c r="H227" s="1723"/>
      <c r="I227" s="1723"/>
      <c r="J227" s="1723"/>
      <c r="K227" s="1722">
        <f t="shared" si="19"/>
        <v>0</v>
      </c>
      <c r="L227" s="1623">
        <v>0</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212207</v>
      </c>
      <c r="E229" s="1723"/>
      <c r="F229" s="1723"/>
      <c r="G229" s="1723"/>
      <c r="H229" s="1723"/>
      <c r="I229" s="1723"/>
      <c r="J229" s="1723"/>
      <c r="K229" s="1724">
        <f>SUM(K215:K228)</f>
        <v>212207</v>
      </c>
      <c r="L229" s="1724">
        <f>SUM(L215:L228)</f>
        <v>209017</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1821</v>
      </c>
      <c r="E232" s="1723"/>
      <c r="F232" s="1723"/>
      <c r="G232" s="1723"/>
      <c r="H232" s="1723"/>
      <c r="I232" s="1723"/>
      <c r="J232" s="1723"/>
      <c r="K232" s="1722">
        <f t="shared" ref="K232:K237" si="20">D232</f>
        <v>1821</v>
      </c>
      <c r="L232" s="1623">
        <v>1931</v>
      </c>
    </row>
    <row r="233" spans="1:12" x14ac:dyDescent="0.2">
      <c r="A233" s="1319" t="s">
        <v>1083</v>
      </c>
      <c r="B233" s="503">
        <v>2120</v>
      </c>
      <c r="C233" s="1723"/>
      <c r="D233" s="1623">
        <v>11239</v>
      </c>
      <c r="E233" s="1723"/>
      <c r="F233" s="1723"/>
      <c r="G233" s="1723"/>
      <c r="H233" s="1723"/>
      <c r="I233" s="1723"/>
      <c r="J233" s="1723"/>
      <c r="K233" s="1722">
        <f t="shared" si="20"/>
        <v>11239</v>
      </c>
      <c r="L233" s="1623">
        <v>10995</v>
      </c>
    </row>
    <row r="234" spans="1:12" x14ac:dyDescent="0.2">
      <c r="A234" s="1319" t="s">
        <v>196</v>
      </c>
      <c r="B234" s="503">
        <v>2130</v>
      </c>
      <c r="C234" s="1723"/>
      <c r="D234" s="1623">
        <v>23009</v>
      </c>
      <c r="E234" s="1723"/>
      <c r="F234" s="1723"/>
      <c r="G234" s="1723"/>
      <c r="H234" s="1723"/>
      <c r="I234" s="1723"/>
      <c r="J234" s="1723"/>
      <c r="K234" s="1722">
        <f t="shared" si="20"/>
        <v>23009</v>
      </c>
      <c r="L234" s="1623">
        <v>22137</v>
      </c>
    </row>
    <row r="235" spans="1:12" x14ac:dyDescent="0.2">
      <c r="A235" s="1319" t="s">
        <v>197</v>
      </c>
      <c r="B235" s="503">
        <v>2140</v>
      </c>
      <c r="C235" s="1723"/>
      <c r="D235" s="1623">
        <v>2395</v>
      </c>
      <c r="E235" s="1723"/>
      <c r="F235" s="1723"/>
      <c r="G235" s="1723"/>
      <c r="H235" s="1723"/>
      <c r="I235" s="1723"/>
      <c r="J235" s="1723"/>
      <c r="K235" s="1722">
        <f t="shared" si="20"/>
        <v>2395</v>
      </c>
      <c r="L235" s="1623">
        <v>2337</v>
      </c>
    </row>
    <row r="236" spans="1:12" x14ac:dyDescent="0.2">
      <c r="A236" s="1319" t="s">
        <v>198</v>
      </c>
      <c r="B236" s="503">
        <v>2150</v>
      </c>
      <c r="C236" s="1723"/>
      <c r="D236" s="1623">
        <v>2486</v>
      </c>
      <c r="E236" s="1723"/>
      <c r="F236" s="1723"/>
      <c r="G236" s="1723"/>
      <c r="H236" s="1723"/>
      <c r="I236" s="1723"/>
      <c r="J236" s="1723"/>
      <c r="K236" s="1722">
        <f t="shared" si="20"/>
        <v>2486</v>
      </c>
      <c r="L236" s="1623">
        <v>2480</v>
      </c>
    </row>
    <row r="237" spans="1:12" x14ac:dyDescent="0.2">
      <c r="A237" s="1319" t="s">
        <v>164</v>
      </c>
      <c r="B237" s="503">
        <v>2190</v>
      </c>
      <c r="C237" s="1723"/>
      <c r="D237" s="1623">
        <v>0</v>
      </c>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40950</v>
      </c>
      <c r="E238" s="1723"/>
      <c r="F238" s="1723"/>
      <c r="G238" s="1723"/>
      <c r="H238" s="1723"/>
      <c r="I238" s="1723"/>
      <c r="J238" s="1723"/>
      <c r="K238" s="1724">
        <f>SUM(K232:K237)</f>
        <v>40950</v>
      </c>
      <c r="L238" s="1724">
        <f>SUM(L232:L237)</f>
        <v>39880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1910</v>
      </c>
      <c r="E240" s="1723"/>
      <c r="F240" s="1723"/>
      <c r="G240" s="1723"/>
      <c r="H240" s="1723"/>
      <c r="I240" s="1723"/>
      <c r="J240" s="1723"/>
      <c r="K240" s="1728">
        <f>D240</f>
        <v>1910</v>
      </c>
      <c r="L240" s="1636">
        <v>1929</v>
      </c>
    </row>
    <row r="241" spans="1:12" x14ac:dyDescent="0.2">
      <c r="A241" s="1319" t="s">
        <v>810</v>
      </c>
      <c r="B241" s="503">
        <v>2220</v>
      </c>
      <c r="C241" s="1723"/>
      <c r="D241" s="1623">
        <v>627</v>
      </c>
      <c r="E241" s="1723"/>
      <c r="F241" s="1723"/>
      <c r="G241" s="1723"/>
      <c r="H241" s="1723"/>
      <c r="I241" s="1723"/>
      <c r="J241" s="1723"/>
      <c r="K241" s="1728">
        <f>D241</f>
        <v>627</v>
      </c>
      <c r="L241" s="1623">
        <v>625</v>
      </c>
    </row>
    <row r="242" spans="1:12" x14ac:dyDescent="0.2">
      <c r="A242" s="1319" t="s">
        <v>811</v>
      </c>
      <c r="B242" s="503">
        <v>2230</v>
      </c>
      <c r="C242" s="1723"/>
      <c r="D242" s="1623">
        <v>0</v>
      </c>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2537</v>
      </c>
      <c r="E243" s="1723"/>
      <c r="F243" s="1723"/>
      <c r="G243" s="1723"/>
      <c r="H243" s="1723"/>
      <c r="I243" s="1723"/>
      <c r="J243" s="1723"/>
      <c r="K243" s="1724">
        <f>SUM(K240:K242)</f>
        <v>2537</v>
      </c>
      <c r="L243" s="1724">
        <f>SUM(L240:L242)</f>
        <v>2554</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9116</v>
      </c>
      <c r="E245" s="1723"/>
      <c r="F245" s="1723"/>
      <c r="G245" s="1723"/>
      <c r="H245" s="1723"/>
      <c r="I245" s="1723"/>
      <c r="J245" s="1723"/>
      <c r="K245" s="1728">
        <f>D245</f>
        <v>9116</v>
      </c>
      <c r="L245" s="1636">
        <v>6617</v>
      </c>
    </row>
    <row r="246" spans="1:12" x14ac:dyDescent="0.2">
      <c r="A246" s="1319" t="s">
        <v>813</v>
      </c>
      <c r="B246" s="503">
        <v>2320</v>
      </c>
      <c r="C246" s="1723"/>
      <c r="D246" s="1623">
        <v>0</v>
      </c>
      <c r="E246" s="1723"/>
      <c r="F246" s="1723"/>
      <c r="G246" s="1723"/>
      <c r="H246" s="1723"/>
      <c r="I246" s="1723"/>
      <c r="J246" s="1723"/>
      <c r="K246" s="1728">
        <f t="shared" ref="K246:K256" si="21">D246</f>
        <v>0</v>
      </c>
      <c r="L246" s="1623">
        <v>2385</v>
      </c>
    </row>
    <row r="247" spans="1:12" x14ac:dyDescent="0.2">
      <c r="A247" s="1319" t="s">
        <v>814</v>
      </c>
      <c r="B247" s="503">
        <v>2330</v>
      </c>
      <c r="C247" s="1723"/>
      <c r="D247" s="1623">
        <v>0</v>
      </c>
      <c r="E247" s="1723"/>
      <c r="F247" s="1723"/>
      <c r="G247" s="1723"/>
      <c r="H247" s="1723"/>
      <c r="I247" s="1723"/>
      <c r="J247" s="1723"/>
      <c r="K247" s="1728">
        <f t="shared" si="21"/>
        <v>0</v>
      </c>
      <c r="L247" s="1623">
        <v>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1785</v>
      </c>
      <c r="B249" s="557" t="s">
        <v>280</v>
      </c>
      <c r="C249" s="1723"/>
      <c r="D249" s="1629">
        <v>0</v>
      </c>
      <c r="E249" s="1723"/>
      <c r="F249" s="1723"/>
      <c r="G249" s="1723"/>
      <c r="H249" s="1723"/>
      <c r="I249" s="1723"/>
      <c r="J249" s="1723"/>
      <c r="K249" s="1728">
        <f t="shared" si="21"/>
        <v>0</v>
      </c>
      <c r="L249" s="1623">
        <v>0</v>
      </c>
    </row>
    <row r="250" spans="1:12" x14ac:dyDescent="0.2">
      <c r="A250" s="1320" t="s">
        <v>1786</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0</v>
      </c>
      <c r="E254" s="1723"/>
      <c r="F254" s="1723"/>
      <c r="G254" s="1723"/>
      <c r="H254" s="1723"/>
      <c r="I254" s="1723"/>
      <c r="J254" s="1723"/>
      <c r="K254" s="1728">
        <f t="shared" si="21"/>
        <v>0</v>
      </c>
      <c r="L254" s="1623">
        <v>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9116</v>
      </c>
      <c r="E257" s="1723"/>
      <c r="F257" s="1723"/>
      <c r="G257" s="1723"/>
      <c r="H257" s="1723"/>
      <c r="I257" s="1723"/>
      <c r="J257" s="1723"/>
      <c r="K257" s="1724">
        <f>SUM(K245:K256)</f>
        <v>9116</v>
      </c>
      <c r="L257" s="1724">
        <f>SUM(L245:L256)</f>
        <v>9002</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6844</v>
      </c>
      <c r="E259" s="1723"/>
      <c r="F259" s="1723"/>
      <c r="G259" s="1723"/>
      <c r="H259" s="1723"/>
      <c r="I259" s="1723"/>
      <c r="J259" s="1723"/>
      <c r="K259" s="1728">
        <f>D259</f>
        <v>6844</v>
      </c>
      <c r="L259" s="1636">
        <v>6867</v>
      </c>
    </row>
    <row r="260" spans="1:14" s="493" customFormat="1" x14ac:dyDescent="0.2">
      <c r="A260" s="1337" t="s">
        <v>1784</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6844</v>
      </c>
      <c r="E261" s="1723"/>
      <c r="F261" s="1723"/>
      <c r="G261" s="1723"/>
      <c r="H261" s="1723"/>
      <c r="I261" s="1723"/>
      <c r="J261" s="1723"/>
      <c r="K261" s="1724">
        <f>SUM(K259:K260)</f>
        <v>6844</v>
      </c>
      <c r="L261" s="1724">
        <f>SUM(L259:L260)</f>
        <v>6867</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2739</v>
      </c>
      <c r="E263" s="1723"/>
      <c r="F263" s="1723"/>
      <c r="G263" s="1723"/>
      <c r="H263" s="1723"/>
      <c r="I263" s="1723"/>
      <c r="J263" s="1723"/>
      <c r="K263" s="1728">
        <f>D263</f>
        <v>2739</v>
      </c>
      <c r="L263" s="1636">
        <v>2768</v>
      </c>
    </row>
    <row r="264" spans="1:14" x14ac:dyDescent="0.2">
      <c r="A264" s="1319" t="s">
        <v>460</v>
      </c>
      <c r="B264" s="559">
        <v>2520</v>
      </c>
      <c r="C264" s="1723"/>
      <c r="D264" s="1623">
        <v>15374</v>
      </c>
      <c r="E264" s="1723"/>
      <c r="F264" s="1723"/>
      <c r="G264" s="1723"/>
      <c r="H264" s="1723"/>
      <c r="I264" s="1723"/>
      <c r="J264" s="1723"/>
      <c r="K264" s="1728">
        <f t="shared" ref="K264:K269" si="22">D264</f>
        <v>15374</v>
      </c>
      <c r="L264" s="1623">
        <v>14919</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87401</v>
      </c>
      <c r="E266" s="1723"/>
      <c r="F266" s="1723"/>
      <c r="G266" s="1723"/>
      <c r="H266" s="1723"/>
      <c r="I266" s="1723"/>
      <c r="J266" s="1723"/>
      <c r="K266" s="1728">
        <f t="shared" si="22"/>
        <v>87401</v>
      </c>
      <c r="L266" s="1623">
        <v>85781</v>
      </c>
    </row>
    <row r="267" spans="1:14" x14ac:dyDescent="0.2">
      <c r="A267" s="1319" t="s">
        <v>947</v>
      </c>
      <c r="B267" s="503">
        <v>2550</v>
      </c>
      <c r="C267" s="1723"/>
      <c r="D267" s="1623">
        <v>155119</v>
      </c>
      <c r="E267" s="1723"/>
      <c r="F267" s="1723"/>
      <c r="G267" s="1723"/>
      <c r="H267" s="1723"/>
      <c r="I267" s="1723"/>
      <c r="J267" s="1723"/>
      <c r="K267" s="1728">
        <f t="shared" si="22"/>
        <v>155119</v>
      </c>
      <c r="L267" s="1623">
        <v>152358</v>
      </c>
    </row>
    <row r="268" spans="1:14" x14ac:dyDescent="0.2">
      <c r="A268" s="1319" t="s">
        <v>100</v>
      </c>
      <c r="B268" s="503">
        <v>2560</v>
      </c>
      <c r="C268" s="1723"/>
      <c r="D268" s="1623">
        <v>22314</v>
      </c>
      <c r="E268" s="1723"/>
      <c r="F268" s="1723"/>
      <c r="G268" s="1723"/>
      <c r="H268" s="1723"/>
      <c r="I268" s="1723"/>
      <c r="J268" s="1723"/>
      <c r="K268" s="1728">
        <f t="shared" si="22"/>
        <v>22314</v>
      </c>
      <c r="L268" s="1623">
        <v>21567</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282947</v>
      </c>
      <c r="E270" s="1723"/>
      <c r="F270" s="1723"/>
      <c r="G270" s="1723"/>
      <c r="H270" s="1723"/>
      <c r="I270" s="1723"/>
      <c r="J270" s="1723"/>
      <c r="K270" s="1724">
        <f>SUM(K263:K269)</f>
        <v>282947</v>
      </c>
      <c r="L270" s="1724">
        <f>SUM(L263:L269)</f>
        <v>277393</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0</v>
      </c>
      <c r="E273" s="1723"/>
      <c r="F273" s="1723"/>
      <c r="G273" s="1723"/>
      <c r="H273" s="1723"/>
      <c r="I273" s="1723"/>
      <c r="J273" s="1723"/>
      <c r="K273" s="1728">
        <f>D273</f>
        <v>0</v>
      </c>
      <c r="L273" s="1623">
        <v>0</v>
      </c>
    </row>
    <row r="274" spans="1:12" ht="12" customHeight="1" x14ac:dyDescent="0.2">
      <c r="A274" s="1319" t="s">
        <v>1054</v>
      </c>
      <c r="B274" s="503">
        <v>2630</v>
      </c>
      <c r="C274" s="1723"/>
      <c r="D274" s="1623">
        <v>25665</v>
      </c>
      <c r="E274" s="1723"/>
      <c r="F274" s="1723"/>
      <c r="G274" s="1723"/>
      <c r="H274" s="1723"/>
      <c r="I274" s="1723"/>
      <c r="J274" s="1723"/>
      <c r="K274" s="1728">
        <f>D274</f>
        <v>25665</v>
      </c>
      <c r="L274" s="1623">
        <v>24739</v>
      </c>
    </row>
    <row r="275" spans="1:12" x14ac:dyDescent="0.2">
      <c r="A275" s="1319" t="s">
        <v>400</v>
      </c>
      <c r="B275" s="503">
        <v>2640</v>
      </c>
      <c r="C275" s="1723"/>
      <c r="D275" s="1623">
        <v>0</v>
      </c>
      <c r="E275" s="1723"/>
      <c r="F275" s="1723"/>
      <c r="G275" s="1723"/>
      <c r="H275" s="1723"/>
      <c r="I275" s="1723"/>
      <c r="J275" s="1723"/>
      <c r="K275" s="1728">
        <f>D275</f>
        <v>0</v>
      </c>
      <c r="L275" s="1623">
        <v>0</v>
      </c>
    </row>
    <row r="276" spans="1:12" x14ac:dyDescent="0.2">
      <c r="A276" s="1319" t="s">
        <v>401</v>
      </c>
      <c r="B276" s="503">
        <v>2660</v>
      </c>
      <c r="C276" s="1723"/>
      <c r="D276" s="1623">
        <v>0</v>
      </c>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25665</v>
      </c>
      <c r="E277" s="1723"/>
      <c r="F277" s="1723"/>
      <c r="G277" s="1723"/>
      <c r="H277" s="1723"/>
      <c r="I277" s="1723"/>
      <c r="J277" s="1723"/>
      <c r="K277" s="1724">
        <f>SUM(K272:K276)</f>
        <v>25665</v>
      </c>
      <c r="L277" s="1724">
        <f>SUM(L272:L276)</f>
        <v>24739</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368059</v>
      </c>
      <c r="E279" s="1723"/>
      <c r="F279" s="1723"/>
      <c r="G279" s="1723"/>
      <c r="H279" s="1723"/>
      <c r="I279" s="1723"/>
      <c r="J279" s="1723"/>
      <c r="K279" s="1731">
        <f>SUM(K238,K243,K257,K261,K270,K277,K278)</f>
        <v>368059</v>
      </c>
      <c r="L279" s="1731">
        <f>SUM(L238,L243,L257,L261,L270,L277,L278)</f>
        <v>360435</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6" t="s">
        <v>502</v>
      </c>
      <c r="B295" s="2347"/>
      <c r="C295" s="1723"/>
      <c r="D295" s="1724">
        <f>SUM(D229,D279,D280,D285)</f>
        <v>580266</v>
      </c>
      <c r="E295" s="1723"/>
      <c r="F295" s="1723"/>
      <c r="G295" s="1723"/>
      <c r="H295" s="1724">
        <f>H293</f>
        <v>0</v>
      </c>
      <c r="I295" s="1723"/>
      <c r="J295" s="1723"/>
      <c r="K295" s="1724">
        <f>SUM(K229,K279,K280,K285,K293,K294)</f>
        <v>580266</v>
      </c>
      <c r="L295" s="1724">
        <f>SUM(L229,L279,L280,L285,L293,L294)</f>
        <v>569452</v>
      </c>
    </row>
    <row r="296" spans="1:14" ht="13.5" thickTop="1" x14ac:dyDescent="0.2">
      <c r="A296" s="2355" t="s">
        <v>989</v>
      </c>
      <c r="B296" s="2356"/>
      <c r="C296" s="1723"/>
      <c r="D296" s="1725"/>
      <c r="E296" s="1723"/>
      <c r="F296" s="1723"/>
      <c r="G296" s="1723"/>
      <c r="H296" s="1757"/>
      <c r="I296" s="1723"/>
      <c r="J296" s="1723"/>
      <c r="K296" s="1739">
        <f>'Revenues 9-14'!G268-'Expenditures 15-22'!K295</f>
        <v>17897</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3" t="s">
        <v>275</v>
      </c>
      <c r="B312" s="234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9" t="s">
        <v>989</v>
      </c>
      <c r="B313" s="2340"/>
      <c r="C313" s="1727"/>
      <c r="D313" s="1727"/>
      <c r="E313" s="1727"/>
      <c r="F313" s="1727"/>
      <c r="G313" s="1727"/>
      <c r="H313" s="1727"/>
      <c r="I313" s="1727"/>
      <c r="J313" s="1727"/>
      <c r="K313" s="1746">
        <f>'Revenues 9-14'!H268-'Expenditures 15-22'!K312</f>
        <v>44</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892</v>
      </c>
      <c r="B317" s="235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22">
        <f t="shared" ref="K320:K327" si="24">SUM(C320:J320)</f>
        <v>0</v>
      </c>
      <c r="L320" s="1624">
        <v>0</v>
      </c>
      <c r="M320" s="539"/>
      <c r="N320" s="539"/>
    </row>
    <row r="321" spans="1:14" s="548" customFormat="1" x14ac:dyDescent="0.2">
      <c r="A321" s="1334" t="s">
        <v>297</v>
      </c>
      <c r="B321" s="567" t="s">
        <v>281</v>
      </c>
      <c r="C321" s="1624">
        <v>0</v>
      </c>
      <c r="D321" s="1624">
        <v>0</v>
      </c>
      <c r="E321" s="1624">
        <v>522</v>
      </c>
      <c r="F321" s="1624">
        <v>0</v>
      </c>
      <c r="G321" s="1624">
        <v>0</v>
      </c>
      <c r="H321" s="1624">
        <v>0</v>
      </c>
      <c r="I321" s="1624">
        <v>0</v>
      </c>
      <c r="J321" s="1624">
        <v>0</v>
      </c>
      <c r="K321" s="1722">
        <f t="shared" si="24"/>
        <v>522</v>
      </c>
      <c r="L321" s="1624">
        <v>757</v>
      </c>
      <c r="M321" s="539"/>
      <c r="N321" s="539"/>
    </row>
    <row r="322" spans="1:14" s="548" customFormat="1" x14ac:dyDescent="0.2">
      <c r="A322" s="1334" t="s">
        <v>236</v>
      </c>
      <c r="B322" s="567" t="s">
        <v>282</v>
      </c>
      <c r="C322" s="1624">
        <v>0</v>
      </c>
      <c r="D322" s="1624">
        <v>0</v>
      </c>
      <c r="E322" s="1624">
        <v>195202</v>
      </c>
      <c r="F322" s="1624">
        <v>0</v>
      </c>
      <c r="G322" s="1624">
        <v>0</v>
      </c>
      <c r="H322" s="1624">
        <v>0</v>
      </c>
      <c r="I322" s="1624">
        <v>0</v>
      </c>
      <c r="J322" s="1624">
        <v>0</v>
      </c>
      <c r="K322" s="1722">
        <f t="shared" si="24"/>
        <v>195202</v>
      </c>
      <c r="L322" s="1624">
        <v>204962</v>
      </c>
      <c r="M322" s="539"/>
      <c r="N322" s="539"/>
    </row>
    <row r="323" spans="1:14" s="548" customFormat="1" x14ac:dyDescent="0.2">
      <c r="A323" s="1334" t="s">
        <v>697</v>
      </c>
      <c r="B323" s="567" t="s">
        <v>283</v>
      </c>
      <c r="C323" s="1624">
        <v>0</v>
      </c>
      <c r="D323" s="1624">
        <v>0</v>
      </c>
      <c r="E323" s="1624">
        <v>2071</v>
      </c>
      <c r="F323" s="1624">
        <v>0</v>
      </c>
      <c r="G323" s="1624">
        <v>0</v>
      </c>
      <c r="H323" s="1624">
        <v>0</v>
      </c>
      <c r="I323" s="1624">
        <v>0</v>
      </c>
      <c r="J323" s="1624">
        <v>0</v>
      </c>
      <c r="K323" s="1722">
        <f t="shared" si="24"/>
        <v>2071</v>
      </c>
      <c r="L323" s="1624">
        <v>3003</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0</v>
      </c>
      <c r="D325" s="1624">
        <v>0</v>
      </c>
      <c r="E325" s="1624">
        <v>5870</v>
      </c>
      <c r="F325" s="1624">
        <v>0</v>
      </c>
      <c r="G325" s="1624">
        <v>0</v>
      </c>
      <c r="H325" s="1624">
        <v>0</v>
      </c>
      <c r="I325" s="1624">
        <v>0</v>
      </c>
      <c r="J325" s="1624">
        <v>0</v>
      </c>
      <c r="K325" s="1722">
        <f t="shared" si="24"/>
        <v>5870</v>
      </c>
      <c r="L325" s="1624">
        <v>7352</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v>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v>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203665</v>
      </c>
      <c r="F330" s="1724">
        <f t="shared" si="25"/>
        <v>0</v>
      </c>
      <c r="G330" s="1724">
        <f t="shared" si="25"/>
        <v>0</v>
      </c>
      <c r="H330" s="1724">
        <f t="shared" si="25"/>
        <v>0</v>
      </c>
      <c r="I330" s="1724">
        <f t="shared" si="25"/>
        <v>0</v>
      </c>
      <c r="J330" s="1724">
        <f t="shared" si="25"/>
        <v>0</v>
      </c>
      <c r="K330" s="1724">
        <f>SUM(K319:K329)</f>
        <v>203665</v>
      </c>
      <c r="L330" s="1724">
        <f>SUM(L319:L329)</f>
        <v>216074</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203665</v>
      </c>
      <c r="F342" s="1724">
        <f>SUM(F330)</f>
        <v>0</v>
      </c>
      <c r="G342" s="1724">
        <f>SUM(G330)</f>
        <v>0</v>
      </c>
      <c r="H342" s="1724">
        <f>SUM(H330,H334,H340)</f>
        <v>0</v>
      </c>
      <c r="I342" s="1724">
        <f>SUM(I330)</f>
        <v>0</v>
      </c>
      <c r="J342" s="1724">
        <f>SUM(J330)</f>
        <v>0</v>
      </c>
      <c r="K342" s="1724">
        <f>SUM(K330,K334,K340)</f>
        <v>203665</v>
      </c>
      <c r="L342" s="1731">
        <f>SUM(L330,L334,L340,L341)</f>
        <v>216074</v>
      </c>
    </row>
    <row r="343" spans="1:14" ht="12.75" customHeight="1" thickTop="1" x14ac:dyDescent="0.2">
      <c r="A343" s="2341" t="s">
        <v>989</v>
      </c>
      <c r="B343" s="2342"/>
      <c r="C343" s="1723"/>
      <c r="D343" s="1723"/>
      <c r="E343" s="1723"/>
      <c r="F343" s="1723"/>
      <c r="G343" s="1723"/>
      <c r="H343" s="1723"/>
      <c r="I343" s="1723"/>
      <c r="J343" s="1723"/>
      <c r="K343" s="1739">
        <f>'Revenues 9-14'!J268-'Expenditures 15-22'!K342</f>
        <v>-115518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960</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v>0</v>
      </c>
    </row>
    <row r="355" spans="1:14" ht="12.75" customHeight="1" x14ac:dyDescent="0.2">
      <c r="A355" s="1328" t="s">
        <v>1828</v>
      </c>
      <c r="B355" s="562" t="s">
        <v>1821</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5" t="s">
        <v>989</v>
      </c>
      <c r="B368" s="2356"/>
      <c r="C368" s="1744"/>
      <c r="D368" s="1744"/>
      <c r="E368" s="1727"/>
      <c r="F368" s="1727"/>
      <c r="G368" s="1727"/>
      <c r="H368" s="1727"/>
      <c r="I368" s="1727"/>
      <c r="J368" s="1726"/>
      <c r="K368" s="1722">
        <f>'Revenues 9-14'!K268-'Expenditures 15-22'!K367</f>
        <v>56</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d21dc803-237d-4c68-8692-8d731fd29118"/>
    <ds:schemaRef ds:uri="http://schemas.microsoft.com/office/2006/documentManagement/types"/>
    <ds:schemaRef ds:uri="http://schemas.microsoft.com/office/infopath/2007/PartnerControls"/>
    <ds:schemaRef ds:uri="4d435f69-8686-490b-bd6d-b153bf22ab50"/>
    <ds:schemaRef ds:uri="http://www.w3.org/XML/1998/namespace"/>
    <ds:schemaRef ds:uri="6ce3111e-7420-4802-b50a-75d4e9a0b980"/>
    <ds:schemaRef ds:uri="http://schemas.microsoft.com/sharepoint/v3"/>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2020-10-09T15:06:40Z</cp:lastPrinted>
  <dcterms:created xsi:type="dcterms:W3CDTF">2003-10-29T19:06:34Z</dcterms:created>
  <dcterms:modified xsi:type="dcterms:W3CDTF">2020-10-16T18:02:25Z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