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DC22850-030B-4FEE-B91F-EF5F45EAB2C4}" xr6:coauthVersionLast="36" xr6:coauthVersionMax="36" xr10:uidLastSave="{00000000-0000-0000-0000-000000000000}"/>
  <bookViews>
    <workbookView xWindow="-120" yWindow="-120" windowWidth="29040" windowHeight="15840" tabRatio="95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SEFA'!$B$1:$M$59</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J7" i="184" l="1"/>
  <c r="J6" i="184"/>
  <c r="K39" i="179" l="1"/>
  <c r="J39" i="179"/>
  <c r="K38" i="179"/>
  <c r="J38" i="179"/>
  <c r="I38" i="179"/>
  <c r="I39" i="179" s="1"/>
  <c r="D45" i="174" s="1"/>
  <c r="G38" i="179"/>
  <c r="G39" i="179" s="1"/>
  <c r="F38" i="179"/>
  <c r="F39" i="179" s="1"/>
  <c r="D35" i="171" s="1"/>
  <c r="E38" i="179"/>
  <c r="E39" i="179" s="1"/>
  <c r="K21" i="179"/>
  <c r="J21" i="179"/>
  <c r="I21" i="179"/>
  <c r="H21" i="179"/>
  <c r="G21" i="179"/>
  <c r="E21" i="179"/>
  <c r="L30" i="179"/>
  <c r="F32" i="179"/>
  <c r="F34" i="179"/>
  <c r="L25" i="179" l="1"/>
  <c r="L24" i="179"/>
  <c r="L20" i="179"/>
  <c r="L19" i="179"/>
  <c r="L18" i="179"/>
  <c r="L17" i="179"/>
  <c r="L16" i="179"/>
  <c r="L15" i="179"/>
  <c r="L14" i="179"/>
  <c r="L13" i="179"/>
  <c r="F35" i="179"/>
  <c r="F33" i="179"/>
  <c r="F14" i="179"/>
  <c r="F13" i="179" s="1"/>
  <c r="F21" i="179" s="1"/>
  <c r="L21" i="179" l="1"/>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37" i="179" l="1"/>
  <c r="L36" i="179"/>
  <c r="L35" i="179"/>
  <c r="L34" i="179"/>
  <c r="L33" i="179"/>
  <c r="L32" i="179"/>
  <c r="L29" i="179"/>
  <c r="L28" i="179"/>
  <c r="L27" i="179"/>
  <c r="L26" i="179"/>
  <c r="L38" i="179" l="1"/>
  <c r="L39"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22" i="37"/>
  <c r="B7198" i="106" l="1"/>
  <c r="D7198" i="106" s="1"/>
  <c r="E65" i="184"/>
  <c r="N65" i="184" s="1"/>
  <c r="B7126" i="106"/>
  <c r="D7126" i="106" s="1"/>
  <c r="E57" i="184"/>
  <c r="F36" i="108"/>
  <c r="B7189" i="106"/>
  <c r="D7189" i="106" s="1"/>
  <c r="E64" i="184"/>
  <c r="N64" i="184" s="1"/>
  <c r="B7153" i="106"/>
  <c r="D7153" i="106" s="1"/>
  <c r="E60" i="184"/>
  <c r="N60" i="184" s="1"/>
  <c r="B2805" i="106"/>
  <c r="D2805" i="106" s="1"/>
  <c r="E13" i="145"/>
  <c r="G13" i="145" s="1"/>
  <c r="E13" i="184"/>
  <c r="H13" i="184" s="1"/>
  <c r="G33" i="108"/>
  <c r="E17" i="184"/>
  <c r="H17" i="184" s="1"/>
  <c r="D31" i="108"/>
  <c r="E16" i="184"/>
  <c r="H16" i="184" s="1"/>
  <c r="H12" i="184"/>
  <c r="F31" i="108"/>
  <c r="B7705" i="106"/>
  <c r="D7705" i="106" s="1"/>
  <c r="E67" i="184"/>
  <c r="N67" i="184" s="1"/>
  <c r="B7180" i="106"/>
  <c r="D7180" i="106" s="1"/>
  <c r="E63" i="184"/>
  <c r="N63" i="184" s="1"/>
  <c r="E14" i="145"/>
  <c r="G14" i="145" s="1"/>
  <c r="E14" i="184"/>
  <c r="H14" i="184" s="1"/>
  <c r="F15" i="145"/>
  <c r="F19" i="145" s="1"/>
  <c r="F15" i="184"/>
  <c r="F19" i="184" s="1"/>
  <c r="B7162" i="106"/>
  <c r="D7162" i="106" s="1"/>
  <c r="E61" i="184"/>
  <c r="N61" i="184" s="1"/>
  <c r="F70" i="34"/>
  <c r="B7696" i="106"/>
  <c r="D7696" i="106" s="1"/>
  <c r="E66" i="184"/>
  <c r="N66" i="184" s="1"/>
  <c r="B7171" i="106"/>
  <c r="D7171" i="106" s="1"/>
  <c r="E62" i="184"/>
  <c r="N62" i="184" s="1"/>
  <c r="B7135" i="106"/>
  <c r="D7135" i="106" s="1"/>
  <c r="E58" i="184"/>
  <c r="N58" i="184" s="1"/>
  <c r="E15" i="145"/>
  <c r="E15" i="184"/>
  <c r="F37" i="34"/>
  <c r="B7829" i="106" s="1"/>
  <c r="D7829" i="106" s="1"/>
  <c r="H76" i="4"/>
  <c r="B3298" i="106" s="1"/>
  <c r="D3298" i="106" s="1"/>
  <c r="H33" i="118"/>
  <c r="B7047" i="106"/>
  <c r="D7047" i="106" s="1"/>
  <c r="B2836" i="106"/>
  <c r="D2836" i="106" s="1"/>
  <c r="B7074" i="106"/>
  <c r="D7074" i="106" s="1"/>
  <c r="B6289" i="106"/>
  <c r="D6289"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H15" i="184" l="1"/>
  <c r="E19" i="184"/>
  <c r="H19" i="184"/>
  <c r="L20" i="184" s="1"/>
  <c r="E68" i="184"/>
  <c r="N57" i="184"/>
  <c r="N68" i="184" s="1"/>
  <c r="H77" i="4"/>
  <c r="B3299" i="106" s="1"/>
  <c r="D3299" i="106" s="1"/>
  <c r="F66" i="34"/>
  <c r="B1381" i="106"/>
  <c r="D1381" i="106" s="1"/>
  <c r="L114" i="29"/>
  <c r="L16" i="11"/>
  <c r="B2061" i="106" s="1"/>
  <c r="D206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<sst xmlns="http://schemas.openxmlformats.org/spreadsheetml/2006/main" count="5263" uniqueCount="2120">
  <si>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</si>
  <si>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</si>
  <si>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</si>
  <si>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</si>
  <si>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</si>
  <si>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</si>
  <si>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</si>
  <si>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</si>
  <si>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</si>
  <si>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</si>
  <si>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</si>
  <si>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</si>
  <si>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</si>
  <si>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</si>
  <si>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</si>
  <si>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</si>
  <si>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</si>
  <si>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</si>
  <si>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</si>
  <si>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</si>
  <si>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</si>
  <si>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</si>
  <si>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</si>
  <si>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</si>
  <si>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</si>
  <si>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</si>
  <si>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</si>
  <si>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</si>
  <si>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</si>
  <si>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</si>
  <si>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</si>
  <si>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</si>
  <si>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</si>
  <si>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</si>
  <si>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</si>
  <si>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</si>
  <si>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</si>
  <si>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</si>
  <si>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</si>
  <si>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</si>
  <si>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</si>
  <si>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</si>
  <si>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</si>
  <si>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</si>
  <si>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</si>
  <si>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</si>
  <si>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</si>
  <si>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</si>
  <si>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</si>
  <si>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</si>
  <si>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</si>
  <si>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</si>
  <si>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</si>
  <si>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</si>
  <si>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</si>
  <si>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</si>
  <si>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</si>
  <si>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</si>
  <si>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</si>
  <si>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</si>
  <si>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</si>
  <si>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</si>
  <si>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</si>
  <si>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</si>
  <si>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</si>
  <si>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</si>
  <si>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</si>
  <si>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</si>
  <si>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</si>
  <si>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</si>
  <si>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</si>
  <si>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</si>
  <si>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</si>
  <si>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</si>
  <si>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</si>
  <si>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</si>
  <si>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</si>
  <si>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</si>
  <si>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</si>
  <si>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</si>
  <si>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</si>
  <si>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</si>
  <si>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</si>
  <si>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</si>
  <si>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</si>
  <si>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</si>
  <si>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</si>
  <si>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</si>
  <si>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</si>
  <si>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</si>
  <si>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</si>
  <si>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</si>
  <si>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</si>
  <si>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</si>
  <si>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</si>
  <si>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</si>
  <si>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</si>
  <si>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</si>
  <si>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</si>
  <si>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</si>
  <si>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</si>
  <si>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</si>
  <si>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</si>
  <si>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</si>
  <si>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</si>
  <si>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</si>
  <si>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</si>
  <si>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</si>
  <si>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</si>
  <si>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</si>
  <si>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</si>
  <si>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</si>
  <si>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</si>
  <si>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</si>
  <si>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</si>
  <si>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</si>
  <si>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</si>
  <si>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</si>
  <si>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</si>
  <si>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</si>
  <si>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</si>
  <si>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</si>
  <si>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</si>
  <si>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</si>
  <si>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</si>
  <si>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</si>
  <si>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</si>
  <si>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</si>
  <si>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</si>
  <si>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</si>
  <si>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</si>
  <si>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</si>
  <si>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</si>
  <si>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</si>
  <si>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</si>
  <si>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</si>
  <si>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</si>
  <si>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</si>
  <si>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</si>
  <si>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</si>
  <si>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</si>
  <si>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</si>
  <si>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</si>
  <si>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</si>
  <si>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</si>
  <si>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</si>
  <si>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</si>
  <si>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</si>
  <si>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</si>
  <si>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</si>
  <si>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</si>
  <si>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</si>
  <si>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</si>
  <si>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</si>
  <si>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</si>
  <si>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</si>
  <si>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</si>
  <si>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</si>
  <si>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</si>
  <si>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</si>
  <si>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</si>
  <si>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</si>
  <si>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</si>
  <si>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</si>
  <si>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</si>
  <si>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</si>
  <si>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</si>
  <si>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</si>
  <si>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</si>
  <si>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</si>
  <si>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</si>
  <si>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</si>
  <si>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</si>
  <si>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</si>
  <si>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</si>
  <si>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</si>
  <si>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</si>
  <si>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</si>
  <si>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</si>
  <si>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</si>
  <si>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</si>
  <si>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</si>
  <si>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</si>
  <si>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</si>
  <si>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</si>
  <si>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</si>
  <si>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</si>
  <si>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</si>
  <si>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</si>
  <si>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</si>
  <si>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</si>
  <si>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</si>
  <si>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</si>
  <si>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</si>
  <si>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</si>
  <si>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</si>
  <si>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</si>
  <si>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</si>
  <si>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</si>
  <si>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</si>
  <si>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</si>
  <si>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</si>
  <si>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</si>
  <si>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</si>
  <si>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</si>
  <si>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</si>
  <si>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</si>
  <si>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</si>
  <si>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</si>
  <si>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</si>
  <si>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</si>
  <si>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</si>
  <si>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</si>
  <si>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</si>
  <si>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</si>
  <si>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</si>
  <si>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</si>
  <si>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</si>
  <si>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</si>
  <si>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</si>
  <si>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</si>
  <si>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</si>
  <si>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</si>
  <si>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</si>
  <si>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</si>
  <si>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</si>
  <si>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</si>
  <si>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</si>
  <si>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</si>
  <si>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</si>
  <si>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</si>
  <si>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</si>
  <si>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</si>
  <si>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</si>
  <si>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</si>
  <si>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</si>
  <si>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</si>
  <si>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</si>
  <si>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</si>
  <si>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</si>
  <si>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</si>
  <si>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</si>
  <si>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</si>
  <si>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</si>
  <si>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</si>
  <si>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</si>
  <si>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</si>
  <si>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</si>
  <si>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</si>
  <si>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</si>
  <si>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</si>
  <si>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</si>
  <si>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</si>
  <si>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</si>
  <si>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</si>
  <si>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</si>
  <si>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</si>
  <si>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</si>
  <si>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</si>
  <si>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</si>
  <si>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</si>
  <si>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</si>
  <si>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</si>
  <si>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</si>
  <si>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</si>
  <si>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</si>
  <si>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</si>
  <si>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</si>
  <si>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</si>
  <si>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</si>
  <si>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</si>
  <si>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</si>
  <si>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</si>
  <si>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</si>
  <si>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</si>
  <si>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</si>
  <si>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</si>
  <si>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</si>
  <si>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</si>
  <si>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</si>
  <si>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</si>
  <si>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</si>
  <si>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</si>
  <si>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</si>
  <si>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</si>
  <si>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</si>
  <si>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</si>
  <si>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</si>
  <si>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</si>
  <si>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</si>
  <si>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</si>
  <si>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</si>
  <si>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</si>
  <si>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</si>
  <si>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</si>
  <si>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</si>
  <si>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</si>
  <si>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</si>
  <si>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</si>
  <si>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</si>
  <si>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</si>
  <si>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</si>
  <si>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</si>
  <si>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</si>
  <si>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</si>
  <si>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</si>
  <si>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</si>
  <si>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</si>
  <si>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</si>
  <si>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</si>
  <si>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</si>
  <si>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</si>
  <si>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</si>
  <si>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</si>
  <si>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</si>
  <si>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</si>
  <si>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</si>
  <si>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</si>
  <si>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</si>
  <si>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</si>
  <si>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</si>
  <si>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</si>
  <si>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</si>
  <si>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</si>
  <si>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</si>
  <si>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</si>
  <si>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</si>
  <si>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</si>
  <si>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</si>
  <si>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</si>
  <si>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</si>
  <si>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</si>
  <si>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</si>
  <si>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</si>
  <si>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</si>
  <si>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</si>
  <si>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</si>
  <si>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</si>
  <si>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</si>
  <si>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</si>
  <si>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</si>
  <si>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</si>
  <si>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</si>
  <si>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</si>
  <si>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</si>
  <si>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</si>
  <si>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</si>
  <si>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</si>
  <si>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</si>
  <si>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</si>
  <si>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</si>
  <si>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</si>
  <si>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</si>
  <si>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</si>
  <si>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</si>
  <si>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</si>
  <si>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</si>
  <si>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</si>
  <si>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</si>
  <si>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</si>
  <si>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</si>
  <si>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</si>
  <si>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</si>
  <si>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</si>
  <si>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</si>
  <si>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</si>
  <si>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</si>
  <si>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</si>
  <si>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</si>
  <si>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</si>
  <si>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</si>
  <si>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</si>
  <si>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</si>
  <si>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</si>
  <si>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</si>
  <si>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</si>
  <si>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</si>
  <si>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</si>
  <si>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</si>
  <si>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</si>
  <si>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</si>
  <si>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</si>
  <si>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</si>
  <si>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</si>
  <si>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</si>
  <si>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</si>
  <si>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</si>
  <si>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</si>
  <si>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</si>
  <si>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</si>
  <si>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</si>
  <si>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</si>
  <si>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</si>
  <si>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</si>
  <si>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</si>
  <si>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</si>
  <si>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</si>
  <si>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</si>
  <si>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</si>
  <si>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</si>
  <si>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</si>
  <si>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</si>
  <si>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</si>
  <si>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</si>
  <si>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</si>
  <si>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</si>
  <si>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</si>
  <si>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</si>
  <si>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</si>
  <si>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</si>
  <si>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</si>
  <si>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</si>
  <si>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</si>
  <si>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</si>
  <si>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</si>
  <si>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</si>
  <si>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</si>
  <si>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</si>
  <si>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</si>
  <si>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</si>
  <si>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</si>
  <si>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</si>
  <si>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</si>
  <si>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</si>
  <si>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</si>
  <si>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</si>
  <si>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</si>
  <si>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</si>
  <si>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</si>
  <si>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</si>
  <si>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</si>
  <si>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</si>
  <si>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</si>
  <si>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</si>
  <si>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</si>
  <si>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</si>
  <si>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</si>
  <si>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</si>
  <si>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</si>
  <si>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</si>
  <si>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</si>
  <si>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</si>
  <si>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</si>
  <si>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</si>
  <si>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</si>
  <si>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</si>
  <si>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</si>
  <si>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</si>
  <si>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</si>
  <si>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</si>
  <si>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</si>
  <si>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</si>
  <si>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</si>
  <si>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</si>
  <si>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</si>
  <si>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</si>
  <si>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</si>
  <si>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</si>
  <si>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</si>
  <si>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</si>
  <si>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</si>
  <si>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</si>
  <si>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</si>
  <si>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</si>
  <si>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</si>
  <si>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</si>
  <si>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</si>
  <si>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</si>
  <si>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</si>
  <si>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</si>
  <si>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</si>
  <si>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</si>
  <si>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</si>
  <si>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</si>
  <si>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</si>
  <si>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</si>
  <si>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</si>
  <si>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</si>
  <si>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</si>
  <si>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</si>
  <si>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</si>
  <si>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</si>
  <si>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</si>
  <si>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</si>
  <si>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</si>
  <si>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</si>
  <si>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</si>
  <si>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</si>
  <si>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</si>
  <si>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</si>
  <si>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</si>
  <si>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</si>
  <si>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</si>
  <si>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</si>
  <si>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</si>
  <si>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</si>
  <si>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</si>
  <si>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</si>
  <si>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</si>
  <si>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</si>
  <si>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</si>
  <si>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</si>
  <si>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</si>
  <si>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</si>
  <si>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</si>
  <si>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</si>
  <si>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</si>
  <si>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</si>
  <si>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</si>
  <si>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</si>
  <si>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</si>
  <si>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</si>
  <si>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</si>
  <si>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</si>
  <si>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</si>
  <si>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</si>
  <si>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</si>
  <si>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</si>
  <si>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</si>
  <si>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</si>
  <si>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</si>
  <si>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</si>
  <si>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</si>
  <si>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</si>
  <si>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</si>
  <si>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</si>
  <si>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</si>
  <si>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</si>
  <si>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</si>
  <si>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</si>
  <si>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</si>
  <si>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</si>
  <si>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</si>
  <si>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</si>
  <si>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</si>
  <si>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</si>
  <si>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</si>
  <si>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</si>
  <si>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</si>
  <si>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</si>
  <si>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</si>
  <si>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</si>
  <si>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</si>
  <si>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</si>
  <si>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</si>
  <si>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</si>
  <si>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</si>
  <si>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</si>
  <si>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</si>
  <si>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</si>
  <si>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</si>
  <si>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</si>
  <si>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</si>
  <si>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</si>
  <si>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</si>
  <si>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</si>
  <si>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</si>
  <si>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</si>
  <si>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</si>
  <si>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</si>
  <si>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</si>
  <si>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</si>
  <si>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</si>
  <si>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</si>
  <si>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</si>
  <si>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</si>
  <si>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</si>
  <si>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</si>
  <si>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</si>
  <si>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</si>
  <si>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</si>
  <si>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</si>
  <si>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</si>
  <si>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</si>
  <si>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</si>
  <si>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</si>
  <si>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</si>
  <si>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</si>
  <si>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</si>
  <si>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</si>
  <si>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</si>
  <si>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</si>
  <si>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</si>
  <si>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</si>
  <si>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</si>
  <si>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</si>
  <si>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</si>
  <si>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</si>
  <si>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</si>
  <si>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</si>
  <si>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</si>
  <si>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</si>
  <si>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</si>
  <si>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</si>
  <si>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</si>
  <si>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</si>
  <si>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</si>
  <si>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</si>
  <si>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</si>
  <si>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</si>
  <si>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</si>
  <si>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</si>
  <si>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</si>
  <si>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</si>
  <si>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</si>
  <si>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</si>
  <si>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</si>
  <si>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</si>
  <si>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</si>
  <si>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</si>
  <si>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</si>
  <si>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</si>
  <si>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</si>
  <si>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</si>
  <si>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</si>
  <si>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</si>
  <si>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</si>
  <si>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</si>
  <si>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</si>
  <si>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</si>
  <si>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</si>
  <si>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</si>
  <si>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</si>
  <si>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</si>
  <si>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</si>
  <si>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</si>
  <si>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</si>
  <si>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</si>
  <si>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</si>
  <si>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</si>
  <si>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</si>
  <si>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</si>
  <si>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</si>
  <si>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</si>
  <si>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</si>
  <si>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</si>
  <si>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</si>
  <si>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</si>
  <si>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</si>
  <si>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</si>
  <si>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</si>
  <si>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</si>
  <si>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</si>
  <si>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</si>
  <si>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</si>
  <si>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</si>
  <si>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</si>
  <si>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</si>
  <si>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</si>
  <si>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</si>
  <si>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</si>
  <si>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</si>
  <si>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</si>
  <si>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</si>
  <si>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</si>
  <si>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</si>
  <si>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</si>
  <si>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</si>
  <si>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</si>
  <si>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</si>
  <si>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</si>
  <si>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</si>
  <si>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</si>
  <si>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</si>
  <si>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</si>
  <si>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</si>
  <si>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</si>
  <si>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</si>
  <si>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</si>
  <si>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</si>
  <si>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</si>
  <si>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</si>
  <si>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</si>
  <si>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</si>
  <si>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</si>
  <si>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</si>
  <si>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</si>
  <si>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</si>
  <si>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</si>
  <si>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</si>
  <si>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</si>
  <si>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</si>
  <si>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</si>
  <si>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</si>
  <si>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</si>
  <si>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</si>
  <si>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</si>
  <si>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</si>
  <si>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</si>
  <si>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</si>
  <si>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</si>
  <si>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</si>
  <si>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</si>
  <si>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</si>
  <si>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</si>
  <si>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</si>
  <si>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</si>
  <si>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</si>
  <si>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</si>
  <si>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</si>
  <si>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</si>
  <si>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</si>
  <si>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</si>
  <si>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</si>
  <si>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</si>
  <si>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</si>
  <si>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</si>
  <si>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</si>
  <si>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</si>
  <si>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</si>
  <si>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</si>
  <si>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</si>
  <si>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</si>
  <si>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</si>
  <si>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</si>
  <si>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</si>
  <si>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</si>
  <si>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</si>
  <si>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</si>
  <si>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</si>
  <si>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</si>
  <si>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</si>
  <si>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</si>
  <si>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</si>
  <si>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</si>
  <si>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</si>
  <si>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</si>
  <si>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</si>
  <si>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</si>
  <si>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</si>
  <si>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</si>
  <si>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</si>
  <si>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</si>
  <si>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</si>
  <si>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</si>
  <si>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</si>
  <si>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</si>
  <si>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</si>
  <si>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</si>
  <si>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</si>
  <si>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</si>
  <si>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</si>
  <si>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</si>
  <si>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</si>
  <si>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</si>
  <si>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</si>
  <si>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</si>
  <si>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</si>
  <si>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</si>
  <si>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</si>
  <si>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</si>
  <si>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</si>
  <si>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</si>
  <si>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</si>
  <si>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</si>
  <si>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</si>
  <si>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</si>
  <si>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</si>
  <si>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</si>
  <si>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</si>
  <si>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</si>
  <si>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</si>
  <si>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</si>
  <si>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</si>
  <si>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</si>
  <si>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</si>
  <si>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</si>
  <si>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</si>
  <si>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</si>
  <si>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</si>
  <si>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</si>
  <si>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</si>
  <si>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</si>
  <si>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</si>
  <si>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</si>
  <si>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</si>
  <si>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</si>
  <si>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</si>
  <si>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</si>
  <si>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</si>
  <si>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</si>
  <si>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</si>
  <si>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</si>
  <si>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</si>
  <si>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</si>
  <si>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</si>
  <si>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</si>
  <si>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</si>
  <si>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</si>
  <si>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</si>
  <si>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</si>
  <si>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</si>
  <si>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</si>
  <si>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</si>
  <si>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</si>
  <si>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</si>
  <si>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</si>
  <si>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</si>
  <si>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</si>
  <si>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</si>
  <si>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</si>
  <si>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</si>
  <si>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</si>
  <si>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</si>
  <si>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</si>
  <si>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</si>
  <si>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</si>
  <si>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</si>
  <si>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</si>
  <si>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</si>
  <si>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</si>
  <si>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</si>
  <si>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</si>
  <si>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</si>
  <si>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</si>
  <si>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</si>
  <si>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</si>
  <si>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</si>
  <si>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</si>
  <si>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</si>
  <si>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</si>
  <si>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</si>
  <si>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</si>
  <si>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</si>
  <si>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</si>
  <si>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</si>
  <si>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</si>
  <si>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</si>
  <si>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</si>
  <si>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</si>
  <si>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</si>
  <si>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</si>
  <si>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</si>
  <si>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</si>
  <si>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</si>
  <si>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</si>
  <si>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</si>
  <si>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</si>
  <si>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</si>
  <si>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</si>
  <si>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</si>
  <si>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</si>
  <si>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</si>
  <si>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</si>
  <si>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</si>
  <si>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</si>
  <si>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</si>
  <si>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</si>
  <si>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</si>
  <si>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</si>
  <si>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</si>
  <si>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</si>
  <si>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</si>
  <si>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</si>
  <si>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</si>
  <si>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</si>
  <si>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</si>
  <si>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</si>
  <si>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</si>
  <si>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</si>
  <si>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</si>
  <si>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</si>
  <si>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</si>
  <si>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</si>
  <si>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</si>
  <si>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</si>
  <si>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</si>
  <si>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</si>
  <si>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</si>
  <si>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</si>
  <si>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</si>
  <si>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</si>
  <si>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</si>
  <si>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</si>
  <si>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</si>
  <si>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</si>
  <si>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</si>
  <si>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</si>
  <si>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</si>
  <si>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</si>
  <si>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</si>
  <si>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</si>
  <si>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</si>
  <si>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</si>
  <si>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</si>
  <si>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</si>
  <si>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</si>
  <si>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</si>
  <si>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</si>
  <si>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</si>
  <si>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</si>
  <si>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</si>
  <si>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</si>
  <si>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</si>
  <si>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</si>
  <si>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</si>
  <si>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</si>
  <si>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</si>
  <si>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</si>
  <si>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</si>
  <si>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</si>
  <si>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</si>
  <si>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</si>
  <si>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</si>
  <si>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</si>
  <si>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</si>
  <si>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</si>
  <si>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</si>
  <si>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</si>
  <si>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</si>
  <si>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</si>
  <si>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</si>
  <si>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</si>
  <si>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</si>
  <si>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</si>
  <si>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</si>
  <si>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</si>
  <si>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</si>
  <si>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</si>
  <si>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</si>
  <si>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</si>
  <si>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</si>
  <si>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</si>
  <si>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</si>
  <si>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</si>
  <si>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</si>
  <si>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</si>
  <si>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</si>
  <si>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</si>
  <si>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</si>
  <si>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</si>
  <si>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</si>
  <si>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</si>
  <si>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</si>
  <si>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</si>
  <si>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</si>
  <si>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</si>
  <si>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</si>
  <si>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</si>
  <si>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</si>
  <si>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</si>
  <si>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</si>
  <si>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</si>
  <si>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</si>
  <si>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</si>
  <si>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</si>
  <si>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</si>
  <si>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</si>
  <si>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</si>
  <si>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</si>
  <si>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</si>
  <si>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</si>
  <si>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</si>
  <si>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</si>
  <si>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</si>
  <si>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</si>
  <si>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</si>
  <si>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</si>
  <si>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</si>
  <si>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</si>
  <si>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</si>
  <si>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</si>
  <si>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</si>
  <si>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</si>
  <si>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</si>
  <si>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</si>
  <si>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</si>
  <si>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</si>
  <si>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</si>
  <si>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</si>
  <si>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</si>
  <si>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</si>
  <si>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</si>
  <si>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</si>
  <si>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</si>
  <si>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</si>
  <si>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</si>
  <si>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</si>
  <si>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</si>
  <si>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</si>
  <si>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</si>
  <si>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</si>
  <si>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</si>
  <si>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</si>
  <si>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</si>
  <si>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</si>
  <si>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</si>
  <si>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</si>
  <si>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</si>
  <si>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</si>
  <si>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</si>
  <si>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</si>
  <si>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</si>
  <si>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</si>
  <si>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</si>
  <si>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</si>
  <si>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</si>
  <si>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</si>
  <si>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</si>
  <si>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</si>
  <si>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</si>
  <si>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</si>
  <si>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</si>
  <si>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</si>
  <si>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</si>
  <si>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</si>
  <si>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</si>
  <si>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</si>
  <si>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</si>
  <si>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</si>
  <si>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</si>
  <si>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</si>
  <si>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</si>
  <si>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</si>
  <si>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</si>
  <si>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</si>
  <si>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</si>
  <si>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</si>
  <si>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</si>
  <si>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</si>
  <si>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</si>
  <si>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</si>
  <si>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</si>
  <si>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</si>
  <si>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</si>
  <si>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</si>
  <si>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</si>
  <si>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</si>
  <si>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</si>
  <si>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</si>
  <si>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</si>
  <si>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</si>
  <si>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</si>
  <si>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</si>
  <si>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</si>
  <si>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</si>
  <si>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</si>
  <si>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</si>
  <si>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</si>
  <si>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</si>
  <si>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</si>
  <si>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</si>
  <si>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</si>
  <si>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</si>
  <si>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</si>
  <si>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</si>
  <si>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</si>
  <si>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</si>
  <si>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</si>
  <si>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</si>
  <si>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</si>
  <si>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</si>
  <si>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</si>
  <si>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</si>
  <si>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</si>
  <si>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</si>
  <si>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</si>
  <si>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</si>
  <si>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</si>
  <si>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</si>
  <si>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</si>
  <si>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</si>
  <si>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</si>
  <si>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</si>
  <si>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</si>
  <si>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</si>
  <si>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</si>
  <si>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</si>
  <si>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</si>
  <si>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</si>
  <si>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</si>
  <si>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</si>
  <si>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</si>
  <si>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</si>
  <si>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</si>
  <si>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</si>
  <si>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</si>
  <si>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</si>
  <si>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</si>
  <si>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</si>
  <si>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</si>
  <si>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</si>
  <si>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</si>
  <si>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</si>
  <si>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</si>
  <si>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</si>
  <si>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</si>
  <si>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</si>
  <si>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</si>
  <si>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</si>
  <si>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</si>
  <si>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</si>
  <si>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</si>
  <si>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</si>
  <si>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</si>
  <si>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</si>
  <si>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</si>
  <si>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</si>
  <si>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</si>
  <si>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</si>
  <si>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</si>
  <si>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</si>
  <si>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</si>
  <si>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</si>
  <si>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</si>
  <si>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</si>
  <si>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</si>
  <si>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</si>
  <si>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</si>
  <si>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</si>
  <si>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</si>
  <si>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</si>
  <si>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</si>
  <si>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</si>
  <si>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</si>
  <si>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</si>
  <si>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</si>
  <si>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</si>
  <si>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</si>
  <si>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</si>
  <si>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</si>
  <si>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</si>
  <si>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</si>
  <si>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</si>
  <si>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</si>
  <si>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</si>
  <si>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</si>
  <si>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</si>
  <si>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</si>
  <si>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</si>
  <si>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</si>
  <si>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</si>
  <si>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</si>
  <si>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</si>
  <si>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</si>
  <si>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</si>
  <si>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</si>
  <si>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</si>
  <si>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</si>
  <si>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</si>
  <si>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</si>
  <si>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</si>
  <si>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</si>
  <si>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</si>
  <si>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</si>
  <si>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</si>
  <si>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</si>
  <si>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</si>
  <si>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</si>
  <si>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</si>
  <si>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</si>
  <si>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</si>
  <si>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</si>
  <si>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</si>
  <si>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</si>
  <si>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</si>
  <si>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</si>
  <si>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</si>
  <si>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</si>
  <si>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</si>
  <si>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</si>
  <si>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</si>
  <si>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</si>
  <si>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</si>
  <si>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</si>
  <si>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</si>
  <si>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</si>
  <si>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</si>
  <si>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</si>
  <si>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</si>
  <si>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</si>
  <si>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</si>
  <si>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</si>
  <si>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</si>
  <si>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</si>
  <si>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</si>
  <si>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</si>
  <si>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</si>
  <si>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</si>
  <si>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</si>
  <si>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</si>
  <si>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</si>
  <si>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</si>
  <si>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</si>
  <si>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</si>
  <si>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</si>
  <si>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</si>
  <si>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</si>
  <si>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</si>
  <si>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</si>
  <si>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</si>
  <si>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</si>
  <si>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</si>
  <si>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</si>
  <si>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</si>
  <si>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</si>
  <si>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</si>
  <si>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</si>
  <si>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</si>
  <si>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</si>
  <si>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</si>
  <si>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</si>
  <si>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</si>
  <si>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</si>
  <si>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</si>
  <si>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</si>
  <si>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</si>
  <si>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</si>
  <si>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</si>
  <si>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</si>
  <si>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</si>
  <si>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</si>
  <si>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</si>
  <si>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</si>
  <si>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</si>
  <si>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</si>
  <si>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</si>
  <si>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</si>
  <si>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</si>
  <si>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</si>
  <si>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</si>
  <si>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</si>
  <si>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</si>
  <si>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</si>
  <si>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</si>
  <si>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</si>
  <si>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</si>
  <si>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</si>
  <si>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</si>
  <si>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</si>
  <si>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</si>
  <si>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</si>
  <si>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</si>
  <si>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</si>
  <si>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</si>
  <si>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</si>
  <si>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</si>
  <si>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</si>
  <si>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</si>
  <si>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</si>
  <si>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</si>
  <si>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</si>
  <si>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</si>
  <si>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</si>
  <si>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</si>
  <si>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</si>
  <si>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</si>
  <si>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</si>
  <si>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</si>
  <si>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</si>
  <si>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</si>
  <si>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</si>
  <si>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</si>
  <si>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</si>
  <si>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</si>
  <si>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</si>
  <si>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</si>
  <si>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</si>
  <si>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</si>
  <si>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</si>
  <si>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</si>
  <si>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</si>
  <si>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</si>
  <si>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</si>
  <si>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</si>
  <si>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</si>
  <si>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</si>
  <si>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</si>
  <si>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</si>
  <si>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</si>
  <si>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</si>
  <si>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</si>
  <si>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</si>
  <si>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</si>
  <si>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</si>
  <si>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</si>
  <si>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</si>
  <si>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</si>
  <si>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</si>
  <si>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</si>
  <si>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</si>
  <si>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</si>
  <si>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</si>
  <si>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</si>
  <si>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</si>
  <si>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</si>
  <si>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</si>
  <si>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</si>
  <si>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</si>
  <si>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</si>
  <si>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</si>
  <si>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</si>
  <si>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</si>
  <si>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</si>
  <si>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</si>
  <si>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</si>
  <si>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</si>
  <si>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</si>
  <si>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</si>
  <si>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</si>
  <si>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</si>
  <si>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</si>
  <si>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</si>
  <si>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</si>
  <si>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</si>
  <si>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</si>
  <si>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</si>
  <si>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</si>
  <si>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</si>
  <si>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</si>
  <si>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</si>
  <si>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</si>
  <si>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</si>
  <si>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</si>
  <si>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</si>
  <si>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</si>
  <si>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</si>
  <si>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</si>
  <si>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</si>
  <si>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</si>
  <si>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</si>
  <si>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</si>
  <si>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</si>
  <si>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</si>
  <si>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</si>
  <si>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</si>
  <si>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</si>
  <si>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</si>
  <si>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</si>
  <si>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</si>
  <si>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</si>
  <si>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</si>
  <si>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</si>
  <si>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</si>
  <si>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</si>
  <si>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</si>
  <si>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</si>
  <si>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</si>
  <si>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</si>
  <si>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</si>
  <si>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</si>
  <si>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</si>
  <si>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</si>
  <si>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</si>
  <si>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</si>
  <si>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</si>
  <si>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</si>
  <si>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</si>
  <si>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</si>
  <si>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</si>
  <si>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</si>
  <si>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</si>
  <si>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</si>
  <si>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</si>
  <si>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</si>
  <si>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</si>
  <si>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</si>
  <si>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</si>
  <si>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</si>
  <si>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</si>
  <si>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</si>
  <si>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</si>
  <si>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</si>
  <si>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</si>
  <si>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</si>
  <si>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</si>
  <si>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</si>
  <si>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</si>
  <si>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</si>
  <si>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</si>
  <si>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</si>
  <si>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</si>
  <si>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</si>
  <si>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</si>
  <si>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</si>
  <si>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</si>
  <si>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</si>
  <si>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</si>
  <si>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</si>
  <si>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</si>
  <si>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</si>
  <si>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</si>
  <si>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</si>
  <si>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</si>
  <si>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</si>
  <si>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</si>
  <si>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</si>
  <si>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</si>
  <si>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</si>
  <si>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</si>
  <si>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</si>
  <si>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</si>
  <si>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</si>
  <si>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</si>
  <si>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</si>
  <si>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</si>
  <si>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</si>
  <si>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</si>
  <si>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</si>
  <si>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</si>
  <si>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</si>
  <si>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</si>
  <si>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</si>
  <si>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</si>
  <si>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</si>
  <si>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</si>
  <si>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</si>
  <si>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</si>
  <si>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</si>
  <si>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</si>
  <si>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</si>
  <si>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</si>
  <si>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</si>
  <si>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</si>
  <si>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</si>
  <si>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</si>
  <si>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</si>
  <si>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</si>
  <si>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</si>
  <si>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</si>
  <si>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</si>
  <si>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</si>
  <si>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</si>
  <si>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</si>
  <si>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</si>
  <si>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</si>
  <si>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</si>
  <si>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</si>
  <si>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</si>
  <si>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</si>
  <si>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</si>
  <si>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</si>
  <si>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</si>
  <si>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</si>
  <si>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</si>
  <si>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</si>
  <si>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</si>
  <si>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</si>
  <si>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</si>
  <si>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</si>
  <si>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</si>
  <si>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</si>
  <si>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</si>
  <si>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</si>
  <si>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</si>
  <si>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</si>
  <si>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</si>
  <si>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</si>
  <si>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</si>
  <si>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</si>
  <si>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</si>
  <si>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</si>
  <si>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</si>
  <si>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</si>
  <si>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</si>
  <si>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</si>
  <si>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</si>
  <si>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</si>
  <si>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</si>
  <si>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</si>
  <si>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</si>
  <si>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</si>
  <si>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</si>
  <si>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</si>
  <si>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</si>
  <si>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</si>
  <si>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</si>
  <si>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</si>
  <si>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</si>
  <si>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</si>
  <si>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</si>
  <si>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</si>
  <si>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</si>
  <si>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</si>
  <si>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</si>
  <si>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</si>
  <si>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</si>
  <si>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</si>
  <si>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</si>
  <si>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</si>
  <si>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</si>
  <si>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</si>
  <si>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</si>
  <si>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</si>
  <si>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</si>
  <si>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</si>
  <si>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</si>
  <si>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</si>
  <si>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</si>
  <si>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</si>
  <si>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</si>
  <si>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</si>
  <si>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</si>
  <si>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</si>
  <si>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</si>
  <si>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</si>
  <si>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</si>
  <si>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</si>
  <si>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</si>
  <si>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</si>
  <si>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</si>
  <si>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</si>
  <si>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</si>
  <si>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</si>
  <si>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</si>
  <si>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</si>
  <si>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</si>
  <si>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</si>
  <si>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</si>
  <si>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</si>
  <si>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</si>
  <si>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</si>
  <si>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</si>
  <si>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</si>
  <si>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</si>
  <si>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</si>
  <si>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</si>
  <si>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</si>
  <si>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</si>
  <si>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</si>
  <si>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</si>
  <si>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</si>
  <si>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</si>
  <si>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</si>
  <si>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</si>
  <si>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</si>
  <si>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</si>
  <si>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</si>
  <si>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</si>
  <si>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</si>
  <si>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</si>
  <si>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</si>
  <si>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</si>
  <si>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</si>
  <si>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</si>
  <si>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</si>
  <si>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</si>
  <si>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</si>
  <si>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</si>
  <si>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</si>
  <si>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</si>
  <si>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</si>
  <si>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</si>
  <si>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</si>
  <si>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</si>
  <si>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</si>
  <si>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</si>
  <si>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</si>
  <si>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</si>
  <si>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</si>
  <si>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</si>
  <si>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</si>
  <si>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</si>
  <si>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</si>
  <si>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</si>
  <si>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</si>
  <si>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</si>
  <si>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</si>
  <si>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</si>
  <si>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</si>
  <si>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</si>
  <si>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</si>
  <si>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</si>
  <si>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</si>
  <si>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</si>
  <si>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</si>
  <si>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</si>
  <si>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</si>
  <si>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</si>
  <si>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</si>
  <si>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</si>
  <si>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</si>
  <si>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</si>
  <si>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</si>
  <si>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</si>
  <si>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</si>
  <si>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</si>
  <si>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</si>
  <si>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</si>
  <si>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</si>
  <si>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</si>
  <si>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</si>
  <si>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</si>
  <si>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</si>
  <si>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</si>
  <si>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</si>
  <si>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</si>
  <si>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</si>
  <si>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</si>
  <si>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</si>
  <si>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</si>
  <si>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</si>
  <si>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</si>
  <si>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</si>
  <si>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</si>
  <si>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</si>
  <si>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</si>
  <si>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</si>
  <si>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</si>
  <si>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</si>
  <si>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</si>
  <si>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</si>
  <si>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</si>
  <si>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</si>
  <si>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</si>
  <si>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</si>
  <si>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</si>
  <si>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</si>
  <si>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</si>
  <si>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</si>
  <si>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</si>
  <si>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</si>
  <si>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</si>
  <si>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</si>
  <si>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</si>
  <si>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</si>
  <si>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</si>
  <si>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</si>
  <si>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</si>
  <si>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</si>
  <si>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</si>
  <si>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</si>
  <si>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</si>
  <si>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</si>
  <si>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</si>
  <si>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</si>
  <si>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</si>
  <si>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</si>
  <si>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</si>
  <si>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</si>
  <si>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</si>
  <si>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</si>
  <si>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</si>
  <si>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</si>
  <si>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</si>
  <si>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</si>
  <si>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</si>
  <si>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</si>
  <si>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</si>
  <si>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</si>
  <si>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</si>
  <si>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</si>
  <si>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</si>
  <si>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</si>
  <si>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</si>
  <si>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</si>
  <si>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</si>
  <si>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</si>
  <si>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</si>
  <si>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</si>
  <si>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</si>
  <si>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</si>
  <si>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</si>
  <si>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</si>
  <si>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</si>
  <si>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</si>
  <si>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</si>
  <si>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</si>
  <si>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</si>
  <si>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</si>
  <si>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</si>
  <si>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</si>
  <si>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</si>
  <si>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</si>
  <si>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</si>
  <si>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</si>
  <si>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</si>
  <si>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</si>
  <si>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</si>
  <si>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</si>
  <si>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</si>
  <si>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</si>
  <si>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</si>
  <si>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</si>
  <si>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</si>
  <si>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</si>
  <si>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</si>
  <si>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</si>
  <si>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</si>
  <si>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</si>
  <si>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</si>
  <si>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</si>
  <si>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</si>
  <si>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</si>
  <si>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</si>
  <si>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</si>
  <si>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</si>
  <si>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</si>
  <si>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</si>
  <si>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</si>
  <si>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</si>
  <si>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</si>
  <si>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</si>
  <si>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</si>
  <si>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</si>
  <si>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</si>
  <si>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</si>
  <si>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</si>
  <si>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</si>
  <si>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</si>
  <si>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</si>
  <si>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</si>
  <si>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</si>
  <si>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</si>
  <si>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</si>
  <si>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</si>
  <si>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</si>
  <si>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</si>
  <si>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</si>
  <si>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</si>
  <si>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</si>
  <si>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</si>
  <si>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</si>
  <si>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</si>
  <si>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</si>
  <si>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</si>
  <si>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</si>
  <si>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</si>
  <si>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</si>
  <si>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</si>
  <si>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</si>
  <si>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</si>
  <si>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</si>
  <si>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</si>
  <si>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</si>
  <si>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</si>
  <si>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</si>
  <si>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</si>
  <si>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</si>
  <si>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</si>
  <si>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</si>
  <si>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</si>
  <si>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</si>
  <si>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</si>
  <si>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</si>
  <si>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</si>
  <si>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</si>
  <si>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</si>
  <si>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</si>
  <si>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</si>
  <si>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</si>
  <si>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</si>
  <si>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</si>
  <si>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</si>
  <si>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</si>
  <si>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</si>
  <si>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</si>
  <si>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</si>
  <si>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</si>
  <si>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</si>
  <si>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</si>
  <si>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</si>
  <si>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</si>
  <si>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</si>
  <si>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</si>
  <si>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</si>
  <si>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</si>
  <si>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</si>
  <si>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</si>
  <si>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</si>
  <si>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</si>
  <si>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</si>
  <si>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</si>
  <si>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</si>
  <si>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</si>
  <si>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</si>
  <si>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</si>
  <si>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</si>
  <si>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</si>
  <si>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</si>
  <si>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</si>
  <si>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</si>
  <si>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</si>
  <si>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</si>
  <si>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</si>
  <si>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</si>
  <si>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</si>
  <si>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</si>
  <si>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</si>
  <si>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</si>
  <si>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</si>
  <si>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</si>
  <si>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</si>
  <si>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</si>
  <si>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</si>
  <si>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</si>
  <si>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</si>
  <si>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</si>
  <si>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</si>
  <si>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</si>
  <si>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</si>
  <si>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</si>
  <si>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</si>
  <si>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</si>
  <si>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</si>
  <si>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</si>
  <si>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</si>
  <si>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</si>
  <si>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</si>
  <si>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</si>
  <si>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</si>
  <si>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</si>
  <si>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</si>
  <si>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</si>
  <si>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</si>
  <si>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</si>
  <si>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</si>
  <si>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</si>
  <si>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</si>
  <si>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</si>
  <si>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</si>
  <si>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</si>
  <si>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</si>
  <si>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</si>
  <si>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</si>
  <si>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</si>
  <si>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</si>
  <si>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</si>
  <si>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</si>
  <si>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</si>
  <si>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</si>
  <si>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</si>
  <si>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</si>
  <si>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</si>
  <si>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</si>
  <si>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</si>
  <si>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</si>
  <si>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</si>
  <si>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</si>
  <si>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</si>
  <si>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</si>
  <si>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</si>
  <si>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</si>
  <si>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</si>
  <si>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</si>
  <si>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</si>
  <si>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</si>
  <si>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</si>
  <si>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</si>
  <si>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</si>
  <si>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</si>
  <si>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</si>
  <si>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</si>
  <si>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</si>
  <si>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</si>
  <si>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</si>
  <si>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</si>
  <si>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</si>
  <si>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</si>
  <si>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</si>
  <si>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</si>
  <si>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</si>
  <si>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</si>
  <si>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</si>
  <si>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</si>
  <si>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</si>
  <si>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</si>
  <si>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</si>
  <si>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</si>
  <si>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</si>
  <si>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</si>
  <si>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</si>
  <si>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</si>
  <si>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</si>
  <si>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</si>
  <si>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</si>
  <si>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</si>
  <si>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</si>
  <si>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</si>
  <si>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</si>
  <si>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</si>
  <si>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</si>
  <si>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</si>
  <si>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</si>
  <si>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</si>
  <si>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</si>
  <si>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</si>
  <si>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</si>
  <si>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</si>
  <si>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</si>
  <si>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</si>
  <si>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</si>
  <si>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</si>
  <si>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</si>
  <si>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</si>
  <si>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</si>
  <si>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</si>
  <si>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</si>
  <si>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</si>
  <si>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</si>
  <si>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</si>
  <si>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</si>
  <si>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</si>
  <si>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</si>
  <si>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</si>
  <si>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</si>
  <si>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</si>
  <si>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</si>
  <si>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</si>
  <si>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</si>
  <si>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</si>
  <si>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</si>
  <si>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</si>
  <si>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</si>
  <si>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</si>
  <si>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</si>
  <si>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</si>
  <si>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</si>
  <si>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</si>
  <si>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</si>
  <si>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</si>
  <si>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</si>
  <si>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</si>
  <si>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</si>
  <si>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</si>
  <si>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</si>
  <si>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</si>
  <si>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</si>
  <si>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</si>
  <si>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</si>
  <si>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</si>
  <si>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</si>
  <si>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</si>
  <si>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</si>
  <si>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</si>
  <si>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</si>
  <si>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</si>
  <si>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</si>
  <si>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</si>
  <si>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</si>
  <si>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</si>
  <si>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</si>
  <si>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</si>
  <si>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</si>
  <si>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</si>
  <si>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</si>
  <si>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</si>
  <si>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</si>
  <si>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</si>
  <si>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</si>
  <si>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</si>
  <si>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</si>
  <si>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</si>
  <si>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</si>
  <si>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</si>
  <si>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</si>
  <si>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</si>
  <si>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</si>
  <si>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</si>
  <si>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</si>
  <si>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</si>
  <si>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</si>
  <si>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</si>
  <si>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</si>
  <si>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</si>
  <si>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</si>
  <si>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</si>
  <si>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</si>
  <si>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</si>
  <si>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</si>
  <si>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</si>
  <si>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</si>
  <si>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</si>
  <si>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</si>
  <si>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</si>
  <si>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</si>
  <si>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</si>
  <si>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</si>
  <si>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</si>
  <si>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</si>
  <si>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</si>
  <si>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</si>
  <si>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</si>
  <si>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</si>
  <si>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</si>
  <si>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</si>
  <si>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</si>
  <si>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</si>
  <si>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</si>
  <si>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</si>
  <si>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</si>
  <si>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</si>
  <si>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</si>
  <si>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</si>
  <si>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</si>
  <si>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</si>
  <si>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</si>
  <si>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</si>
  <si>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</si>
  <si>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</si>
  <si>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</si>
  <si>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</si>
  <si>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</si>
  <si>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</si>
  <si>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</si>
  <si>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</si>
  <si>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</si>
  <si>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</si>
  <si>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</si>
  <si>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</si>
  <si>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</si>
  <si>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</si>
  <si>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</si>
  <si>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</si>
  <si>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</si>
  <si>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</si>
  <si>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</si>
  <si>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</si>
  <si>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</si>
  <si>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</si>
  <si>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</si>
  <si>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</si>
  <si>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</si>
  <si>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</si>
  <si>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</si>
  <si>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</si>
  <si>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</si>
  <si>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</si>
  <si>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</si>
  <si>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</si>
  <si>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</si>
  <si>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</si>
  <si>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</si>
  <si>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</si>
  <si>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</si>
  <si>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</si>
  <si>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WILL</t>
  </si>
  <si>
    <t>409 N CHICAGO ST</t>
  </si>
  <si>
    <t xml:space="preserve">ELWOOD  </t>
  </si>
  <si>
    <t>X</t>
  </si>
  <si>
    <t>CATHIE PEZANOSKI</t>
  </si>
  <si>
    <t>(815)423-5187</t>
  </si>
  <si>
    <t>JILL E GASSENSMITH</t>
  </si>
  <si>
    <t>JILLE@GASSENSMITH.COM</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</si>
  <si>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</si>
  <si>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</si>
  <si>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</si>
  <si>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</si>
  <si>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</si>
  <si>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</si>
  <si>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</si>
  <si>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</si>
  <si>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</si>
  <si>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</si>
  <si>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</si>
  <si>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</si>
  <si>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</si>
  <si>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</si>
  <si>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</si>
  <si>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</si>
  <si>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</si>
  <si>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</si>
  <si>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</si>
  <si>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</si>
  <si>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</si>
  <si>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</si>
  <si>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</si>
  <si>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</si>
  <si>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</si>
  <si>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</si>
  <si>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</si>
  <si>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</si>
  <si>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</si>
  <si>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</si>
  <si>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</si>
  <si>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</si>
  <si>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</si>
  <si>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</si>
  <si>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</si>
  <si>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</si>
  <si>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</si>
  <si>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</si>
  <si>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CAPITAL LEASE</t>
  </si>
  <si>
    <t xml:space="preserve">SOWIC </t>
  </si>
  <si>
    <t>U.S. Department of Agriculture:</t>
  </si>
  <si>
    <t>Flowthrough from ISBE</t>
  </si>
  <si>
    <t>Non-cash commodities</t>
  </si>
  <si>
    <t>Department of Defense Fruits and Vegetable</t>
  </si>
  <si>
    <t>USDA Forest Service-School &amp; Roads Grants to States</t>
  </si>
  <si>
    <t>U.S. Department of Education:</t>
  </si>
  <si>
    <t>passed through regional office of education</t>
  </si>
  <si>
    <t>Impact Aid-Section 8002 (M)</t>
  </si>
  <si>
    <t>Small, Rural School Acheivment Program</t>
  </si>
  <si>
    <t xml:space="preserve">Special Education - IDEA - Flowthrough/Low Incidence </t>
  </si>
  <si>
    <t>Title I  - Low Income</t>
  </si>
  <si>
    <t>Title II - Teacher quality</t>
  </si>
  <si>
    <t>Title IVA - Student Support &amp; Academic Enrich</t>
  </si>
  <si>
    <t>84.358A</t>
  </si>
  <si>
    <t>84.027A</t>
  </si>
  <si>
    <t>84.010A</t>
  </si>
  <si>
    <t>84.367A</t>
  </si>
  <si>
    <t>84.424A</t>
  </si>
  <si>
    <t>19-4210</t>
  </si>
  <si>
    <t>20-4210</t>
  </si>
  <si>
    <t>2020-4001</t>
  </si>
  <si>
    <t>2019-4001</t>
  </si>
  <si>
    <t>2020-4101</t>
  </si>
  <si>
    <t>2019-4101</t>
  </si>
  <si>
    <t>2020-4620</t>
  </si>
  <si>
    <t>2019-4620</t>
  </si>
  <si>
    <t>2020-430</t>
  </si>
  <si>
    <t>2019-4300</t>
  </si>
  <si>
    <t>2020-4932</t>
  </si>
  <si>
    <t>2019-4932</t>
  </si>
  <si>
    <t>2020-4400</t>
  </si>
  <si>
    <t>2019-4400</t>
  </si>
  <si>
    <t>84.424a</t>
  </si>
  <si>
    <t>IDEA Room &amp; Board</t>
  </si>
  <si>
    <t>4625-XC</t>
  </si>
  <si>
    <t>n/a</t>
  </si>
  <si>
    <t>Total U.S. Department of Agriculture</t>
  </si>
  <si>
    <t>Total U.S. Department of Education</t>
  </si>
  <si>
    <r>
      <t>The accompanying Schedule of Expenditures of Federal Awards includes the federal grant activity of Elwood and is presented on the modified</t>
    </r>
    <r>
      <rPr>
        <b/>
        <sz val="9"/>
        <rFont val="Calibri"/>
        <family val="2"/>
        <scheme val="minor"/>
      </rPr>
      <t xml:space="preserve">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</si>
  <si>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Elwood provided federal awards to subrecipients as follows:</t>
  </si>
  <si>
    <t>None.</t>
  </si>
  <si>
    <t>Unmodified</t>
  </si>
  <si>
    <t>Impact Aid Section 8002</t>
  </si>
  <si>
    <t>Ed-Purchased services</t>
  </si>
  <si>
    <t>Arbor Management</t>
  </si>
  <si>
    <t xml:space="preserve"> Elwood CCSD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</si>
</sst>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3" fontId="73"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2023E04D-AD41-4E7B-A400-3AFF6D486642}"/>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930852</xdr:colOff>
          <xdr:row>10</xdr:row>
          <xdr:rowOff>4330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1340427</xdr:colOff>
          <xdr:row>5</xdr:row>
          <xdr:rowOff>98714</xdr:rowOff>
        </xdr:from>
        <xdr:to>
          <xdr:col>1</xdr:col>
          <xdr:colOff>2273877</xdr:colOff>
          <xdr:row>10</xdr:row>
          <xdr:rowOff>92652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2004</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t="s">
        <v>2029</v>
      </c>
      <c r="C5" s="26" t="s">
        <v>904</v>
      </c>
      <c r="D5" s="81"/>
      <c r="E5" s="81"/>
      <c r="H5" s="38"/>
      <c r="I5" s="2197" t="s">
        <v>675</v>
      </c>
      <c r="J5" s="2142"/>
      <c r="K5" s="2142"/>
      <c r="L5" s="2142"/>
      <c r="M5" s="2142"/>
      <c r="N5" s="2142"/>
      <c r="O5" s="2142"/>
      <c r="P5" s="2142"/>
      <c r="Q5" s="2142"/>
      <c r="R5" s="2142"/>
      <c r="S5" s="2142"/>
      <c r="AF5" s="1885"/>
    </row>
    <row r="6" spans="1:32" ht="14.1" customHeight="1" x14ac:dyDescent="0.2">
      <c r="B6" s="101"/>
      <c r="C6" s="26" t="s">
        <v>905</v>
      </c>
      <c r="D6" s="81"/>
      <c r="E6" s="81"/>
      <c r="I6" s="2196" t="s">
        <v>877</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949</v>
      </c>
      <c r="B11" s="2151"/>
      <c r="C11" s="2151"/>
      <c r="D11" s="2151"/>
      <c r="E11" s="2151"/>
      <c r="F11" s="2151"/>
      <c r="G11" s="2151"/>
      <c r="H11" s="2152"/>
      <c r="I11" s="27"/>
      <c r="J11" s="71"/>
      <c r="K11" s="27"/>
      <c r="O11" s="144" t="s">
        <v>2029</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8">
        <v>56099203004</v>
      </c>
      <c r="B13" s="2159"/>
      <c r="C13" s="2159"/>
      <c r="D13" s="2159"/>
      <c r="E13" s="2159"/>
      <c r="F13" s="2159"/>
      <c r="G13" s="2159"/>
      <c r="H13" s="2160"/>
      <c r="I13" s="31"/>
      <c r="J13" s="30"/>
      <c r="K13" s="28"/>
      <c r="L13" s="30"/>
      <c r="M13" s="30"/>
      <c r="N13" s="30"/>
      <c r="O13" s="30"/>
      <c r="P13" s="30"/>
      <c r="Q13" s="30"/>
      <c r="R13" s="30"/>
      <c r="S13" s="30"/>
      <c r="T13" s="2163" t="s">
        <v>2019</v>
      </c>
      <c r="U13" s="2164"/>
      <c r="V13" s="2164"/>
      <c r="W13" s="2164"/>
      <c r="X13" s="2164"/>
      <c r="Y13" s="2165"/>
      <c r="Z13" s="2165"/>
      <c r="AA13" s="216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6" t="s">
        <v>2026</v>
      </c>
      <c r="B15" s="2161"/>
      <c r="C15" s="2161"/>
      <c r="D15" s="2161"/>
      <c r="E15" s="2161"/>
      <c r="F15" s="2161"/>
      <c r="G15" s="2161"/>
      <c r="H15" s="2162"/>
      <c r="T15" s="2124" t="s">
        <v>2032</v>
      </c>
      <c r="U15" s="2125"/>
      <c r="V15" s="2125"/>
      <c r="W15" s="2125"/>
      <c r="X15" s="2125"/>
      <c r="Y15" s="2167"/>
      <c r="Z15" s="2167"/>
      <c r="AA15" s="21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2119</v>
      </c>
      <c r="B17" s="2186"/>
      <c r="C17" s="2186"/>
      <c r="D17" s="2186"/>
      <c r="E17" s="2186"/>
      <c r="F17" s="2186"/>
      <c r="G17" s="2186"/>
      <c r="H17" s="2187"/>
      <c r="T17" s="2173" t="s">
        <v>2020</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706</v>
      </c>
      <c r="U18" s="48"/>
      <c r="V18" s="69"/>
      <c r="W18" s="47"/>
      <c r="X18" s="82" t="s">
        <v>264</v>
      </c>
      <c r="Y18" s="78"/>
      <c r="Z18" s="154" t="s">
        <v>672</v>
      </c>
      <c r="AA18" s="44"/>
    </row>
    <row r="19" spans="1:27" ht="13.5" customHeight="1" x14ac:dyDescent="0.2">
      <c r="A19" s="2156" t="s">
        <v>2027</v>
      </c>
      <c r="B19" s="2157"/>
      <c r="C19" s="2157"/>
      <c r="D19" s="2157"/>
      <c r="E19" s="2157"/>
      <c r="F19" s="2157"/>
      <c r="G19" s="2157"/>
      <c r="H19" s="2155"/>
      <c r="I19" s="30"/>
      <c r="J19" s="96"/>
      <c r="K19" s="40"/>
      <c r="L19" s="38"/>
      <c r="M19" s="109" t="s">
        <v>312</v>
      </c>
      <c r="P19" s="27"/>
      <c r="Q19" s="27"/>
      <c r="R19" s="27"/>
      <c r="S19" s="31"/>
      <c r="T19" s="2156" t="s">
        <v>2021</v>
      </c>
      <c r="U19" s="2154"/>
      <c r="V19" s="2154"/>
      <c r="W19" s="2155"/>
      <c r="X19" s="2171" t="s">
        <v>2022</v>
      </c>
      <c r="Y19" s="2172"/>
      <c r="Z19" s="2169">
        <v>60435</v>
      </c>
      <c r="AA19" s="21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3" t="s">
        <v>2028</v>
      </c>
      <c r="B21" s="2154"/>
      <c r="C21" s="2154"/>
      <c r="D21" s="2154"/>
      <c r="E21" s="2154"/>
      <c r="F21" s="2154"/>
      <c r="G21" s="2154"/>
      <c r="H21" s="2155"/>
      <c r="I21" s="2179" t="s">
        <v>673</v>
      </c>
      <c r="J21" s="2142"/>
      <c r="K21" s="2142"/>
      <c r="L21" s="2142"/>
      <c r="M21" s="2142"/>
      <c r="N21" s="2142"/>
      <c r="O21" s="2142"/>
      <c r="P21" s="2142"/>
      <c r="Q21" s="2142"/>
      <c r="R21" s="2142"/>
      <c r="S21" s="2143"/>
      <c r="T21" s="2121" t="s">
        <v>2023</v>
      </c>
      <c r="U21" s="2122"/>
      <c r="V21" s="2122"/>
      <c r="W21" s="2122"/>
      <c r="X21" s="2135" t="s">
        <v>2024</v>
      </c>
      <c r="Y21" s="2136"/>
      <c r="Z21" s="2136"/>
      <c r="AA21" s="2137"/>
    </row>
    <row r="22" spans="1:27" ht="13.5" customHeight="1" x14ac:dyDescent="0.2">
      <c r="A22" s="84" t="s">
        <v>528</v>
      </c>
      <c r="B22" s="56"/>
      <c r="C22" s="56"/>
      <c r="D22" s="56"/>
      <c r="E22" s="56"/>
      <c r="F22" s="56"/>
      <c r="G22" s="56"/>
      <c r="H22" s="57"/>
      <c r="I22" s="2180" t="s">
        <v>1415</v>
      </c>
      <c r="J22" s="2181"/>
      <c r="K22" s="2181"/>
      <c r="L22" s="2181"/>
      <c r="M22" s="2181"/>
      <c r="N22" s="2181"/>
      <c r="O22" s="2181"/>
      <c r="P22" s="2181"/>
      <c r="Q22" s="2181"/>
      <c r="R22" s="2181"/>
      <c r="S22" s="2182"/>
      <c r="T22" s="82" t="s">
        <v>1502</v>
      </c>
      <c r="U22" s="48"/>
      <c r="V22" s="69"/>
      <c r="W22" s="48"/>
      <c r="X22" s="155" t="s">
        <v>1309</v>
      </c>
      <c r="Z22" s="43"/>
      <c r="AA22" s="44"/>
    </row>
    <row r="23" spans="1:27" ht="13.5" customHeight="1" x14ac:dyDescent="0.2">
      <c r="A23" s="2176"/>
      <c r="B23" s="2177"/>
      <c r="C23" s="2177"/>
      <c r="D23" s="2177"/>
      <c r="E23" s="2177"/>
      <c r="F23" s="2177"/>
      <c r="G23" s="2177"/>
      <c r="H23" s="2178"/>
      <c r="T23" s="2116" t="s">
        <v>2025</v>
      </c>
      <c r="U23" s="2117"/>
      <c r="V23" s="2117"/>
      <c r="W23" s="2117"/>
      <c r="X23" s="2132">
        <v>44530</v>
      </c>
      <c r="Y23" s="2133"/>
      <c r="Z23" s="2133"/>
      <c r="AA23" s="2134"/>
    </row>
    <row r="24" spans="1:27" ht="14.1" customHeight="1" x14ac:dyDescent="0.2">
      <c r="A24" s="85" t="s">
        <v>672</v>
      </c>
      <c r="B24" s="46"/>
      <c r="C24" s="46"/>
      <c r="D24" s="46"/>
      <c r="E24" s="46"/>
      <c r="F24" s="46"/>
      <c r="G24" s="46"/>
      <c r="H24" s="58"/>
      <c r="J24" s="2218">
        <f>IF(B5="x",IF(AUDITCHECK!D29="AFR form Incomplete.","",IF(AUDITCHECK!D29="Deficit reduction plan is required.","School District must complete a deficit reduction plan in the 2019-2020 Budget",)),"")</f>
        <v>0</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60421</v>
      </c>
      <c r="B25" s="2154"/>
      <c r="C25" s="2154"/>
      <c r="D25" s="2154"/>
      <c r="E25" s="2154"/>
      <c r="F25" s="2154"/>
      <c r="G25" s="2154"/>
      <c r="H25" s="2155"/>
      <c r="I25" s="110"/>
      <c r="J25" s="2220"/>
      <c r="K25" s="2220"/>
      <c r="L25" s="2220"/>
      <c r="M25" s="2220"/>
      <c r="N25" s="2220"/>
      <c r="O25" s="2220"/>
      <c r="P25" s="2220"/>
      <c r="Q25" s="2220"/>
      <c r="R25" s="2220"/>
      <c r="S25" s="2221"/>
      <c r="T25" s="2113" t="s">
        <v>2033</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1" t="s">
        <v>1497</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2071</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2071</v>
      </c>
      <c r="C30" s="121" t="s">
        <v>1156</v>
      </c>
      <c r="D30" s="28"/>
      <c r="E30" s="28"/>
      <c r="F30" s="136"/>
      <c r="G30" s="111"/>
      <c r="H30" s="111"/>
      <c r="I30" s="51"/>
      <c r="J30" s="144" t="s">
        <v>2071</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2071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2030</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2" t="s">
        <v>2031</v>
      </c>
      <c r="B42" s="2203"/>
      <c r="C42" s="2204"/>
      <c r="D42" s="2217"/>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1147</v>
      </c>
      <c r="B4" s="1771">
        <f>'Revenues 9-14'!C5</f>
        <v>1802512</v>
      </c>
      <c r="C4" s="1772">
        <v>947419</v>
      </c>
      <c r="D4" s="1773">
        <f>B4-C4</f>
        <v>855093</v>
      </c>
      <c r="E4" s="1772">
        <v>1862802</v>
      </c>
      <c r="F4" s="1773">
        <f>E4-C4</f>
        <v>915383</v>
      </c>
    </row>
    <row r="5" spans="1:8" ht="13.7" customHeight="1" x14ac:dyDescent="0.2">
      <c r="A5" s="579" t="s">
        <v>865</v>
      </c>
      <c r="B5" s="1774">
        <f>'Revenues 9-14'!D5</f>
        <v>223431</v>
      </c>
      <c r="C5" s="1714">
        <v>101304</v>
      </c>
      <c r="D5" s="1775">
        <f t="shared" ref="D5:D18" si="0">B5-C5</f>
        <v>122127</v>
      </c>
      <c r="E5" s="1714">
        <v>199183</v>
      </c>
      <c r="F5" s="1775">
        <f>E5-C5</f>
        <v>97879</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332921</v>
      </c>
      <c r="C7" s="1714">
        <v>175010</v>
      </c>
      <c r="D7" s="1775">
        <f t="shared" si="0"/>
        <v>157911</v>
      </c>
      <c r="E7" s="1714">
        <v>344102</v>
      </c>
      <c r="F7" s="1775">
        <f t="shared" si="1"/>
        <v>169092</v>
      </c>
    </row>
    <row r="8" spans="1:8" ht="13.7" customHeight="1" x14ac:dyDescent="0.2">
      <c r="A8" s="579" t="s">
        <v>1171</v>
      </c>
      <c r="B8" s="1774">
        <f>'Revenues 9-14'!G5</f>
        <v>39336</v>
      </c>
      <c r="C8" s="1714">
        <v>27598</v>
      </c>
      <c r="D8" s="1775">
        <f t="shared" si="0"/>
        <v>11738</v>
      </c>
      <c r="E8" s="1714">
        <v>54263</v>
      </c>
      <c r="F8" s="1775">
        <f t="shared" si="1"/>
        <v>26665</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19069</v>
      </c>
      <c r="C10" s="1714">
        <v>10036</v>
      </c>
      <c r="D10" s="1775">
        <f t="shared" si="0"/>
        <v>9033</v>
      </c>
      <c r="E10" s="1714">
        <v>19732</v>
      </c>
      <c r="F10" s="1775">
        <f t="shared" si="1"/>
        <v>9696</v>
      </c>
    </row>
    <row r="11" spans="1:8" x14ac:dyDescent="0.2">
      <c r="A11" s="579" t="s">
        <v>406</v>
      </c>
      <c r="B11" s="1774">
        <f>'Revenues 9-14'!J5</f>
        <v>162662</v>
      </c>
      <c r="C11" s="1714">
        <v>119647</v>
      </c>
      <c r="D11" s="1775">
        <f t="shared" si="0"/>
        <v>43015</v>
      </c>
      <c r="E11" s="1714">
        <v>235248</v>
      </c>
      <c r="F11" s="1775">
        <f t="shared" si="1"/>
        <v>115601</v>
      </c>
    </row>
    <row r="12" spans="1:8" ht="13.7" customHeight="1" x14ac:dyDescent="0.2">
      <c r="A12" s="579" t="s">
        <v>156</v>
      </c>
      <c r="B12" s="1774">
        <f>'Revenues 9-14'!K5</f>
        <v>20352</v>
      </c>
      <c r="C12" s="1714">
        <v>0</v>
      </c>
      <c r="D12" s="1775">
        <f t="shared" si="0"/>
        <v>20352</v>
      </c>
      <c r="E12" s="1714">
        <v>0</v>
      </c>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54168</v>
      </c>
      <c r="C14" s="1714">
        <v>28490</v>
      </c>
      <c r="D14" s="1775">
        <f t="shared" si="0"/>
        <v>25678</v>
      </c>
      <c r="E14" s="1714">
        <v>56017</v>
      </c>
      <c r="F14" s="1775">
        <f t="shared" si="1"/>
        <v>27527</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53190</v>
      </c>
      <c r="C16" s="1714">
        <v>34902</v>
      </c>
      <c r="D16" s="1775">
        <f t="shared" si="0"/>
        <v>18288</v>
      </c>
      <c r="E16" s="1714">
        <v>68623</v>
      </c>
      <c r="F16" s="1775">
        <f t="shared" si="1"/>
        <v>33721</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2707641</v>
      </c>
      <c r="C19" s="1776">
        <f>SUM(C4:C18)</f>
        <v>1444406</v>
      </c>
      <c r="D19" s="1776">
        <f>SUM(D4:D18)</f>
        <v>1263235</v>
      </c>
      <c r="E19" s="1776">
        <f>SUM(E4:E18)</f>
        <v>2839970</v>
      </c>
      <c r="F19" s="1776">
        <f>SUM(F4:F18)</f>
        <v>1395564</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1780</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1106</v>
      </c>
      <c r="B3" s="2380"/>
      <c r="C3" s="2368"/>
      <c r="D3" s="2369"/>
      <c r="E3" s="2369"/>
      <c r="F3" s="2370"/>
    </row>
    <row r="4" spans="1:7" ht="12.75" customHeight="1" thickBot="1" x14ac:dyDescent="0.25">
      <c r="A4" s="2377" t="s">
        <v>626</v>
      </c>
      <c r="B4" s="2378"/>
      <c r="C4" s="1706"/>
      <c r="D4" s="1706"/>
      <c r="E4" s="1706"/>
      <c r="F4" s="1782">
        <f>SUM(C4+D4)-E4</f>
        <v>0</v>
      </c>
    </row>
    <row r="5" spans="1:7" ht="15.75" customHeight="1" thickTop="1" x14ac:dyDescent="0.2">
      <c r="A5" s="2362" t="s">
        <v>1103</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4" t="s">
        <v>627</v>
      </c>
      <c r="B15" s="2365"/>
      <c r="C15" s="1782">
        <f>SUM(C6:C14)</f>
        <v>0</v>
      </c>
      <c r="D15" s="1782">
        <f>SUM(D6:D14)</f>
        <v>0</v>
      </c>
      <c r="E15" s="1782">
        <f>SUM(E6:E14)</f>
        <v>0</v>
      </c>
      <c r="F15" s="1782">
        <f>SUM(F6:F14)</f>
        <v>0</v>
      </c>
      <c r="G15" s="473"/>
    </row>
    <row r="16" spans="1:7" s="197" customFormat="1" ht="15.75" customHeight="1" thickTop="1" x14ac:dyDescent="0.2">
      <c r="A16" s="2374" t="s">
        <v>1104</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385</v>
      </c>
      <c r="B19" s="2388"/>
      <c r="C19" s="1783"/>
      <c r="D19" s="1714"/>
      <c r="E19" s="1783"/>
      <c r="F19" s="1782">
        <f>SUM(C19+D19)-E19</f>
        <v>0</v>
      </c>
    </row>
    <row r="20" spans="1:11" ht="12.75" customHeight="1" thickTop="1" thickBot="1" x14ac:dyDescent="0.25">
      <c r="A20" s="2387" t="s">
        <v>445</v>
      </c>
      <c r="B20" s="2388"/>
      <c r="C20" s="1783"/>
      <c r="D20" s="1714"/>
      <c r="E20" s="1783"/>
      <c r="F20" s="1782">
        <f>SUM(C20+D20)-E20</f>
        <v>0</v>
      </c>
    </row>
    <row r="21" spans="1:11" ht="14.25" thickTop="1" thickBot="1" x14ac:dyDescent="0.25">
      <c r="A21" s="2364" t="s">
        <v>628</v>
      </c>
      <c r="B21" s="2365"/>
      <c r="C21" s="1782">
        <f>SUM(C17:C20)</f>
        <v>0</v>
      </c>
      <c r="D21" s="1782">
        <f>SUM(D17:D20)</f>
        <v>0</v>
      </c>
      <c r="E21" s="1782">
        <f>SUM(E17:E20)</f>
        <v>0</v>
      </c>
      <c r="F21" s="1782">
        <f>SUM(F17:F20)</f>
        <v>0</v>
      </c>
      <c r="G21" s="473"/>
    </row>
    <row r="22" spans="1:11" ht="15.75" customHeight="1" thickTop="1" x14ac:dyDescent="0.2">
      <c r="A22" s="2389" t="s">
        <v>1105</v>
      </c>
      <c r="B22" s="2363"/>
      <c r="C22" s="2371"/>
      <c r="D22" s="2372"/>
      <c r="E22" s="2372"/>
      <c r="F22" s="2373"/>
    </row>
    <row r="23" spans="1:11" ht="13.5" thickBot="1" x14ac:dyDescent="0.25">
      <c r="A23" s="2377" t="s">
        <v>629</v>
      </c>
      <c r="B23" s="2378"/>
      <c r="C23" s="1706"/>
      <c r="D23" s="1706"/>
      <c r="E23" s="1706"/>
      <c r="F23" s="1782">
        <f>SUM(C23+D23)-E23</f>
        <v>0</v>
      </c>
      <c r="G23" s="473"/>
    </row>
    <row r="24" spans="1:11" ht="15.75" customHeight="1" thickTop="1" x14ac:dyDescent="0.2">
      <c r="A24" s="2389" t="s">
        <v>2007</v>
      </c>
      <c r="B24" s="2363"/>
      <c r="C24" s="2371"/>
      <c r="D24" s="2372"/>
      <c r="E24" s="2372"/>
      <c r="F24" s="2373"/>
    </row>
    <row r="25" spans="1:11" ht="13.5" thickBot="1" x14ac:dyDescent="0.25">
      <c r="A25" s="2377" t="s">
        <v>2008</v>
      </c>
      <c r="B25" s="2378"/>
      <c r="C25" s="1706"/>
      <c r="D25" s="1706"/>
      <c r="E25" s="1706"/>
      <c r="F25" s="1782">
        <f>SUM(C25+D25)-E25</f>
        <v>0</v>
      </c>
      <c r="G25" s="473"/>
    </row>
    <row r="26" spans="1:11" ht="15.75" customHeight="1" thickTop="1" x14ac:dyDescent="0.2">
      <c r="A26" s="2362" t="s">
        <v>652</v>
      </c>
      <c r="B26" s="2363"/>
      <c r="C26" s="589"/>
      <c r="D26" s="589"/>
      <c r="E26" s="589"/>
      <c r="F26" s="590"/>
    </row>
    <row r="27" spans="1:11" ht="13.5" thickBot="1" x14ac:dyDescent="0.25">
      <c r="A27" s="2364" t="s">
        <v>1063</v>
      </c>
      <c r="B27" s="2365"/>
      <c r="C27" s="1714"/>
      <c r="D27" s="1714"/>
      <c r="E27" s="1714"/>
      <c r="F27" s="1782">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2072</v>
      </c>
      <c r="B31" s="595">
        <v>42933</v>
      </c>
      <c r="C31" s="1784">
        <v>45985</v>
      </c>
      <c r="D31" s="1785">
        <v>7</v>
      </c>
      <c r="E31" s="1784">
        <v>27543</v>
      </c>
      <c r="F31" s="1784"/>
      <c r="G31" s="1784"/>
      <c r="H31" s="1784">
        <v>8716</v>
      </c>
      <c r="I31" s="1786">
        <f>((E31+F31)-H31)+G31</f>
        <v>18827</v>
      </c>
      <c r="J31" s="1784">
        <v>18827</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45985</v>
      </c>
      <c r="D49" s="1792"/>
      <c r="E49" s="1786">
        <f t="shared" ref="E49:J49" si="2">SUM(E31:E48)</f>
        <v>27543</v>
      </c>
      <c r="F49" s="1786">
        <f t="shared" si="2"/>
        <v>0</v>
      </c>
      <c r="G49" s="1786">
        <f t="shared" si="2"/>
        <v>0</v>
      </c>
      <c r="H49" s="1786">
        <f t="shared" si="2"/>
        <v>8716</v>
      </c>
      <c r="I49" s="1786">
        <f t="shared" si="2"/>
        <v>18827</v>
      </c>
      <c r="J49" s="1786">
        <f t="shared" si="2"/>
        <v>18827</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81" t="s">
        <v>580</v>
      </c>
      <c r="C52" s="2382"/>
      <c r="D52" s="2382"/>
      <c r="E52" s="603" t="s">
        <v>840</v>
      </c>
      <c r="F52" s="2383"/>
      <c r="G52" s="2384"/>
      <c r="H52" s="596"/>
      <c r="I52" s="596"/>
      <c r="J52" s="600"/>
    </row>
    <row r="53" spans="1:11" ht="11.25" customHeight="1" x14ac:dyDescent="0.2">
      <c r="A53" s="604" t="s">
        <v>907</v>
      </c>
      <c r="B53" s="605" t="s">
        <v>945</v>
      </c>
      <c r="C53" s="600"/>
      <c r="D53" s="597"/>
      <c r="E53" s="603" t="s">
        <v>494</v>
      </c>
      <c r="F53" s="2385"/>
      <c r="G53" s="2386"/>
      <c r="H53" s="596"/>
      <c r="I53" s="596"/>
      <c r="J53" s="600"/>
    </row>
    <row r="54" spans="1:11" ht="11.25" customHeight="1" x14ac:dyDescent="0.2">
      <c r="A54" s="606" t="s">
        <v>908</v>
      </c>
      <c r="B54" s="601" t="s">
        <v>946</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90" zoomScaleNormal="9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3"/>
      <c r="I1" s="614"/>
      <c r="J1" s="400"/>
    </row>
    <row r="2" spans="1:11" ht="26.25" x14ac:dyDescent="0.2">
      <c r="A2" s="2394" t="s">
        <v>1661</v>
      </c>
      <c r="B2" s="2395"/>
      <c r="C2" s="2395"/>
      <c r="D2" s="2395"/>
      <c r="E2" s="2396"/>
      <c r="F2" s="615" t="s">
        <v>898</v>
      </c>
      <c r="G2" s="616" t="s">
        <v>1658</v>
      </c>
      <c r="H2" s="616" t="s">
        <v>407</v>
      </c>
      <c r="I2" s="616" t="s">
        <v>1150</v>
      </c>
      <c r="J2" s="616" t="s">
        <v>1790</v>
      </c>
      <c r="K2" s="616" t="s">
        <v>137</v>
      </c>
    </row>
    <row r="3" spans="1:11" x14ac:dyDescent="0.2">
      <c r="A3" s="2397" t="str">
        <f>"Cash Basis Fund Balance as of July 1, "&amp;'AFR20'!E2-1</f>
        <v>Cash Basis Fund Balance as of July 1, 2019</v>
      </c>
      <c r="B3" s="2398"/>
      <c r="C3" s="2398"/>
      <c r="D3" s="2398"/>
      <c r="E3" s="2399"/>
      <c r="F3" s="617"/>
      <c r="G3" s="1794"/>
      <c r="H3" s="1794"/>
      <c r="I3" s="1794"/>
      <c r="J3" s="1795"/>
      <c r="K3" s="1795"/>
    </row>
    <row r="4" spans="1:11" x14ac:dyDescent="0.2">
      <c r="A4" s="2400" t="s">
        <v>366</v>
      </c>
      <c r="B4" s="2401"/>
      <c r="C4" s="2401"/>
      <c r="D4" s="2401"/>
      <c r="E4" s="2382"/>
      <c r="F4" s="620"/>
      <c r="G4" s="1796"/>
      <c r="H4" s="1797"/>
      <c r="I4" s="1796"/>
      <c r="J4" s="1798"/>
      <c r="K4" s="1798"/>
    </row>
    <row r="5" spans="1:11" x14ac:dyDescent="0.2">
      <c r="A5" s="2420" t="s">
        <v>1062</v>
      </c>
      <c r="B5" s="2391"/>
      <c r="C5" s="2391"/>
      <c r="D5" s="2391"/>
      <c r="E5" s="2421"/>
      <c r="F5" s="622" t="s">
        <v>843</v>
      </c>
      <c r="G5" s="1799"/>
      <c r="H5" s="1794">
        <v>54168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20" t="s">
        <v>1791</v>
      </c>
      <c r="B10" s="2391"/>
      <c r="C10" s="2391"/>
      <c r="D10" s="2391"/>
      <c r="E10" s="2422"/>
      <c r="F10" s="633" t="s">
        <v>857</v>
      </c>
      <c r="G10" s="1803"/>
      <c r="H10" s="1804"/>
      <c r="I10" s="1794"/>
      <c r="J10" s="1795"/>
      <c r="K10" s="1795"/>
    </row>
    <row r="11" spans="1:11" x14ac:dyDescent="0.2">
      <c r="A11" s="2420" t="s">
        <v>159</v>
      </c>
      <c r="B11" s="2391"/>
      <c r="C11" s="2391"/>
      <c r="D11" s="2391"/>
      <c r="E11" s="2421"/>
      <c r="F11" s="622" t="s">
        <v>847</v>
      </c>
      <c r="G11" s="1799"/>
      <c r="H11" s="1794"/>
      <c r="I11" s="1794"/>
      <c r="J11" s="1795"/>
      <c r="K11" s="1801"/>
    </row>
    <row r="12" spans="1:11" ht="13.5" thickBot="1" x14ac:dyDescent="0.25">
      <c r="A12" s="2408" t="s">
        <v>899</v>
      </c>
      <c r="B12" s="2409"/>
      <c r="C12" s="2409"/>
      <c r="D12" s="2409"/>
      <c r="E12" s="2410"/>
      <c r="F12" s="1482"/>
      <c r="G12" s="1805">
        <f>SUM(G5:G11)</f>
        <v>0</v>
      </c>
      <c r="H12" s="1805">
        <f>SUM(H5:H11)</f>
        <v>54168</v>
      </c>
      <c r="I12" s="1805">
        <f>SUM(I5:I11)</f>
        <v>0</v>
      </c>
      <c r="J12" s="1805">
        <f>SUM(J5:J11)</f>
        <v>0</v>
      </c>
      <c r="K12" s="1805">
        <f>SUM(K5:K11)</f>
        <v>0</v>
      </c>
    </row>
    <row r="13" spans="1:11" ht="13.5" thickTop="1" x14ac:dyDescent="0.2">
      <c r="A13" s="2402" t="s">
        <v>367</v>
      </c>
      <c r="B13" s="2403"/>
      <c r="C13" s="2403"/>
      <c r="D13" s="2403"/>
      <c r="E13" s="2404"/>
      <c r="F13" s="634"/>
      <c r="G13" s="1806"/>
      <c r="H13" s="1807"/>
      <c r="I13" s="1808"/>
      <c r="J13" s="1808"/>
      <c r="K13" s="1808"/>
    </row>
    <row r="14" spans="1:11" x14ac:dyDescent="0.2">
      <c r="A14" s="2426" t="s">
        <v>453</v>
      </c>
      <c r="B14" s="2426"/>
      <c r="C14" s="2426"/>
      <c r="D14" s="2426"/>
      <c r="E14" s="2427"/>
      <c r="F14" s="635" t="s">
        <v>849</v>
      </c>
      <c r="G14" s="1803"/>
      <c r="H14" s="1794">
        <v>54168</v>
      </c>
      <c r="I14" s="1799"/>
      <c r="J14" s="1801"/>
      <c r="K14" s="1795"/>
    </row>
    <row r="15" spans="1:11" x14ac:dyDescent="0.2">
      <c r="A15" s="2391" t="s">
        <v>4</v>
      </c>
      <c r="B15" s="2391"/>
      <c r="C15" s="2391"/>
      <c r="D15" s="2391"/>
      <c r="E15" s="2421"/>
      <c r="F15" s="635" t="s">
        <v>850</v>
      </c>
      <c r="G15" s="1799"/>
      <c r="H15" s="1794"/>
      <c r="I15" s="1794"/>
      <c r="J15" s="1795"/>
      <c r="K15" s="1795"/>
    </row>
    <row r="16" spans="1:11" x14ac:dyDescent="0.2">
      <c r="A16" s="2391" t="s">
        <v>295</v>
      </c>
      <c r="B16" s="2391"/>
      <c r="C16" s="2391"/>
      <c r="D16" s="2391"/>
      <c r="E16" s="2421"/>
      <c r="F16" s="635" t="s">
        <v>917</v>
      </c>
      <c r="G16" s="1800"/>
      <c r="H16" s="1796"/>
      <c r="I16" s="1796"/>
      <c r="J16" s="1798"/>
      <c r="K16" s="1798"/>
    </row>
    <row r="17" spans="1:15" x14ac:dyDescent="0.2">
      <c r="A17" s="2415" t="s">
        <v>929</v>
      </c>
      <c r="B17" s="2415"/>
      <c r="C17" s="2415"/>
      <c r="D17" s="2415"/>
      <c r="E17" s="2416"/>
      <c r="F17" s="636"/>
      <c r="G17" s="1809"/>
      <c r="H17" s="1810"/>
      <c r="I17" s="1810"/>
      <c r="J17" s="1811"/>
      <c r="K17" s="1812"/>
    </row>
    <row r="18" spans="1:15" x14ac:dyDescent="0.2">
      <c r="A18" s="2405" t="s">
        <v>365</v>
      </c>
      <c r="B18" s="2406"/>
      <c r="C18" s="2406"/>
      <c r="D18" s="2406"/>
      <c r="E18" s="2407"/>
      <c r="F18" s="635" t="s">
        <v>926</v>
      </c>
      <c r="G18" s="1803"/>
      <c r="H18" s="1803"/>
      <c r="I18" s="1803"/>
      <c r="J18" s="1795"/>
      <c r="K18" s="1813"/>
    </row>
    <row r="19" spans="1:15" ht="21.75" customHeight="1" x14ac:dyDescent="0.2">
      <c r="A19" s="2428" t="s">
        <v>1787</v>
      </c>
      <c r="B19" s="2428"/>
      <c r="C19" s="2428"/>
      <c r="D19" s="2428"/>
      <c r="E19" s="2429"/>
      <c r="F19" s="635" t="s">
        <v>927</v>
      </c>
      <c r="G19" s="1803"/>
      <c r="H19" s="1803"/>
      <c r="I19" s="1803"/>
      <c r="J19" s="1795"/>
      <c r="K19" s="1813"/>
    </row>
    <row r="20" spans="1:15" x14ac:dyDescent="0.2">
      <c r="A20" s="2405" t="s">
        <v>1792</v>
      </c>
      <c r="B20" s="2406"/>
      <c r="C20" s="2406"/>
      <c r="D20" s="2406"/>
      <c r="E20" s="2407"/>
      <c r="F20" s="635" t="s">
        <v>928</v>
      </c>
      <c r="G20" s="1803"/>
      <c r="H20" s="1803"/>
      <c r="I20" s="1803"/>
      <c r="J20" s="1795"/>
      <c r="K20" s="1813"/>
    </row>
    <row r="21" spans="1:15" ht="13.5" thickBot="1" x14ac:dyDescent="0.25">
      <c r="A21" s="2411" t="s">
        <v>633</v>
      </c>
      <c r="B21" s="2411"/>
      <c r="C21" s="2411"/>
      <c r="D21" s="2411"/>
      <c r="E21" s="2411"/>
      <c r="F21" s="1483"/>
      <c r="G21" s="1810"/>
      <c r="H21" s="1814"/>
      <c r="I21" s="1814"/>
      <c r="J21" s="1815">
        <f>SUM(J18:J20)</f>
        <v>0</v>
      </c>
      <c r="K21" s="1811"/>
    </row>
    <row r="22" spans="1:15" ht="13.5" thickTop="1" x14ac:dyDescent="0.2">
      <c r="A22" s="2391" t="s">
        <v>1793</v>
      </c>
      <c r="B22" s="2391"/>
      <c r="C22" s="2391"/>
      <c r="D22" s="2391"/>
      <c r="E22" s="2421"/>
      <c r="F22" s="635" t="s">
        <v>857</v>
      </c>
      <c r="G22" s="1803"/>
      <c r="H22" s="1794"/>
      <c r="I22" s="1794"/>
      <c r="J22" s="1816"/>
      <c r="K22" s="1795"/>
    </row>
    <row r="23" spans="1:15" ht="13.5" thickBot="1" x14ac:dyDescent="0.25">
      <c r="A23" s="2412" t="s">
        <v>900</v>
      </c>
      <c r="B23" s="2411"/>
      <c r="C23" s="2411"/>
      <c r="D23" s="2411"/>
      <c r="E23" s="2411"/>
      <c r="F23" s="1485"/>
      <c r="G23" s="1805">
        <f>SUM(G14:G16,G21,G22)</f>
        <v>0</v>
      </c>
      <c r="H23" s="1805">
        <f>SUM(H14:H16,H21,H22)</f>
        <v>54168</v>
      </c>
      <c r="I23" s="1805">
        <f>SUM(I14:I16,I21,I22)</f>
        <v>0</v>
      </c>
      <c r="J23" s="1805">
        <f>SUM(J14:J16,J21,J22)</f>
        <v>0</v>
      </c>
      <c r="K23" s="1805">
        <f>SUM(K14:K16,K21,K22)</f>
        <v>0</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1161</v>
      </c>
      <c r="B33" s="341"/>
      <c r="C33" s="341"/>
      <c r="D33" s="341"/>
      <c r="E33" s="341"/>
      <c r="F33" s="341"/>
      <c r="G33" s="653"/>
      <c r="H33" s="2425"/>
      <c r="I33" s="2424"/>
      <c r="J33" s="2424"/>
      <c r="K33" s="2424"/>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392"/>
      <c r="C41" s="2392"/>
      <c r="D41" s="2392"/>
      <c r="E41" s="2392"/>
      <c r="F41" s="23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1788</v>
      </c>
      <c r="B46" s="382" t="s">
        <v>1659</v>
      </c>
    </row>
    <row r="47" spans="1:11" s="663" customFormat="1" ht="12.75" customHeight="1" x14ac:dyDescent="0.2">
      <c r="A47" s="661"/>
      <c r="B47" s="662" t="s">
        <v>1660</v>
      </c>
      <c r="E47" s="662"/>
      <c r="K47" s="664"/>
    </row>
    <row r="48" spans="1:11" ht="12.75" customHeight="1" x14ac:dyDescent="0.2">
      <c r="A48" s="1345"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1876</v>
      </c>
      <c r="B1" s="2433"/>
      <c r="C1" s="2434"/>
      <c r="D1" s="666"/>
      <c r="E1" s="667"/>
      <c r="F1" s="667"/>
      <c r="G1" s="668"/>
      <c r="H1" s="669"/>
      <c r="I1" s="670"/>
      <c r="J1" s="2430"/>
      <c r="K1" s="2431"/>
      <c r="L1" s="243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9126877</v>
      </c>
      <c r="D8" s="1821"/>
      <c r="E8" s="1821"/>
      <c r="F8" s="1815">
        <f>(C8+D8)-E8</f>
        <v>9126877</v>
      </c>
      <c r="G8" s="681">
        <v>50</v>
      </c>
      <c r="H8" s="619">
        <v>2758895</v>
      </c>
      <c r="I8" s="619">
        <v>182537</v>
      </c>
      <c r="J8" s="619"/>
      <c r="K8" s="1491">
        <f>(H8+I8)-J8</f>
        <v>2941432</v>
      </c>
      <c r="L8" s="1491">
        <f>F8-K8</f>
        <v>6185445</v>
      </c>
    </row>
    <row r="9" spans="1:14" ht="14.25" thickTop="1" thickBot="1" x14ac:dyDescent="0.25">
      <c r="A9" s="629" t="s">
        <v>1111</v>
      </c>
      <c r="B9" s="679">
        <v>232</v>
      </c>
      <c r="C9" s="1795">
        <v>15000</v>
      </c>
      <c r="D9" s="1795"/>
      <c r="E9" s="1795"/>
      <c r="F9" s="1815">
        <f>(C9+D9)-E9</f>
        <v>15000</v>
      </c>
      <c r="G9" s="681">
        <v>20</v>
      </c>
      <c r="H9" s="619">
        <v>5700</v>
      </c>
      <c r="I9" s="619">
        <v>600</v>
      </c>
      <c r="J9" s="619"/>
      <c r="K9" s="1491">
        <f>(H9+I9)-J9</f>
        <v>6300</v>
      </c>
      <c r="L9" s="1491">
        <f>F9-K9</f>
        <v>8700</v>
      </c>
    </row>
    <row r="10" spans="1:14" ht="24" thickTop="1" thickBot="1" x14ac:dyDescent="0.25">
      <c r="A10" s="682" t="s">
        <v>1112</v>
      </c>
      <c r="B10" s="679">
        <v>240</v>
      </c>
      <c r="C10" s="1822">
        <v>284050</v>
      </c>
      <c r="D10" s="1822">
        <v>203090</v>
      </c>
      <c r="E10" s="1822"/>
      <c r="F10" s="1823">
        <f>(C10+D10)-E10</f>
        <v>487140</v>
      </c>
      <c r="G10" s="681">
        <v>20</v>
      </c>
      <c r="H10" s="683">
        <v>125204</v>
      </c>
      <c r="I10" s="683">
        <v>18883</v>
      </c>
      <c r="J10" s="683"/>
      <c r="K10" s="1491">
        <f>(H10+I10)-J10</f>
        <v>144087</v>
      </c>
      <c r="L10" s="1491">
        <f>F10-K10</f>
        <v>343053</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940676</v>
      </c>
      <c r="D12" s="1821">
        <v>27144</v>
      </c>
      <c r="E12" s="1821"/>
      <c r="F12" s="1815">
        <f>(C12+D12)-E12</f>
        <v>967820</v>
      </c>
      <c r="G12" s="681">
        <v>10</v>
      </c>
      <c r="H12" s="619">
        <v>657034</v>
      </c>
      <c r="I12" s="619">
        <v>27920</v>
      </c>
      <c r="J12" s="619"/>
      <c r="K12" s="1491">
        <f>(H12+I12)-J12</f>
        <v>684954</v>
      </c>
      <c r="L12" s="1491">
        <f>F12-K12</f>
        <v>282866</v>
      </c>
    </row>
    <row r="13" spans="1:14" ht="14.25" thickTop="1" thickBot="1" x14ac:dyDescent="0.25">
      <c r="A13" s="684" t="s">
        <v>1114</v>
      </c>
      <c r="B13" s="679">
        <v>252</v>
      </c>
      <c r="C13" s="1821">
        <v>3217</v>
      </c>
      <c r="D13" s="1821"/>
      <c r="E13" s="1821"/>
      <c r="F13" s="1815">
        <f>(C13+D13)-E13</f>
        <v>3217</v>
      </c>
      <c r="G13" s="681">
        <v>5</v>
      </c>
      <c r="H13" s="619">
        <v>3217</v>
      </c>
      <c r="I13" s="619"/>
      <c r="J13" s="619"/>
      <c r="K13" s="1491">
        <f>(H13+I13)-J13</f>
        <v>3217</v>
      </c>
      <c r="L13" s="1491">
        <f>F13-K13</f>
        <v>0</v>
      </c>
    </row>
    <row r="14" spans="1:14" ht="14.25" thickTop="1" thickBot="1" x14ac:dyDescent="0.25">
      <c r="A14" s="684" t="s">
        <v>1115</v>
      </c>
      <c r="B14" s="679">
        <v>253</v>
      </c>
      <c r="C14" s="1795">
        <v>126368</v>
      </c>
      <c r="D14" s="1795"/>
      <c r="E14" s="1795"/>
      <c r="F14" s="1815">
        <f>(C14+D14)-E14</f>
        <v>126368</v>
      </c>
      <c r="G14" s="681">
        <v>3</v>
      </c>
      <c r="H14" s="619">
        <v>126368</v>
      </c>
      <c r="I14" s="619"/>
      <c r="J14" s="619"/>
      <c r="K14" s="1491">
        <f>(H14+I14)-J14</f>
        <v>126368</v>
      </c>
      <c r="L14" s="1491">
        <f>F14-K14</f>
        <v>0</v>
      </c>
    </row>
    <row r="15" spans="1:14" ht="15" customHeight="1" thickTop="1" thickBot="1" x14ac:dyDescent="0.25">
      <c r="A15" s="1411" t="s">
        <v>525</v>
      </c>
      <c r="B15" s="1410">
        <v>260</v>
      </c>
      <c r="C15" s="1821">
        <v>203090</v>
      </c>
      <c r="D15" s="1821"/>
      <c r="E15" s="1821">
        <v>203090</v>
      </c>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10699278</v>
      </c>
      <c r="D16" s="1815">
        <f>SUM(D3,D5:D6,D8:D10,D12:D15)</f>
        <v>230234</v>
      </c>
      <c r="E16" s="1815">
        <f>SUM(E3,E5:E6,E8:E10,E12:E15)</f>
        <v>203090</v>
      </c>
      <c r="F16" s="1815">
        <f>SUM(F3,F5:F6,F8:F10,F12:F15)</f>
        <v>10726422</v>
      </c>
      <c r="G16" s="681"/>
      <c r="H16" s="1484">
        <f>SUM(H3,H6,H8:H10,H12:H14,)</f>
        <v>3676418</v>
      </c>
      <c r="I16" s="1484">
        <f>SUM(I3,I6,I8:I10,I12:I14,)</f>
        <v>229940</v>
      </c>
      <c r="J16" s="1484">
        <f>SUM(J3,J6,J8:J10,J12:J14,)</f>
        <v>0</v>
      </c>
      <c r="K16" s="1484">
        <f>(H16+I16)-J16</f>
        <v>3906358</v>
      </c>
      <c r="L16" s="1484">
        <f>F16-K16</f>
        <v>6820064</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11519</v>
      </c>
      <c r="G17" s="676">
        <v>10</v>
      </c>
      <c r="H17" s="621"/>
      <c r="I17" s="1491">
        <f>F17/G17</f>
        <v>1151.9000000000001</v>
      </c>
      <c r="J17" s="621"/>
      <c r="K17" s="638"/>
      <c r="L17" s="638"/>
    </row>
    <row r="18" spans="1:12" ht="14.25" thickTop="1" thickBot="1" x14ac:dyDescent="0.25">
      <c r="A18" s="1489" t="s">
        <v>680</v>
      </c>
      <c r="B18" s="1490"/>
      <c r="C18" s="623"/>
      <c r="D18" s="623"/>
      <c r="E18" s="623"/>
      <c r="F18" s="686"/>
      <c r="G18" s="687"/>
      <c r="H18" s="624"/>
      <c r="I18" s="1484">
        <f>SUM(I16,I17)</f>
        <v>231091.9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4"/>
      <c r="B5" s="2445"/>
      <c r="C5" s="2445"/>
      <c r="D5" s="2445"/>
      <c r="E5" s="2445"/>
      <c r="F5" s="2445"/>
    </row>
    <row r="6" spans="1:9" ht="13.5" customHeight="1" thickBot="1" x14ac:dyDescent="0.25">
      <c r="A6" s="2435" t="s">
        <v>1097</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3416062</v>
      </c>
      <c r="G8" s="701"/>
    </row>
    <row r="9" spans="1:9" x14ac:dyDescent="0.2">
      <c r="A9" s="705" t="s">
        <v>457</v>
      </c>
      <c r="B9" s="706" t="s">
        <v>1849</v>
      </c>
      <c r="C9" s="707"/>
      <c r="D9" s="705" t="s">
        <v>498</v>
      </c>
      <c r="E9" s="704"/>
      <c r="F9" s="1825">
        <f>'Expenditures 15-22'!K151</f>
        <v>431349</v>
      </c>
      <c r="G9" s="708"/>
    </row>
    <row r="10" spans="1:9" x14ac:dyDescent="0.2">
      <c r="A10" s="705" t="s">
        <v>496</v>
      </c>
      <c r="B10" s="706" t="s">
        <v>1850</v>
      </c>
      <c r="C10" s="707"/>
      <c r="D10" s="705" t="s">
        <v>498</v>
      </c>
      <c r="E10" s="704"/>
      <c r="F10" s="1825">
        <f>'Expenditures 15-22'!K174</f>
        <v>10161</v>
      </c>
      <c r="G10" s="708"/>
    </row>
    <row r="11" spans="1:9" x14ac:dyDescent="0.2">
      <c r="A11" s="705" t="s">
        <v>458</v>
      </c>
      <c r="B11" s="706" t="s">
        <v>1851</v>
      </c>
      <c r="C11" s="707"/>
      <c r="D11" s="705" t="s">
        <v>498</v>
      </c>
      <c r="E11" s="704"/>
      <c r="F11" s="1825">
        <f>'Expenditures 15-22'!K210</f>
        <v>437518</v>
      </c>
      <c r="G11" s="708"/>
    </row>
    <row r="12" spans="1:9" x14ac:dyDescent="0.2">
      <c r="A12" s="705" t="s">
        <v>459</v>
      </c>
      <c r="B12" s="706" t="s">
        <v>1852</v>
      </c>
      <c r="C12" s="707"/>
      <c r="D12" s="705" t="s">
        <v>498</v>
      </c>
      <c r="E12" s="704"/>
      <c r="F12" s="1825">
        <f>'Expenditures 15-22'!K295</f>
        <v>94343</v>
      </c>
      <c r="G12" s="708"/>
    </row>
    <row r="13" spans="1:9" x14ac:dyDescent="0.2">
      <c r="A13" s="705" t="s">
        <v>106</v>
      </c>
      <c r="B13" s="706" t="s">
        <v>1853</v>
      </c>
      <c r="C13" s="707"/>
      <c r="D13" s="705" t="s">
        <v>498</v>
      </c>
      <c r="E13" s="704"/>
      <c r="F13" s="1825">
        <f>'Expenditures 15-22'!K342</f>
        <v>101665</v>
      </c>
      <c r="G13" s="709"/>
    </row>
    <row r="14" spans="1:9" ht="12" customHeight="1" thickBot="1" x14ac:dyDescent="0.25">
      <c r="A14" s="1492"/>
      <c r="B14" s="1493"/>
      <c r="C14" s="1494"/>
      <c r="D14" s="1495" t="s">
        <v>498</v>
      </c>
      <c r="E14" s="1496" t="s">
        <v>952</v>
      </c>
      <c r="F14" s="1826">
        <f>SUM(F8:F13)</f>
        <v>4491098</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3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1910</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544832</v>
      </c>
      <c r="G53" s="701"/>
    </row>
    <row r="54" spans="1:7" x14ac:dyDescent="0.2">
      <c r="A54" s="705" t="s">
        <v>456</v>
      </c>
      <c r="B54" s="705" t="s">
        <v>1462</v>
      </c>
      <c r="C54" s="724" t="s">
        <v>975</v>
      </c>
      <c r="D54" s="720" t="s">
        <v>1088</v>
      </c>
      <c r="E54" s="704"/>
      <c r="F54" s="1832">
        <f>'Expenditures 15-22'!G114</f>
        <v>3831</v>
      </c>
      <c r="G54" s="701"/>
    </row>
    <row r="55" spans="1:7" x14ac:dyDescent="0.2">
      <c r="A55" s="705" t="s">
        <v>456</v>
      </c>
      <c r="B55" s="705" t="s">
        <v>1463</v>
      </c>
      <c r="C55" s="724" t="s">
        <v>975</v>
      </c>
      <c r="D55" s="720" t="s">
        <v>288</v>
      </c>
      <c r="E55" s="704"/>
      <c r="F55" s="1832">
        <f>'Expenditures 15-22'!I114</f>
        <v>10684</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32">
        <f>'Expenditures 15-22'!K139</f>
        <v>310</v>
      </c>
      <c r="G57" s="701"/>
    </row>
    <row r="58" spans="1:7" x14ac:dyDescent="0.2">
      <c r="A58" s="705" t="s">
        <v>457</v>
      </c>
      <c r="B58" s="705" t="s">
        <v>1855</v>
      </c>
      <c r="C58" s="721" t="s">
        <v>975</v>
      </c>
      <c r="D58" s="720" t="s">
        <v>1088</v>
      </c>
      <c r="E58" s="704"/>
      <c r="F58" s="1834">
        <f>'Expenditures 15-22'!G151</f>
        <v>23313</v>
      </c>
      <c r="G58" s="701"/>
    </row>
    <row r="59" spans="1:7" x14ac:dyDescent="0.2">
      <c r="A59" s="728" t="s">
        <v>457</v>
      </c>
      <c r="B59" s="692" t="s">
        <v>1856</v>
      </c>
      <c r="C59" s="729" t="s">
        <v>975</v>
      </c>
      <c r="D59" s="692" t="s">
        <v>288</v>
      </c>
      <c r="F59" s="1835">
        <f>'Expenditures 15-22'!I151</f>
        <v>835</v>
      </c>
      <c r="G59" s="701"/>
    </row>
    <row r="60" spans="1:7" x14ac:dyDescent="0.2">
      <c r="A60" s="728" t="s">
        <v>496</v>
      </c>
      <c r="B60" s="692" t="s">
        <v>1857</v>
      </c>
      <c r="C60" s="729">
        <v>4000</v>
      </c>
      <c r="D60" s="692" t="s">
        <v>309</v>
      </c>
      <c r="F60" s="1833">
        <f>'Expenditures 15-22'!K160</f>
        <v>0</v>
      </c>
      <c r="G60" s="701"/>
    </row>
    <row r="61" spans="1:7" x14ac:dyDescent="0.2">
      <c r="A61" s="730" t="s">
        <v>496</v>
      </c>
      <c r="B61" s="730" t="s">
        <v>1858</v>
      </c>
      <c r="C61" s="731" t="str">
        <f>'Expenditures 15-22'!B170</f>
        <v>5300</v>
      </c>
      <c r="D61" s="732" t="s">
        <v>308</v>
      </c>
      <c r="E61" s="715"/>
      <c r="F61" s="1832">
        <f>'Expenditures 15-22'!K170</f>
        <v>8716</v>
      </c>
      <c r="G61" s="701"/>
    </row>
    <row r="62" spans="1:7" x14ac:dyDescent="0.2">
      <c r="A62" s="705" t="s">
        <v>458</v>
      </c>
      <c r="B62" s="705" t="s">
        <v>1859</v>
      </c>
      <c r="C62" s="721">
        <f>'Expenditures 15-22'!B185</f>
        <v>3000</v>
      </c>
      <c r="D62" s="712" t="s">
        <v>446</v>
      </c>
      <c r="E62" s="704"/>
      <c r="F62" s="183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1861</v>
      </c>
      <c r="C64" s="731" t="str">
        <f>'Expenditures 15-22'!B206</f>
        <v>5300</v>
      </c>
      <c r="D64" s="727" t="s">
        <v>308</v>
      </c>
      <c r="E64" s="704"/>
      <c r="F64" s="1832">
        <f>'Expenditures 15-22'!K206</f>
        <v>0</v>
      </c>
      <c r="G64" s="701"/>
    </row>
    <row r="65" spans="1:9" x14ac:dyDescent="0.2">
      <c r="A65" s="705" t="s">
        <v>458</v>
      </c>
      <c r="B65" s="705" t="s">
        <v>1862</v>
      </c>
      <c r="C65" s="721" t="s">
        <v>975</v>
      </c>
      <c r="D65" s="720" t="s">
        <v>1088</v>
      </c>
      <c r="E65" s="704"/>
      <c r="F65" s="1832">
        <f>'Expenditures 15-22'!G210</f>
        <v>0</v>
      </c>
      <c r="G65" s="701"/>
    </row>
    <row r="66" spans="1:9" x14ac:dyDescent="0.2">
      <c r="A66" s="705" t="s">
        <v>458</v>
      </c>
      <c r="B66" s="705" t="s">
        <v>1863</v>
      </c>
      <c r="C66" s="721" t="s">
        <v>975</v>
      </c>
      <c r="D66" s="720" t="s">
        <v>288</v>
      </c>
      <c r="E66" s="704"/>
      <c r="F66" s="1832">
        <f>'Expenditures 15-22'!I210</f>
        <v>0</v>
      </c>
      <c r="G66" s="701"/>
    </row>
    <row r="67" spans="1:9" x14ac:dyDescent="0.2">
      <c r="A67" s="705" t="s">
        <v>459</v>
      </c>
      <c r="B67" s="705" t="s">
        <v>1864</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1866</v>
      </c>
      <c r="C70" s="721">
        <f>'Expenditures 15-22'!B221</f>
        <v>1300</v>
      </c>
      <c r="D70" s="722" t="str">
        <f>'Expenditures 15-22'!A221</f>
        <v>Adult/Continuing Education Programs</v>
      </c>
      <c r="E70" s="704"/>
      <c r="F70" s="1832">
        <f>'Expenditures 15-22'!K221</f>
        <v>0</v>
      </c>
      <c r="G70" s="701"/>
    </row>
    <row r="71" spans="1:9" x14ac:dyDescent="0.2">
      <c r="A71" s="705" t="s">
        <v>459</v>
      </c>
      <c r="B71" s="705" t="s">
        <v>1867</v>
      </c>
      <c r="C71" s="721">
        <f>'Expenditures 15-22'!B224</f>
        <v>1600</v>
      </c>
      <c r="D71" s="722" t="str">
        <f>'Expenditures 15-22'!A224</f>
        <v>Summer School Programs</v>
      </c>
      <c r="E71" s="704"/>
      <c r="F71" s="1832">
        <f>'Expenditures 15-22'!K224</f>
        <v>0</v>
      </c>
      <c r="G71" s="701"/>
    </row>
    <row r="72" spans="1:9" x14ac:dyDescent="0.2">
      <c r="A72" s="705" t="s">
        <v>459</v>
      </c>
      <c r="B72" s="705" t="s">
        <v>1868</v>
      </c>
      <c r="C72" s="721">
        <f>'Expenditures 15-22'!B280</f>
        <v>3000</v>
      </c>
      <c r="D72" s="712" t="s">
        <v>446</v>
      </c>
      <c r="E72" s="704"/>
      <c r="F72" s="1832">
        <f>'Expenditures 15-22'!K280</f>
        <v>0</v>
      </c>
      <c r="G72" s="701"/>
    </row>
    <row r="73" spans="1:9" x14ac:dyDescent="0.2">
      <c r="A73" s="705" t="s">
        <v>459</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1870</v>
      </c>
      <c r="C74" s="721" t="s">
        <v>855</v>
      </c>
      <c r="D74" s="722" t="s">
        <v>1473</v>
      </c>
      <c r="E74" s="704"/>
      <c r="F74" s="1836">
        <f>'Expenditures 15-22'!K334</f>
        <v>0</v>
      </c>
      <c r="G74" s="701"/>
    </row>
    <row r="75" spans="1:9" x14ac:dyDescent="0.2">
      <c r="A75" s="705" t="s">
        <v>2009</v>
      </c>
      <c r="B75" s="705" t="s">
        <v>2010</v>
      </c>
      <c r="C75" s="721" t="s">
        <v>975</v>
      </c>
      <c r="D75" s="722" t="s">
        <v>1088</v>
      </c>
      <c r="E75" s="704"/>
      <c r="F75" s="1836">
        <f>'Expenditures 15-22'!G342</f>
        <v>0</v>
      </c>
      <c r="G75" s="701"/>
    </row>
    <row r="76" spans="1:9" ht="10.5" customHeight="1" x14ac:dyDescent="0.2">
      <c r="A76" s="701" t="s">
        <v>433</v>
      </c>
      <c r="B76" s="705" t="s">
        <v>2011</v>
      </c>
      <c r="C76" s="711" t="s">
        <v>975</v>
      </c>
      <c r="D76" s="701" t="s">
        <v>288</v>
      </c>
      <c r="E76" s="704"/>
      <c r="F76" s="1836">
        <f>'Expenditures 15-22'!I342</f>
        <v>0</v>
      </c>
      <c r="G76" s="703"/>
    </row>
    <row r="77" spans="1:9" ht="12" thickBot="1" x14ac:dyDescent="0.25">
      <c r="A77" s="1492"/>
      <c r="B77" s="1497"/>
      <c r="C77" s="1494"/>
      <c r="D77" s="1498" t="s">
        <v>2012</v>
      </c>
      <c r="E77" s="1496" t="s">
        <v>952</v>
      </c>
      <c r="F77" s="1837">
        <f>SUM(F18:F76)</f>
        <v>592521</v>
      </c>
      <c r="G77" s="701"/>
    </row>
    <row r="78" spans="1:9" s="728" customFormat="1" ht="12" customHeight="1" thickTop="1" thickBot="1" x14ac:dyDescent="0.25">
      <c r="A78" s="1499"/>
      <c r="B78" s="1497"/>
      <c r="C78" s="1494"/>
      <c r="D78" s="1498" t="s">
        <v>2013</v>
      </c>
      <c r="E78" s="1496"/>
      <c r="F78" s="1838">
        <f>(F14-F77)</f>
        <v>3898577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274.39999999999998</v>
      </c>
      <c r="G79" s="733"/>
      <c r="H79" s="705"/>
      <c r="I79" s="705"/>
    </row>
    <row r="80" spans="1:9" s="728" customFormat="1" ht="12" customHeight="1" thickBot="1" x14ac:dyDescent="0.25">
      <c r="A80" s="1501"/>
      <c r="B80" s="1497"/>
      <c r="C80" s="1494"/>
      <c r="D80" s="1498" t="s">
        <v>2014</v>
      </c>
      <c r="E80" s="1496" t="s">
        <v>952</v>
      </c>
      <c r="F80" s="1840">
        <f>IF(F79&gt;0,F78/F79," Complete Line 79")</f>
        <v>14207.642128279884</v>
      </c>
      <c r="G80" s="705"/>
    </row>
    <row r="81" spans="1:7" s="728" customFormat="1" ht="8.25" customHeight="1" thickTop="1" x14ac:dyDescent="0.2">
      <c r="A81" s="734"/>
      <c r="B81" s="705"/>
      <c r="C81" s="707"/>
      <c r="D81" s="735"/>
      <c r="E81" s="704"/>
      <c r="F81" s="1841"/>
      <c r="G81" s="705"/>
    </row>
    <row r="82" spans="1:7" s="728" customFormat="1" ht="12" thickBot="1" x14ac:dyDescent="0.25">
      <c r="A82" s="2435" t="s">
        <v>1098</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18045</v>
      </c>
      <c r="G95" s="745"/>
    </row>
    <row r="96" spans="1:7" x14ac:dyDescent="0.2">
      <c r="A96" s="741" t="s">
        <v>139</v>
      </c>
      <c r="B96" s="741" t="s">
        <v>174</v>
      </c>
      <c r="C96" s="743">
        <v>1700</v>
      </c>
      <c r="D96" s="751" t="str">
        <f>'Revenues 9-14'!A82</f>
        <v>Total District/School Activity Income</v>
      </c>
      <c r="E96" s="739"/>
      <c r="F96" s="1843">
        <f>SUM('Revenues 9-14'!C82,'Revenues 9-14'!D82)</f>
        <v>22191</v>
      </c>
      <c r="G96" s="745"/>
    </row>
    <row r="97" spans="1:7" x14ac:dyDescent="0.2">
      <c r="A97" s="741" t="s">
        <v>456</v>
      </c>
      <c r="B97" s="741" t="s">
        <v>175</v>
      </c>
      <c r="C97" s="743">
        <f>'Revenues 9-14'!B84</f>
        <v>1811</v>
      </c>
      <c r="D97" s="744" t="str">
        <f>'Revenues 9-14'!A84</f>
        <v>Rentals - Regular Textbooks</v>
      </c>
      <c r="E97" s="739"/>
      <c r="F97" s="1843">
        <f>'Revenues 9-14'!C84</f>
        <v>17514</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1911</v>
      </c>
      <c r="C106" s="746">
        <v>3100</v>
      </c>
      <c r="D106" s="752" t="str">
        <f>'Revenues 9-14'!A132</f>
        <v>Total Special Education</v>
      </c>
      <c r="E106" s="739"/>
      <c r="F106" s="1843">
        <f>SUM('Revenues 9-14'!C132:D132,'Revenues 9-14'!F132)</f>
        <v>0</v>
      </c>
      <c r="G106" s="745"/>
    </row>
    <row r="107" spans="1:7" x14ac:dyDescent="0.2">
      <c r="A107" s="741" t="s">
        <v>668</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1913</v>
      </c>
      <c r="C108" s="753">
        <v>3300</v>
      </c>
      <c r="D108" s="744" t="str">
        <f>'Revenues 9-14'!A145</f>
        <v>Total Bilingual Ed</v>
      </c>
      <c r="E108" s="739"/>
      <c r="F108" s="184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43">
        <f>'Revenues 9-14'!C146</f>
        <v>461</v>
      </c>
      <c r="G109" s="745"/>
    </row>
    <row r="110" spans="1:7" x14ac:dyDescent="0.2">
      <c r="A110" s="741" t="s">
        <v>668</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663</v>
      </c>
      <c r="B112" s="741" t="s">
        <v>1917</v>
      </c>
      <c r="C112" s="755">
        <v>3500</v>
      </c>
      <c r="D112" s="744" t="str">
        <f>'Revenues 9-14'!A155</f>
        <v>Total Transportation</v>
      </c>
      <c r="E112" s="739"/>
      <c r="F112" s="1843">
        <f>SUM('Revenues 9-14'!C155,'Revenues 9-14'!D155,'Revenues 9-14'!F155,'Revenues 9-14'!G155)</f>
        <v>245756</v>
      </c>
      <c r="G112" s="745"/>
    </row>
    <row r="113" spans="1:7" x14ac:dyDescent="0.2">
      <c r="A113" s="741" t="s">
        <v>456</v>
      </c>
      <c r="B113" s="741" t="s">
        <v>1918</v>
      </c>
      <c r="C113" s="753">
        <f>'Revenues 9-14'!B156</f>
        <v>3610</v>
      </c>
      <c r="D113" s="744" t="str">
        <f>'Revenues 9-14'!A156</f>
        <v>Learning Improvement - Change Grants</v>
      </c>
      <c r="E113" s="739"/>
      <c r="F113" s="1843">
        <f>'Revenues 9-14'!C156</f>
        <v>0</v>
      </c>
      <c r="G113" s="745"/>
    </row>
    <row r="114" spans="1:7" x14ac:dyDescent="0.2">
      <c r="A114" s="741" t="s">
        <v>663</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42">
        <f>SUM('Revenues 9-14'!C163:G163)</f>
        <v>0</v>
      </c>
      <c r="G119" s="745"/>
    </row>
    <row r="120" spans="1:7" x14ac:dyDescent="0.2">
      <c r="A120" s="756" t="s">
        <v>501</v>
      </c>
      <c r="B120" s="756" t="s">
        <v>1925</v>
      </c>
      <c r="C120" s="757">
        <f>'Revenues 9-14'!B164</f>
        <v>3815</v>
      </c>
      <c r="D120" s="758" t="str">
        <f>'Revenues 9-14'!A164</f>
        <v>State Charter Schools</v>
      </c>
      <c r="E120" s="739"/>
      <c r="F120" s="184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43">
        <f>'Revenues 9-14'!D167</f>
        <v>0</v>
      </c>
      <c r="G121" s="763"/>
    </row>
    <row r="122" spans="1:7" x14ac:dyDescent="0.2">
      <c r="A122" s="760" t="s">
        <v>497</v>
      </c>
      <c r="B122" s="760" t="s">
        <v>1927</v>
      </c>
      <c r="C122" s="761">
        <f>'Revenues 9-14'!B168</f>
        <v>3999</v>
      </c>
      <c r="D122" s="762" t="s">
        <v>540</v>
      </c>
      <c r="E122" s="764"/>
      <c r="F122" s="1843">
        <f>SUM('Revenues 9-14'!C168:G168,'Revenues 9-14'!J168)</f>
        <v>750</v>
      </c>
      <c r="G122" s="763"/>
    </row>
    <row r="123" spans="1:7" x14ac:dyDescent="0.2">
      <c r="A123" s="760" t="s">
        <v>456</v>
      </c>
      <c r="B123" s="760" t="s">
        <v>1928</v>
      </c>
      <c r="C123" s="765">
        <f>'Revenues 9-14'!B177</f>
        <v>4045</v>
      </c>
      <c r="D123" s="762" t="str">
        <f>'Revenues 9-14'!A177 &amp; " (Subtract)"</f>
        <v>Head Start (Subtract)</v>
      </c>
      <c r="E123" s="739"/>
      <c r="F123" s="184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1930</v>
      </c>
      <c r="C125" s="765">
        <v>4100</v>
      </c>
      <c r="D125" s="766" t="str">
        <f>'Revenues 9-14'!A188</f>
        <v>Total Title V</v>
      </c>
      <c r="E125" s="739"/>
      <c r="F125" s="184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43">
        <f>SUM('Revenues 9-14'!C198,'Revenues 9-14'!G198)</f>
        <v>31302</v>
      </c>
      <c r="G126" s="763"/>
    </row>
    <row r="127" spans="1:7" x14ac:dyDescent="0.2">
      <c r="A127" s="760" t="s">
        <v>663</v>
      </c>
      <c r="B127" s="760" t="s">
        <v>1932</v>
      </c>
      <c r="C127" s="765">
        <v>4300</v>
      </c>
      <c r="D127" s="766" t="str">
        <f>'Revenues 9-14'!A204</f>
        <v>Total Title I</v>
      </c>
      <c r="E127" s="739"/>
      <c r="F127" s="1843">
        <f>SUM('Revenues 9-14'!C204,'Revenues 9-14'!D204,'Revenues 9-14'!F204,'Revenues 9-14'!G204)</f>
        <v>69996</v>
      </c>
      <c r="G127" s="763"/>
    </row>
    <row r="128" spans="1:7" x14ac:dyDescent="0.2">
      <c r="A128" s="760" t="s">
        <v>663</v>
      </c>
      <c r="B128" s="760" t="s">
        <v>1933</v>
      </c>
      <c r="C128" s="765">
        <v>4400</v>
      </c>
      <c r="D128" s="766" t="str">
        <f>'Revenues 9-14'!A209</f>
        <v>Total Title IV</v>
      </c>
      <c r="E128" s="739"/>
      <c r="F128" s="1843">
        <f>SUM('Revenues 9-14'!C209,'Revenues 9-14'!D209,'Revenues 9-14'!F209,'Revenues 9-14'!G209)</f>
        <v>9217</v>
      </c>
      <c r="G128" s="763"/>
    </row>
    <row r="129" spans="1:7" x14ac:dyDescent="0.2">
      <c r="A129" s="760" t="s">
        <v>663</v>
      </c>
      <c r="B129" s="760" t="s">
        <v>1934</v>
      </c>
      <c r="C129" s="765">
        <f>'Revenues 9-14'!B213</f>
        <v>4620</v>
      </c>
      <c r="D129" s="766" t="str">
        <f>'Revenues 9-14'!A213</f>
        <v>Fed - Spec Education - IDEA - Flow Through</v>
      </c>
      <c r="E129" s="739"/>
      <c r="F129" s="1843">
        <f>SUM('Revenues 9-14'!C213:D213,'Revenues 9-14'!F213:G213)</f>
        <v>1310</v>
      </c>
      <c r="G129" s="763"/>
    </row>
    <row r="130" spans="1:7" x14ac:dyDescent="0.2">
      <c r="A130" s="760" t="s">
        <v>663</v>
      </c>
      <c r="B130" s="760" t="s">
        <v>1935</v>
      </c>
      <c r="C130" s="765">
        <f>'Revenues 9-14'!B214</f>
        <v>4625</v>
      </c>
      <c r="D130" s="766" t="str">
        <f>'Revenues 9-14'!A214</f>
        <v>Fed - Spec Education - IDEA - Room &amp; Board</v>
      </c>
      <c r="E130" s="739"/>
      <c r="F130" s="1843">
        <f>SUM('Revenues 9-14'!C214,'Revenues 9-14'!D214,'Revenues 9-14'!F214,'Revenues 9-14'!G214)</f>
        <v>1244</v>
      </c>
      <c r="G130" s="763"/>
    </row>
    <row r="131" spans="1:7" x14ac:dyDescent="0.2">
      <c r="A131" s="760" t="s">
        <v>663</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1952</v>
      </c>
      <c r="C158" s="773" t="s">
        <v>836</v>
      </c>
      <c r="D158" s="774" t="s">
        <v>772</v>
      </c>
      <c r="E158" s="775"/>
      <c r="F158" s="1843">
        <f>SUM(F134:F157)</f>
        <v>0</v>
      </c>
      <c r="G158" s="738"/>
    </row>
    <row r="159" spans="1:7" s="703" customFormat="1" x14ac:dyDescent="0.2">
      <c r="A159" s="771" t="s">
        <v>456</v>
      </c>
      <c r="B159" s="772" t="s">
        <v>1953</v>
      </c>
      <c r="C159" s="773" t="s">
        <v>1413</v>
      </c>
      <c r="D159" s="774" t="s">
        <v>1414</v>
      </c>
      <c r="E159" s="775"/>
      <c r="F159" s="1843">
        <f>SUM('Revenues 9-14'!C253)</f>
        <v>0</v>
      </c>
      <c r="G159" s="738"/>
    </row>
    <row r="160" spans="1:7" s="703" customFormat="1" x14ac:dyDescent="0.2">
      <c r="A160" s="771" t="s">
        <v>497</v>
      </c>
      <c r="B160" s="772" t="s">
        <v>1954</v>
      </c>
      <c r="C160" s="773" t="s">
        <v>1452</v>
      </c>
      <c r="D160" s="774" t="s">
        <v>1453</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42">
        <f>SUM('Revenues 9-14'!C259,'Revenues 9-14'!D259,'Revenues 9-14'!F259,'Revenues 9-14'!G259)</f>
        <v>4127</v>
      </c>
      <c r="G165" s="763"/>
    </row>
    <row r="166" spans="1:7" x14ac:dyDescent="0.2">
      <c r="A166" s="760" t="s">
        <v>663</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1962</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1963</v>
      </c>
      <c r="C171" s="778">
        <f>'Revenues 9-14'!B265</f>
        <v>4998</v>
      </c>
      <c r="D171" s="779" t="str">
        <f>'Revenues 9-14'!A265</f>
        <v>Other Restricted Revenue from Federal Sources (Describe &amp; Itemize)</v>
      </c>
      <c r="E171" s="739"/>
      <c r="F171" s="1843">
        <f>SUM('Revenues 9-14'!C265:D265,'Revenues 9-14'!F265:G265)</f>
        <v>63338</v>
      </c>
      <c r="G171" s="760"/>
    </row>
    <row r="172" spans="1:7" x14ac:dyDescent="0.2">
      <c r="A172" s="1579" t="s">
        <v>5</v>
      </c>
      <c r="B172" s="1580" t="s">
        <v>1886</v>
      </c>
      <c r="C172" s="1581">
        <v>3100</v>
      </c>
      <c r="D172" s="1582" t="s">
        <v>1888</v>
      </c>
      <c r="E172" s="739"/>
      <c r="F172" s="1844">
        <v>56138</v>
      </c>
      <c r="G172" s="760"/>
    </row>
    <row r="173" spans="1:7" x14ac:dyDescent="0.2">
      <c r="A173" s="1579" t="s">
        <v>659</v>
      </c>
      <c r="B173" s="1580" t="s">
        <v>1886</v>
      </c>
      <c r="C173" s="1581">
        <v>3300</v>
      </c>
      <c r="D173" s="1582" t="s">
        <v>1889</v>
      </c>
      <c r="E173" s="739"/>
      <c r="F173" s="1844">
        <v>54</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952</v>
      </c>
      <c r="F175" s="1846">
        <f>SUM(F85:F133,F158:F173)</f>
        <v>541443</v>
      </c>
    </row>
    <row r="176" spans="1:7" ht="12" customHeight="1" x14ac:dyDescent="0.2">
      <c r="A176" s="1492"/>
      <c r="B176" s="1502"/>
      <c r="C176" s="1503"/>
      <c r="D176" s="1504" t="s">
        <v>2015</v>
      </c>
      <c r="E176" s="1505"/>
      <c r="F176" s="1843">
        <f>'PCTC-OEPP 27-28'!F78-F175</f>
        <v>3357134</v>
      </c>
    </row>
    <row r="177" spans="1:9" ht="12" customHeight="1" x14ac:dyDescent="0.2">
      <c r="A177" s="1492"/>
      <c r="B177" s="1502"/>
      <c r="C177" s="1503"/>
      <c r="D177" s="1504" t="s">
        <v>1795</v>
      </c>
      <c r="E177" s="1505"/>
      <c r="F177" s="1843">
        <f>'Cap Outlay Deprec 26'!I18</f>
        <v>231091.9</v>
      </c>
    </row>
    <row r="178" spans="1:9" ht="12" customHeight="1" x14ac:dyDescent="0.2">
      <c r="A178" s="1492"/>
      <c r="B178" s="1502"/>
      <c r="C178" s="1503"/>
      <c r="D178" s="1504" t="s">
        <v>2016</v>
      </c>
      <c r="E178" s="1505"/>
      <c r="F178" s="1843">
        <f>F176+F177</f>
        <v>3588225.9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274.39999999999998</v>
      </c>
      <c r="G179" s="763"/>
      <c r="I179" s="701"/>
    </row>
    <row r="180" spans="1:9" ht="12" customHeight="1" thickBot="1" x14ac:dyDescent="0.25">
      <c r="A180" s="1492"/>
      <c r="B180" s="1506"/>
      <c r="C180" s="1503"/>
      <c r="D180" s="1504" t="s">
        <v>2018</v>
      </c>
      <c r="E180" s="1505" t="s">
        <v>1531</v>
      </c>
      <c r="F180" s="1848">
        <f>F178/F179</f>
        <v>13076.625</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49" t="s">
        <v>1796</v>
      </c>
      <c r="B4" s="2450"/>
      <c r="C4" s="2450"/>
      <c r="D4" s="2450"/>
      <c r="E4" s="2450"/>
      <c r="F4" s="2451"/>
    </row>
    <row r="5" spans="1:6" x14ac:dyDescent="0.25">
      <c r="A5" s="2452"/>
      <c r="B5" s="2453"/>
      <c r="C5" s="2453"/>
      <c r="D5" s="2453"/>
      <c r="E5" s="2453"/>
      <c r="F5" s="2454"/>
    </row>
    <row r="6" spans="1:6" ht="18.75" x14ac:dyDescent="0.25">
      <c r="A6" s="1930" t="s">
        <v>1797</v>
      </c>
      <c r="B6" s="1931"/>
      <c r="C6" s="1932"/>
      <c r="D6" s="1932"/>
      <c r="E6" s="1932"/>
      <c r="F6" s="1933"/>
    </row>
    <row r="7" spans="1:6" ht="47.25" customHeight="1" x14ac:dyDescent="0.25">
      <c r="A7" s="2455" t="s">
        <v>1986</v>
      </c>
      <c r="B7" s="2456"/>
      <c r="C7" s="2456"/>
      <c r="D7" s="2456"/>
      <c r="E7" s="2456"/>
      <c r="F7" s="2457"/>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58" t="s">
        <v>1982</v>
      </c>
      <c r="B10" s="2459"/>
      <c r="C10" s="2459"/>
      <c r="D10" s="2459"/>
      <c r="E10" s="2459"/>
      <c r="F10" s="2460"/>
    </row>
    <row r="11" spans="1:6" ht="33" customHeight="1" x14ac:dyDescent="0.25">
      <c r="A11" s="2455" t="s">
        <v>1987</v>
      </c>
      <c r="B11" s="2456"/>
      <c r="C11" s="2456"/>
      <c r="D11" s="2456"/>
      <c r="E11" s="2456"/>
      <c r="F11" s="2457"/>
    </row>
    <row r="12" spans="1:6" ht="15" customHeight="1" x14ac:dyDescent="0.25">
      <c r="A12" s="1936" t="s">
        <v>1983</v>
      </c>
      <c r="B12" s="1937"/>
      <c r="C12" s="1938"/>
      <c r="D12" s="1938"/>
      <c r="E12" s="1938"/>
      <c r="F12" s="1939"/>
    </row>
    <row r="13" spans="1:6" ht="17.25" customHeight="1" x14ac:dyDescent="0.25">
      <c r="A13" s="2455" t="s">
        <v>1984</v>
      </c>
      <c r="B13" s="2456"/>
      <c r="C13" s="2456"/>
      <c r="D13" s="2456"/>
      <c r="E13" s="2456"/>
      <c r="F13" s="2457"/>
    </row>
    <row r="14" spans="1:6" ht="15" customHeight="1" x14ac:dyDescent="0.25">
      <c r="A14" s="1936" t="s">
        <v>1801</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2107" t="s">
        <v>2117</v>
      </c>
      <c r="B18" s="1971">
        <v>102560300</v>
      </c>
      <c r="C18" s="2108" t="s">
        <v>2118</v>
      </c>
      <c r="D18" s="1949">
        <v>54021</v>
      </c>
      <c r="E18" s="1969" t="str">
        <f t="shared" ref="E18:E81" si="0">IF(D18&lt;25000,D18,"25,000")</f>
        <v>25,000</v>
      </c>
      <c r="F18" s="1969">
        <f t="shared" ref="F18:F81" si="1">IF(D18&gt;=25000,(D18-E18),"0")</f>
        <v>29021</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54021</v>
      </c>
      <c r="E142" s="1956">
        <f>SUM(E18:E141)</f>
        <v>0</v>
      </c>
      <c r="F142" s="1957">
        <f>SUM(F18:F141)</f>
        <v>29021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1" t="s">
        <v>1663</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54020</v>
      </c>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v>7210</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2089867</v>
      </c>
      <c r="F19" s="1852"/>
      <c r="G19" s="1854">
        <f>'Expenditures 15-22'!K33-SUM('Expenditures 15-22'!G33,'Expenditures 15-22'!I33)+'Expenditures 15-22'!D229</f>
        <v>2089867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51100</v>
      </c>
      <c r="F21" s="1855"/>
      <c r="G21" s="1858">
        <f>'Expenditures 15-22'!K42-SUM('Expenditures 15-22'!G42,'Expenditures 15-22'!I42)+'Expenditures 15-22'!K120-SUM('Expenditures 15-22'!G120,'Expenditures 15-22'!I120)+'Expenditures 15-22'!K180-SUM('Expenditures 15-22'!G180,'Expenditures 15-22'!I180)+'Expenditures 15-22'!D238</f>
        <v>51100</v>
      </c>
      <c r="H21" s="817"/>
      <c r="I21" s="157"/>
    </row>
    <row r="22" spans="1:9" s="542" customFormat="1" ht="12" customHeight="1" x14ac:dyDescent="0.2">
      <c r="A22" s="824" t="s">
        <v>560</v>
      </c>
      <c r="B22" s="825"/>
      <c r="C22" s="823">
        <v>2200</v>
      </c>
      <c r="D22" s="1855"/>
      <c r="E22" s="1857">
        <f>'Expenditures 15-22'!K47-SUM('Expenditures 15-22'!G47,'Expenditures 15-22'!I47)+'Expenditures 15-22'!D243</f>
        <v>186746</v>
      </c>
      <c r="F22" s="1855"/>
      <c r="G22" s="1858">
        <f>'Expenditures 15-22'!K47-SUM('Expenditures 15-22'!G47,'Expenditures 15-22'!I47)+'Expenditures 15-22'!D243</f>
        <v>186746</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426294</v>
      </c>
      <c r="F23" s="1855"/>
      <c r="G23" s="1857">
        <f>'Expenditures 15-22'!K53-SUM('Expenditures 15-22'!G53,'Expenditures 15-22'!I53)+'Expenditures 15-22'!D257+'Expenditures 15-22'!K330-SUM('Expenditures 15-22'!G330,'Expenditures 15-22'!I330)</f>
        <v>426294</v>
      </c>
      <c r="H23" s="817"/>
      <c r="I23" s="157"/>
    </row>
    <row r="24" spans="1:9" s="542" customFormat="1" ht="12" customHeight="1" x14ac:dyDescent="0.2">
      <c r="A24" s="824" t="s">
        <v>562</v>
      </c>
      <c r="B24" s="825"/>
      <c r="C24" s="823">
        <v>2400</v>
      </c>
      <c r="D24" s="1855"/>
      <c r="E24" s="1857">
        <f>'Expenditures 15-22'!K57-SUM('Expenditures 15-22'!G57,'Expenditures 15-22'!I57)+'Expenditures 15-22'!D261</f>
        <v>198904</v>
      </c>
      <c r="F24" s="1855"/>
      <c r="G24" s="1858">
        <f>'Expenditures 15-22'!K57-SUM('Expenditures 15-22'!G57,'Expenditures 15-22'!I57)+'Expenditures 15-22'!D261</f>
        <v>198904</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23112</v>
      </c>
      <c r="E27" s="1857">
        <f>E8</f>
        <v>0</v>
      </c>
      <c r="F27" s="1857">
        <f>'Expenditures 15-22'!K60-SUM('Expenditures 15-22'!G60,'Expenditures 15-22'!I60)+'Expenditures 15-22'!D264-E8</f>
        <v>23112</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429416</v>
      </c>
      <c r="F28" s="1859">
        <f>'Expenditures 15-22'!K61-SUM('Expenditures 15-22'!G61,'Expenditures 15-22'!I61)+'Expenditures 15-22'!K124-SUM('Expenditures 15-22'!G124,'Expenditures 15-22'!I124)+'Expenditures 15-22'!D266-E9</f>
        <v>429416</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437518</v>
      </c>
      <c r="F29" s="1855"/>
      <c r="G29" s="1858">
        <f>'Expenditures 15-22'!K62-SUM('Expenditures 15-22'!G62,'Expenditures 15-22'!I62)+'Expenditures 15-22'!K125-SUM('Expenditures 15-22'!G125,'Expenditures 15-22'!I125)+'Expenditures 15-22'!K182-SUM('Expenditures 15-22'!G182,'Expenditures 15-22'!I182)+'Expenditures 15-22'!D267</f>
        <v>437518</v>
      </c>
      <c r="H29" s="815"/>
    </row>
    <row r="30" spans="1:9" ht="12" customHeight="1" x14ac:dyDescent="0.2">
      <c r="A30" s="824" t="s">
        <v>100</v>
      </c>
      <c r="B30" s="827"/>
      <c r="C30" s="823">
        <v>2560</v>
      </c>
      <c r="D30" s="1855"/>
      <c r="E30" s="1857">
        <f>'Expenditures 15-22'!K63-SUM('Expenditures 15-22'!G63,'Expenditures 15-22'!I63)+'Expenditures 15-22'!D268-E10</f>
        <v>155</v>
      </c>
      <c r="F30" s="1855"/>
      <c r="G30" s="1857">
        <f>'Expenditures 15-22'!K63-SUM('Expenditures 15-22'!G63,'Expenditures 15-22'!I63)+'Expenditures 15-22'!D268-E10</f>
        <v>155</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-29021</v>
      </c>
      <c r="F40" s="1855"/>
      <c r="G40" s="1859">
        <f>-'Contracts Paid in CY 29'!F142</f>
        <v>-29021</v>
      </c>
    </row>
    <row r="41" spans="1:7" ht="12" customHeight="1" x14ac:dyDescent="0.2">
      <c r="A41" s="828" t="s">
        <v>155</v>
      </c>
      <c r="B41" s="829"/>
      <c r="C41" s="830"/>
      <c r="D41" s="1859">
        <f>SUM(D19:D39)</f>
        <v>23112</v>
      </c>
      <c r="E41" s="1859">
        <f>SUM(E19:E40)</f>
        <v>3790979</v>
      </c>
      <c r="F41" s="1859">
        <f>SUM(F19:F39)</f>
        <v>452528</v>
      </c>
      <c r="G41" s="1859">
        <f>SUM(G19:G40)</f>
        <v>3361563</v>
      </c>
    </row>
    <row r="42" spans="1:7" x14ac:dyDescent="0.2">
      <c r="A42" s="817"/>
      <c r="B42" s="157"/>
      <c r="C42" s="831"/>
      <c r="D42" s="2464" t="s">
        <v>519</v>
      </c>
      <c r="E42" s="2465"/>
      <c r="F42" s="832" t="s">
        <v>520</v>
      </c>
      <c r="G42" s="833"/>
    </row>
    <row r="43" spans="1:7" ht="12" customHeight="1" x14ac:dyDescent="0.2">
      <c r="A43" s="817"/>
      <c r="B43" s="157"/>
      <c r="C43" s="831"/>
      <c r="D43" s="1507" t="s">
        <v>470</v>
      </c>
      <c r="E43" s="1860">
        <f>D41</f>
        <v>23112</v>
      </c>
      <c r="F43" s="1507" t="s">
        <v>470</v>
      </c>
      <c r="G43" s="1860">
        <f>F41</f>
        <v>452528</v>
      </c>
    </row>
    <row r="44" spans="1:7" ht="12" customHeight="1" x14ac:dyDescent="0.2">
      <c r="A44" s="817"/>
      <c r="B44" s="157"/>
      <c r="C44" s="831"/>
      <c r="D44" s="1507" t="s">
        <v>471</v>
      </c>
      <c r="E44" s="1860">
        <f>E41</f>
        <v>3790979</v>
      </c>
      <c r="F44" s="1507" t="s">
        <v>471</v>
      </c>
      <c r="G44" s="1860">
        <f>G41</f>
        <v>3361563</v>
      </c>
    </row>
    <row r="45" spans="1:7" ht="12" customHeight="1" x14ac:dyDescent="0.2">
      <c r="A45" s="817"/>
      <c r="B45" s="157"/>
      <c r="C45" s="157"/>
      <c r="D45" s="1508" t="s">
        <v>999</v>
      </c>
      <c r="E45" s="1861">
        <f>(E43/E44)</f>
        <v>6.0965782189772088E-3</v>
      </c>
      <c r="F45" s="1508" t="s">
        <v>999</v>
      </c>
      <c r="G45" s="1861">
        <f>(G43/G44)</f>
        <v>0.13461833081813429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1365</v>
      </c>
      <c r="B1" s="2472"/>
      <c r="C1" s="2472"/>
      <c r="D1" s="2472"/>
      <c r="E1" s="2472"/>
      <c r="F1" s="2472"/>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1532</v>
      </c>
      <c r="B5" s="2474"/>
      <c r="C5" s="2475"/>
      <c r="D5" s="2475"/>
      <c r="E5" s="2475"/>
      <c r="F5" s="2475"/>
      <c r="G5" s="1556"/>
      <c r="L5" s="1556"/>
      <c r="M5" s="1913"/>
      <c r="N5" s="1913"/>
      <c r="O5" s="1913"/>
    </row>
    <row r="6" spans="1:15" ht="12" customHeight="1" x14ac:dyDescent="0.25">
      <c r="A6" s="1529"/>
      <c r="B6" s="1530"/>
      <c r="C6" s="2476" t="str">
        <f>COVER!A17</f>
        <v xml:space="preserve"> Elwood CCSD 203</v>
      </c>
      <c r="D6" s="2476"/>
      <c r="E6" s="2476"/>
      <c r="F6" s="1531"/>
      <c r="G6" s="1556"/>
      <c r="L6" s="1556"/>
      <c r="M6" s="1913"/>
      <c r="N6" s="1913"/>
      <c r="O6" s="1913"/>
    </row>
    <row r="7" spans="1:15" ht="11.25" customHeight="1" thickBot="1" x14ac:dyDescent="0.3">
      <c r="A7" s="1529"/>
      <c r="B7" s="1530"/>
      <c r="C7" s="2477">
        <f>COVER!A13</f>
        <v>56099203004</v>
      </c>
      <c r="D7" s="2477"/>
      <c r="E7" s="2477"/>
      <c r="F7" s="1531"/>
      <c r="G7" s="1556"/>
      <c r="L7" s="1556"/>
      <c r="M7" s="1913"/>
      <c r="N7" s="1913"/>
      <c r="O7" s="1913"/>
    </row>
    <row r="8" spans="1:15" ht="25.5" customHeight="1" thickBot="1" x14ac:dyDescent="0.25">
      <c r="A8" s="1568" t="s">
        <v>1875</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2029</v>
      </c>
      <c r="D26" s="1544" t="s">
        <v>2029</v>
      </c>
      <c r="E26" s="1547" t="s">
        <v>2029</v>
      </c>
      <c r="F26" s="1546" t="s">
        <v>2073</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5</v>
      </c>
      <c r="K34" s="1556">
        <f>SUM(H34:J34)</f>
        <v>15</v>
      </c>
      <c r="L34" s="1556"/>
      <c r="M34" s="1913"/>
      <c r="N34" s="1913"/>
      <c r="O34" s="1913"/>
    </row>
    <row r="35" spans="1:15" ht="12" customHeight="1" x14ac:dyDescent="0.2">
      <c r="A35" s="1549" t="s">
        <v>1378</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1377</v>
      </c>
      <c r="B40" s="1553"/>
      <c r="C40" s="2486"/>
      <c r="D40" s="2486"/>
      <c r="E40" s="2486"/>
      <c r="F40" s="2487"/>
      <c r="H40" s="1557"/>
      <c r="I40" s="1557"/>
      <c r="J40" s="1557"/>
      <c r="K40" s="1557"/>
    </row>
    <row r="41" spans="1:15" s="1548" customFormat="1" ht="12" customHeight="1" x14ac:dyDescent="0.25">
      <c r="A41" s="2488"/>
      <c r="B41" s="2489"/>
      <c r="C41" s="2489"/>
      <c r="D41" s="2489"/>
      <c r="E41" s="2489"/>
      <c r="F41" s="2490"/>
      <c r="H41" s="1557"/>
      <c r="I41" s="1557"/>
      <c r="J41" s="1557"/>
      <c r="K41" s="1557"/>
    </row>
    <row r="42" spans="1:15" s="1548" customFormat="1" ht="12" customHeight="1" x14ac:dyDescent="0.25">
      <c r="A42" s="2488"/>
      <c r="B42" s="2489"/>
      <c r="C42" s="2489"/>
      <c r="D42" s="2489"/>
      <c r="E42" s="2489"/>
      <c r="F42" s="2490"/>
      <c r="H42" s="1557"/>
      <c r="I42" s="1557"/>
      <c r="J42" s="1557"/>
      <c r="K42" s="1557"/>
    </row>
    <row r="43" spans="1:15" s="1548" customFormat="1" ht="15" x14ac:dyDescent="0.25">
      <c r="A43" s="2480"/>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6" t="str">
        <f>COVER!A17</f>
        <v xml:space="preserve"> Elwood CCSD 203</v>
      </c>
      <c r="J6" s="2497"/>
      <c r="K6" s="2498"/>
      <c r="R6" s="1427"/>
    </row>
    <row r="7" spans="1:18" x14ac:dyDescent="0.2">
      <c r="A7" s="2499" t="s">
        <v>864</v>
      </c>
      <c r="B7" s="2500"/>
      <c r="C7" s="2500"/>
      <c r="D7" s="2500"/>
      <c r="E7" s="2501"/>
      <c r="F7" s="847"/>
      <c r="G7" s="839"/>
      <c r="H7" s="846" t="s">
        <v>369</v>
      </c>
      <c r="I7" s="2502">
        <f>COVER!A13</f>
        <v>56099203004</v>
      </c>
      <c r="J7" s="2502"/>
      <c r="K7" s="250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3" t="s">
        <v>478</v>
      </c>
      <c r="B11" s="2504"/>
      <c r="C11" s="2505"/>
      <c r="D11" s="861" t="s">
        <v>866</v>
      </c>
      <c r="E11" s="861" t="s">
        <v>64</v>
      </c>
      <c r="F11" s="861" t="s">
        <v>6</v>
      </c>
      <c r="G11" s="862" t="s">
        <v>155</v>
      </c>
      <c r="H11" s="861" t="s">
        <v>64</v>
      </c>
      <c r="I11" s="861" t="s">
        <v>6</v>
      </c>
      <c r="J11" s="1980" t="s">
        <v>2002</v>
      </c>
      <c r="K11" s="862" t="s">
        <v>155</v>
      </c>
    </row>
    <row r="12" spans="1:18" ht="15" customHeight="1" x14ac:dyDescent="0.2">
      <c r="A12" s="863">
        <v>1</v>
      </c>
      <c r="B12" s="864" t="s">
        <v>813</v>
      </c>
      <c r="C12" s="865"/>
      <c r="D12" s="866">
        <v>2320</v>
      </c>
      <c r="E12" s="1863">
        <f>'Expenditures 15-22'!K50</f>
        <v>243307</v>
      </c>
      <c r="F12" s="1864"/>
      <c r="G12" s="1863">
        <f t="shared" ref="G12:G18" si="0">SUM(E12:F12)</f>
        <v>243307</v>
      </c>
      <c r="H12" s="1865">
        <v>255663</v>
      </c>
      <c r="I12" s="1864"/>
      <c r="J12" s="1865"/>
      <c r="K12" s="1863">
        <f t="shared" ref="K12:K18" si="1">SUM(H12:J12)</f>
        <v>255663</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6" t="s">
        <v>7</v>
      </c>
      <c r="C18" s="2507"/>
      <c r="D18" s="250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243307</v>
      </c>
      <c r="F19" s="1868">
        <f t="shared" si="2"/>
        <v>0</v>
      </c>
      <c r="G19" s="1868">
        <f t="shared" si="2"/>
        <v>243307</v>
      </c>
      <c r="H19" s="1868">
        <f t="shared" si="2"/>
        <v>255663</v>
      </c>
      <c r="I19" s="1868">
        <f t="shared" si="2"/>
        <v>0</v>
      </c>
      <c r="J19" s="1868">
        <f t="shared" si="2"/>
        <v>0</v>
      </c>
      <c r="K19" s="1868">
        <f t="shared" si="2"/>
        <v>255663</v>
      </c>
    </row>
    <row r="20" spans="1:11" ht="13.5" thickTop="1" x14ac:dyDescent="0.2">
      <c r="A20" s="863">
        <v>9</v>
      </c>
      <c r="B20" s="2509" t="str">
        <f>"Percent Increase (Decrease) for FY"&amp;'AFR20'!E2+1&amp;" (Budgeted) over FY"&amp;'AFR20'!E2&amp;" (Actual)"</f>
        <v>Percent Increase (Decrease) for FY2021 (Budgeted) over FY2020 (Actual)</v>
      </c>
      <c r="C20" s="2509"/>
      <c r="D20" s="2510"/>
      <c r="E20" s="1869"/>
      <c r="F20" s="1869"/>
      <c r="G20" s="1869"/>
      <c r="H20" s="1869"/>
      <c r="I20" s="1869"/>
      <c r="J20" s="1978"/>
      <c r="K20" s="1870">
        <f>IF(AND(G19&gt;0,K19&gt;0),(((K19-G19)/G19)),"Enter Budget Data")</f>
        <v>5.0783577948846519E-2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5"/>
      <c r="D26" s="2515"/>
      <c r="E26" s="874"/>
      <c r="F26" s="2514"/>
      <c r="G26" s="2514"/>
    </row>
    <row r="27" spans="1:11" x14ac:dyDescent="0.2">
      <c r="B27" s="871"/>
      <c r="C27" s="875" t="s">
        <v>1026</v>
      </c>
      <c r="D27" s="876"/>
      <c r="E27" s="877"/>
      <c r="F27" s="2511" t="s">
        <v>1495</v>
      </c>
      <c r="G27" s="2511"/>
    </row>
    <row r="28" spans="1:11" ht="28.5" customHeight="1" x14ac:dyDescent="0.2">
      <c r="B28" s="871"/>
      <c r="C28" s="2513"/>
      <c r="D28" s="2513"/>
      <c r="E28" s="878"/>
      <c r="F28" s="2513"/>
      <c r="G28" s="2513"/>
    </row>
    <row r="29" spans="1:11" x14ac:dyDescent="0.2">
      <c r="B29" s="871"/>
      <c r="C29" s="879" t="s">
        <v>1547</v>
      </c>
      <c r="E29" s="880"/>
      <c r="F29" s="2512" t="s">
        <v>1496</v>
      </c>
      <c r="G29" s="251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4"/>
      <c r="E33" s="2494"/>
      <c r="F33" s="2494"/>
      <c r="G33" s="2494"/>
      <c r="H33" s="2494"/>
      <c r="I33" s="2494"/>
      <c r="J33" s="1976"/>
    </row>
    <row r="34" spans="1:11" ht="10.35" customHeight="1" x14ac:dyDescent="0.2">
      <c r="C34" s="2494"/>
      <c r="D34" s="2494"/>
      <c r="E34" s="2494"/>
      <c r="F34" s="2494"/>
      <c r="G34" s="2494"/>
      <c r="H34" s="2494"/>
      <c r="I34" s="2494"/>
      <c r="J34" s="1976"/>
    </row>
    <row r="35" spans="1:11" ht="7.5" customHeight="1" x14ac:dyDescent="0.2">
      <c r="C35" s="886"/>
    </row>
    <row r="36" spans="1:11" ht="13.5" customHeight="1" x14ac:dyDescent="0.2">
      <c r="B36" s="885"/>
      <c r="C36" s="24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4"/>
      <c r="E36" s="2494"/>
      <c r="F36" s="2494"/>
      <c r="G36" s="2494"/>
      <c r="H36" s="2494"/>
      <c r="I36" s="2494"/>
      <c r="J36" s="1976"/>
      <c r="K36" s="887"/>
    </row>
    <row r="37" spans="1:11" ht="22.5" customHeight="1" x14ac:dyDescent="0.2">
      <c r="C37" s="2494"/>
      <c r="D37" s="2494"/>
      <c r="E37" s="2494"/>
      <c r="F37" s="2494"/>
      <c r="G37" s="2494"/>
      <c r="H37" s="2494"/>
      <c r="I37" s="2494"/>
      <c r="J37" s="1976"/>
      <c r="K37" s="887"/>
    </row>
    <row r="38" spans="1:11" ht="7.5" customHeight="1" x14ac:dyDescent="0.2">
      <c r="C38" s="886"/>
      <c r="D38" s="888"/>
      <c r="E38" s="889"/>
      <c r="F38" s="890"/>
      <c r="G38" s="889"/>
    </row>
    <row r="39" spans="1:11" ht="13.5" customHeight="1" x14ac:dyDescent="0.2">
      <c r="B39" s="885"/>
      <c r="C39" s="2491" t="str">
        <f>"The district will amend their budget to become in compliance with the limitation."</f>
        <v>The district will amend their budget to become in compliance with the limitation.</v>
      </c>
      <c r="D39" s="2492"/>
      <c r="E39" s="2492"/>
      <c r="F39" s="2492"/>
      <c r="G39" s="2492"/>
      <c r="H39" s="2492"/>
      <c r="I39" s="249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6EAD9-BE4E-4A46-9E5B-6E4C68950A63}">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2003</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7" t="str">
        <f>COVER!A17</f>
        <v xml:space="preserve"> Elwood CCSD 203</v>
      </c>
      <c r="K6" s="2557"/>
      <c r="L6" s="2558"/>
      <c r="M6" s="899"/>
      <c r="N6" s="1997"/>
    </row>
    <row r="7" spans="1:14" x14ac:dyDescent="0.25">
      <c r="A7" s="2559" t="s">
        <v>864</v>
      </c>
      <c r="B7" s="2560"/>
      <c r="C7" s="2560"/>
      <c r="D7" s="2560"/>
      <c r="E7" s="2561"/>
      <c r="F7" s="2001"/>
      <c r="G7" s="899"/>
      <c r="H7" s="899"/>
      <c r="I7" s="2000" t="s">
        <v>369</v>
      </c>
      <c r="J7" s="2562">
        <f>COVER!A13</f>
        <v>56099203004</v>
      </c>
      <c r="K7" s="2562"/>
      <c r="L7" s="2562"/>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2034</v>
      </c>
      <c r="F9" s="2011"/>
      <c r="G9" s="2011"/>
      <c r="H9" s="2011"/>
      <c r="I9" s="2012" t="s">
        <v>2035</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3" t="s">
        <v>478</v>
      </c>
      <c r="B11" s="2564"/>
      <c r="C11" s="2565"/>
      <c r="D11" s="2019" t="s">
        <v>866</v>
      </c>
      <c r="E11" s="2019" t="s">
        <v>64</v>
      </c>
      <c r="F11" s="2019" t="s">
        <v>6</v>
      </c>
      <c r="G11" s="2020" t="s">
        <v>2036</v>
      </c>
      <c r="H11" s="2021" t="s">
        <v>155</v>
      </c>
      <c r="I11" s="2019" t="s">
        <v>64</v>
      </c>
      <c r="J11" s="2019" t="s">
        <v>6</v>
      </c>
      <c r="K11" s="2020" t="s">
        <v>2002</v>
      </c>
      <c r="L11" s="2021" t="s">
        <v>155</v>
      </c>
      <c r="M11" s="899"/>
      <c r="N11" s="1997"/>
    </row>
    <row r="12" spans="1:14" x14ac:dyDescent="0.25">
      <c r="A12" s="2022">
        <v>1</v>
      </c>
      <c r="B12" s="2023" t="s">
        <v>813</v>
      </c>
      <c r="C12" s="2024"/>
      <c r="D12" s="2025">
        <v>2320</v>
      </c>
      <c r="E12" s="2026">
        <f>'Expenditures 15-22'!K50</f>
        <v>243307</v>
      </c>
      <c r="F12" s="2027"/>
      <c r="G12" s="2028">
        <f>G68</f>
        <v>0</v>
      </c>
      <c r="H12" s="2029">
        <f t="shared" ref="H12:H18" si="0">SUM(E12:G12)</f>
        <v>243307</v>
      </c>
      <c r="I12" s="2030">
        <v>255663</v>
      </c>
      <c r="J12" s="2027"/>
      <c r="K12" s="2030"/>
      <c r="L12" s="2029">
        <f t="shared" ref="L12:L18" si="1">SUM(I12:K12)</f>
        <v>255663</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7" t="s">
        <v>7</v>
      </c>
      <c r="C18" s="2507"/>
      <c r="D18" s="2508"/>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243307</v>
      </c>
      <c r="F19" s="2035">
        <f t="shared" si="2"/>
        <v>0</v>
      </c>
      <c r="G19" s="2035">
        <f t="shared" ref="G19" si="3">SUM(G12:G17)-G18</f>
        <v>0</v>
      </c>
      <c r="H19" s="2035">
        <f t="shared" si="2"/>
        <v>243307</v>
      </c>
      <c r="I19" s="2035">
        <f t="shared" si="2"/>
        <v>255663</v>
      </c>
      <c r="J19" s="2035">
        <f t="shared" si="2"/>
        <v>0</v>
      </c>
      <c r="K19" s="2035">
        <f t="shared" si="2"/>
        <v>0</v>
      </c>
      <c r="L19" s="2035">
        <f t="shared" si="2"/>
        <v>255663</v>
      </c>
      <c r="M19" s="899"/>
      <c r="N19" s="1997"/>
    </row>
    <row r="20" spans="1:14" ht="15.75" thickTop="1" x14ac:dyDescent="0.25">
      <c r="A20" s="2022">
        <v>9</v>
      </c>
      <c r="B20" s="2555" t="s">
        <v>2037</v>
      </c>
      <c r="C20" s="2555"/>
      <c r="D20" s="2556"/>
      <c r="E20" s="2036"/>
      <c r="F20" s="2036"/>
      <c r="G20" s="2036"/>
      <c r="H20" s="2036"/>
      <c r="I20" s="2036"/>
      <c r="J20" s="2036"/>
      <c r="K20" s="2036"/>
      <c r="L20" s="2037">
        <f>IF(AND(H19&gt;0,L19&gt;0),(((L19-H19)/H19)),"Enter Budget Data")</f>
        <v>5.0783577948846519E-2</v>
      </c>
      <c r="M20" s="899"/>
      <c r="N20" s="1997"/>
    </row>
    <row r="21" spans="1:14" x14ac:dyDescent="0.25">
      <c r="A21" s="2038" t="s">
        <v>194</v>
      </c>
      <c r="B21" s="294" t="s">
        <v>2038</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2039</v>
      </c>
      <c r="B24" s="2046"/>
      <c r="C24" s="2047"/>
      <c r="D24" s="2047"/>
      <c r="E24" s="2047"/>
      <c r="F24" s="2047"/>
      <c r="G24" s="2047"/>
      <c r="H24" s="2047"/>
      <c r="I24" s="2047"/>
      <c r="J24" s="2047"/>
      <c r="K24" s="2047"/>
      <c r="L24" s="899"/>
      <c r="M24" s="899"/>
      <c r="N24" s="1997"/>
    </row>
    <row r="25" spans="1:14" x14ac:dyDescent="0.25">
      <c r="A25" s="2045" t="s">
        <v>2040</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42"/>
      <c r="D27" s="2542"/>
      <c r="E27" s="2049"/>
      <c r="F27" s="2514"/>
      <c r="G27" s="2514"/>
      <c r="H27" s="2514"/>
      <c r="I27" s="899"/>
      <c r="J27" s="899"/>
      <c r="K27" s="899"/>
      <c r="L27" s="899"/>
      <c r="M27" s="899"/>
      <c r="N27" s="1997"/>
    </row>
    <row r="28" spans="1:14" x14ac:dyDescent="0.25">
      <c r="A28" s="1995"/>
      <c r="B28" s="2043"/>
      <c r="C28" s="2050" t="s">
        <v>1026</v>
      </c>
      <c r="D28" s="2051"/>
      <c r="E28" s="2052"/>
      <c r="F28" s="2543" t="s">
        <v>1495</v>
      </c>
      <c r="G28" s="2543"/>
      <c r="H28" s="2543"/>
      <c r="I28" s="899"/>
      <c r="J28" s="899"/>
      <c r="K28" s="899"/>
      <c r="L28" s="899"/>
      <c r="M28" s="899"/>
      <c r="N28" s="1997"/>
    </row>
    <row r="29" spans="1:14" x14ac:dyDescent="0.25">
      <c r="A29" s="1995"/>
      <c r="B29" s="2043"/>
      <c r="C29" s="2544"/>
      <c r="D29" s="2544"/>
      <c r="E29" s="898"/>
      <c r="F29" s="2544"/>
      <c r="G29" s="2544"/>
      <c r="H29" s="2544"/>
      <c r="I29" s="899"/>
      <c r="J29" s="899"/>
      <c r="K29" s="899"/>
      <c r="L29" s="899"/>
      <c r="M29" s="899"/>
      <c r="N29" s="1997"/>
    </row>
    <row r="30" spans="1:14" x14ac:dyDescent="0.25">
      <c r="A30" s="1995"/>
      <c r="B30" s="2043"/>
      <c r="C30" s="2053" t="s">
        <v>1547</v>
      </c>
      <c r="D30" s="899"/>
      <c r="E30" s="2054"/>
      <c r="F30" s="2545" t="s">
        <v>1496</v>
      </c>
      <c r="G30" s="2545"/>
      <c r="H30" s="2545"/>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6" t="s">
        <v>2041</v>
      </c>
      <c r="D34" s="2546"/>
      <c r="E34" s="2546"/>
      <c r="F34" s="2546"/>
      <c r="G34" s="2546"/>
      <c r="H34" s="2546"/>
      <c r="I34" s="2546"/>
      <c r="J34" s="2546"/>
      <c r="K34" s="2059"/>
      <c r="L34" s="899"/>
      <c r="M34" s="899"/>
      <c r="N34" s="1997"/>
    </row>
    <row r="35" spans="1:14" x14ac:dyDescent="0.25">
      <c r="A35" s="1995"/>
      <c r="B35" s="899"/>
      <c r="C35" s="2546"/>
      <c r="D35" s="2546"/>
      <c r="E35" s="2546"/>
      <c r="F35" s="2546"/>
      <c r="G35" s="2546"/>
      <c r="H35" s="2546"/>
      <c r="I35" s="2546"/>
      <c r="J35" s="2546"/>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6" t="s">
        <v>2042</v>
      </c>
      <c r="D37" s="2546"/>
      <c r="E37" s="2546"/>
      <c r="F37" s="2546"/>
      <c r="G37" s="2546"/>
      <c r="H37" s="2546"/>
      <c r="I37" s="2546"/>
      <c r="J37" s="2546"/>
      <c r="K37" s="2059"/>
      <c r="L37" s="887"/>
      <c r="M37" s="899"/>
      <c r="N37" s="1997"/>
    </row>
    <row r="38" spans="1:14" x14ac:dyDescent="0.25">
      <c r="A38" s="1995"/>
      <c r="B38" s="899"/>
      <c r="C38" s="2546"/>
      <c r="D38" s="2546"/>
      <c r="E38" s="2546"/>
      <c r="F38" s="2546"/>
      <c r="G38" s="2546"/>
      <c r="H38" s="2546"/>
      <c r="I38" s="2546"/>
      <c r="J38" s="2546"/>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7" t="s">
        <v>2043</v>
      </c>
      <c r="D40" s="2548"/>
      <c r="E40" s="2548"/>
      <c r="F40" s="2548"/>
      <c r="G40" s="2548"/>
      <c r="H40" s="2548"/>
      <c r="I40" s="2548"/>
      <c r="J40" s="2548"/>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9" t="s">
        <v>2044</v>
      </c>
      <c r="B43" s="2550"/>
      <c r="C43" s="2550"/>
      <c r="D43" s="2550"/>
      <c r="E43" s="2550"/>
      <c r="F43" s="2550"/>
      <c r="G43" s="2550"/>
      <c r="H43" s="2550"/>
      <c r="I43" s="2550"/>
      <c r="J43" s="2550"/>
      <c r="K43" s="2550"/>
      <c r="L43" s="2550"/>
      <c r="M43" s="2550"/>
      <c r="N43" s="2551"/>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2045</v>
      </c>
      <c r="B45" s="2068"/>
      <c r="C45" s="2068"/>
      <c r="D45" s="2068"/>
      <c r="E45" s="2068"/>
      <c r="F45" s="2068"/>
      <c r="G45" s="2068"/>
      <c r="H45" s="2068"/>
      <c r="I45" s="2068"/>
      <c r="J45" s="2068"/>
      <c r="K45" s="2068"/>
      <c r="L45" s="2068"/>
      <c r="M45" s="2068"/>
      <c r="N45" s="2069"/>
    </row>
    <row r="46" spans="1:14" x14ac:dyDescent="0.25">
      <c r="A46" s="2552" t="s">
        <v>2046</v>
      </c>
      <c r="B46" s="2553"/>
      <c r="C46" s="2553"/>
      <c r="D46" s="2553"/>
      <c r="E46" s="2553"/>
      <c r="F46" s="2553"/>
      <c r="G46" s="2553"/>
      <c r="H46" s="2553"/>
      <c r="I46" s="2553"/>
      <c r="J46" s="2553"/>
      <c r="K46" s="2553"/>
      <c r="L46" s="2553"/>
      <c r="M46" s="2553"/>
      <c r="N46" s="2554"/>
    </row>
    <row r="47" spans="1:14" x14ac:dyDescent="0.25">
      <c r="A47" s="2552"/>
      <c r="B47" s="2553"/>
      <c r="C47" s="2553"/>
      <c r="D47" s="2553"/>
      <c r="E47" s="2553"/>
      <c r="F47" s="2553"/>
      <c r="G47" s="2553"/>
      <c r="H47" s="2553"/>
      <c r="I47" s="2553"/>
      <c r="J47" s="2553"/>
      <c r="K47" s="2553"/>
      <c r="L47" s="2553"/>
      <c r="M47" s="2553"/>
      <c r="N47" s="2554"/>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2047</v>
      </c>
      <c r="B49" s="2074"/>
      <c r="C49" s="2074"/>
      <c r="D49" s="2075"/>
      <c r="E49" s="2075"/>
      <c r="F49" s="2075"/>
      <c r="G49" s="2075"/>
      <c r="H49" s="2075"/>
      <c r="I49" s="2075"/>
      <c r="J49" s="2075"/>
      <c r="K49" s="2075"/>
      <c r="L49" s="2075"/>
      <c r="M49" s="2075"/>
      <c r="N49" s="2076"/>
    </row>
    <row r="50" spans="1:14" x14ac:dyDescent="0.25">
      <c r="A50" s="2073" t="s">
        <v>2048</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40" t="str">
        <f>J6</f>
        <v xml:space="preserve"> Elwood CCSD 203</v>
      </c>
      <c r="M52" s="2540"/>
      <c r="N52" s="2541"/>
    </row>
    <row r="53" spans="1:14" x14ac:dyDescent="0.25">
      <c r="A53" s="2067"/>
      <c r="B53" s="2068"/>
      <c r="C53" s="2068"/>
      <c r="D53" s="2068"/>
      <c r="E53" s="2068"/>
      <c r="F53" s="2068"/>
      <c r="G53" s="2068"/>
      <c r="H53" s="2068"/>
      <c r="I53" s="2068"/>
      <c r="J53" s="2068"/>
      <c r="K53" s="2000" t="s">
        <v>369</v>
      </c>
      <c r="L53" s="2527">
        <f>J7</f>
        <v>56099203004</v>
      </c>
      <c r="M53" s="2527"/>
      <c r="N53" s="2528"/>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9"/>
      <c r="B55" s="2530"/>
      <c r="C55" s="2530"/>
      <c r="D55" s="2077"/>
      <c r="E55" s="2077"/>
      <c r="F55" s="2077"/>
      <c r="G55" s="2531" t="s">
        <v>2049</v>
      </c>
      <c r="H55" s="2531"/>
      <c r="I55" s="2531"/>
      <c r="J55" s="2531"/>
      <c r="K55" s="2531"/>
      <c r="L55" s="2531"/>
      <c r="M55" s="2531"/>
      <c r="N55" s="2532"/>
    </row>
    <row r="56" spans="1:14" ht="64.5" x14ac:dyDescent="0.25">
      <c r="A56" s="2533" t="s">
        <v>2050</v>
      </c>
      <c r="B56" s="2534"/>
      <c r="C56" s="2535"/>
      <c r="D56" s="2078" t="s">
        <v>2051</v>
      </c>
      <c r="E56" s="2078" t="s">
        <v>2052</v>
      </c>
      <c r="F56" s="2079"/>
      <c r="G56" s="2078" t="s">
        <v>2053</v>
      </c>
      <c r="H56" s="2078" t="s">
        <v>2054</v>
      </c>
      <c r="I56" s="2078" t="s">
        <v>2055</v>
      </c>
      <c r="J56" s="2078" t="s">
        <v>2056</v>
      </c>
      <c r="K56" s="2078" t="s">
        <v>2057</v>
      </c>
      <c r="L56" s="2078" t="s">
        <v>2058</v>
      </c>
      <c r="M56" s="2078" t="s">
        <v>2059</v>
      </c>
      <c r="N56" s="2080" t="s">
        <v>2060</v>
      </c>
    </row>
    <row r="57" spans="1:14" ht="24" customHeight="1" x14ac:dyDescent="0.25">
      <c r="A57" s="2536" t="s">
        <v>296</v>
      </c>
      <c r="B57" s="2537"/>
      <c r="C57" s="2537"/>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8" t="s">
        <v>2061</v>
      </c>
      <c r="B58" s="2539"/>
      <c r="C58" s="2539"/>
      <c r="D58" s="2087">
        <v>2362</v>
      </c>
      <c r="E58" s="2082">
        <f>'Expenditures 15-22'!K320</f>
        <v>56328</v>
      </c>
      <c r="F58" s="2083"/>
      <c r="G58" s="2088"/>
      <c r="H58" s="2089"/>
      <c r="I58" s="2089"/>
      <c r="J58" s="2089"/>
      <c r="K58" s="2089"/>
      <c r="L58" s="2089"/>
      <c r="M58" s="2089">
        <v>56328</v>
      </c>
      <c r="N58" s="2086">
        <f>IF((SUM(G58:M58))=E58,SUM(G58:M58),"Column N does not agree with Column E")</f>
        <v>56328</v>
      </c>
    </row>
    <row r="59" spans="1:14" ht="24.75" customHeight="1" x14ac:dyDescent="0.25">
      <c r="A59" s="2520" t="s">
        <v>297</v>
      </c>
      <c r="B59" s="2521"/>
      <c r="C59" s="2521"/>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20" t="s">
        <v>236</v>
      </c>
      <c r="B60" s="2521"/>
      <c r="C60" s="2521"/>
      <c r="D60" s="2087">
        <v>2364</v>
      </c>
      <c r="E60" s="2082">
        <f>'Expenditures 15-22'!K322</f>
        <v>0</v>
      </c>
      <c r="F60" s="2083"/>
      <c r="G60" s="2088"/>
      <c r="H60" s="2089"/>
      <c r="I60" s="2089"/>
      <c r="J60" s="2089"/>
      <c r="K60" s="2089"/>
      <c r="L60" s="2089"/>
      <c r="M60" s="2089"/>
      <c r="N60" s="2086">
        <f t="shared" si="4"/>
        <v>0</v>
      </c>
    </row>
    <row r="61" spans="1:14" ht="24.75" customHeight="1" x14ac:dyDescent="0.25">
      <c r="A61" s="2520" t="s">
        <v>697</v>
      </c>
      <c r="B61" s="2521"/>
      <c r="C61" s="2521"/>
      <c r="D61" s="2087">
        <v>2365</v>
      </c>
      <c r="E61" s="2082">
        <f>'Expenditures 15-22'!K323</f>
        <v>1349</v>
      </c>
      <c r="F61" s="2083"/>
      <c r="G61" s="2088"/>
      <c r="H61" s="2089"/>
      <c r="I61" s="2089"/>
      <c r="J61" s="2089"/>
      <c r="K61" s="2089"/>
      <c r="L61" s="2089"/>
      <c r="M61" s="2089">
        <v>1349</v>
      </c>
      <c r="N61" s="2086">
        <f t="shared" si="4"/>
        <v>1349</v>
      </c>
    </row>
    <row r="62" spans="1:14" ht="24.75" customHeight="1" x14ac:dyDescent="0.25">
      <c r="A62" s="2520" t="s">
        <v>237</v>
      </c>
      <c r="B62" s="2521"/>
      <c r="C62" s="2521"/>
      <c r="D62" s="2087">
        <v>2366</v>
      </c>
      <c r="E62" s="2082">
        <f>'Expenditures 15-22'!K324</f>
        <v>0</v>
      </c>
      <c r="F62" s="2083"/>
      <c r="G62" s="2088"/>
      <c r="H62" s="2089"/>
      <c r="I62" s="2089"/>
      <c r="J62" s="2089"/>
      <c r="K62" s="2089"/>
      <c r="L62" s="2089"/>
      <c r="M62" s="2089"/>
      <c r="N62" s="2086">
        <f t="shared" si="4"/>
        <v>0</v>
      </c>
    </row>
    <row r="63" spans="1:14" ht="24.75" customHeight="1" x14ac:dyDescent="0.25">
      <c r="A63" s="2538" t="s">
        <v>1022</v>
      </c>
      <c r="B63" s="2539"/>
      <c r="C63" s="2539"/>
      <c r="D63" s="2087">
        <v>2367</v>
      </c>
      <c r="E63" s="2082">
        <f>'Expenditures 15-22'!K325</f>
        <v>0</v>
      </c>
      <c r="F63" s="2083"/>
      <c r="G63" s="2088"/>
      <c r="H63" s="2089"/>
      <c r="I63" s="2089"/>
      <c r="J63" s="2089"/>
      <c r="K63" s="2089"/>
      <c r="L63" s="2089"/>
      <c r="M63" s="2089"/>
      <c r="N63" s="2086">
        <f t="shared" si="4"/>
        <v>0</v>
      </c>
    </row>
    <row r="64" spans="1:14" ht="24.75" customHeight="1" x14ac:dyDescent="0.25">
      <c r="A64" s="2520" t="s">
        <v>1023</v>
      </c>
      <c r="B64" s="2521"/>
      <c r="C64" s="2521"/>
      <c r="D64" s="2087">
        <v>2368</v>
      </c>
      <c r="E64" s="2082">
        <f>'Expenditures 15-22'!K326</f>
        <v>0</v>
      </c>
      <c r="F64" s="2083"/>
      <c r="G64" s="2088"/>
      <c r="H64" s="2089"/>
      <c r="I64" s="2089"/>
      <c r="J64" s="2089"/>
      <c r="K64" s="2089"/>
      <c r="L64" s="2089"/>
      <c r="M64" s="2089"/>
      <c r="N64" s="2086">
        <f t="shared" si="4"/>
        <v>0</v>
      </c>
    </row>
    <row r="65" spans="1:14" ht="24" customHeight="1" x14ac:dyDescent="0.25">
      <c r="A65" s="2520" t="s">
        <v>965</v>
      </c>
      <c r="B65" s="2521"/>
      <c r="C65" s="2521"/>
      <c r="D65" s="2087">
        <v>2369</v>
      </c>
      <c r="E65" s="2082">
        <f>'Expenditures 15-22'!K327</f>
        <v>43988</v>
      </c>
      <c r="F65" s="2083"/>
      <c r="G65" s="2088"/>
      <c r="H65" s="2089"/>
      <c r="I65" s="2089"/>
      <c r="J65" s="2089"/>
      <c r="K65" s="2089"/>
      <c r="L65" s="2089"/>
      <c r="M65" s="2089">
        <v>43988</v>
      </c>
      <c r="N65" s="2086">
        <f t="shared" si="4"/>
        <v>43988</v>
      </c>
    </row>
    <row r="66" spans="1:14" ht="24.75" customHeight="1" x14ac:dyDescent="0.25">
      <c r="A66" s="2520" t="s">
        <v>469</v>
      </c>
      <c r="B66" s="2521"/>
      <c r="C66" s="2521"/>
      <c r="D66" s="2087">
        <v>2371</v>
      </c>
      <c r="E66" s="2082">
        <f>'Expenditures 15-22'!K328</f>
        <v>0</v>
      </c>
      <c r="F66" s="2083"/>
      <c r="G66" s="2088"/>
      <c r="H66" s="2089"/>
      <c r="I66" s="2089"/>
      <c r="J66" s="2089"/>
      <c r="K66" s="2089"/>
      <c r="L66" s="2089"/>
      <c r="M66" s="2089"/>
      <c r="N66" s="2086">
        <f t="shared" si="4"/>
        <v>0</v>
      </c>
    </row>
    <row r="67" spans="1:14" ht="24.75" customHeight="1" x14ac:dyDescent="0.25">
      <c r="A67" s="2522" t="s">
        <v>2062</v>
      </c>
      <c r="B67" s="2523"/>
      <c r="C67" s="2523"/>
      <c r="D67" s="2090">
        <v>2372</v>
      </c>
      <c r="E67" s="2082">
        <f>'Expenditures 15-22'!K329</f>
        <v>0</v>
      </c>
      <c r="F67" s="2083"/>
      <c r="G67" s="2091"/>
      <c r="H67" s="2092"/>
      <c r="I67" s="2092"/>
      <c r="J67" s="2092"/>
      <c r="K67" s="2092"/>
      <c r="L67" s="2092"/>
      <c r="M67" s="2092"/>
      <c r="N67" s="2086">
        <f t="shared" si="4"/>
        <v>0</v>
      </c>
    </row>
    <row r="68" spans="1:14" x14ac:dyDescent="0.25">
      <c r="A68" s="2524" t="s">
        <v>1153</v>
      </c>
      <c r="B68" s="2525"/>
      <c r="C68" s="2525"/>
      <c r="D68" s="2077"/>
      <c r="E68" s="2093">
        <f>SUM(E57:E67)</f>
        <v>101665</v>
      </c>
      <c r="F68" s="2094"/>
      <c r="G68" s="2093">
        <f t="shared" ref="G68:N68" si="5">SUM(G57:G67)</f>
        <v>0</v>
      </c>
      <c r="H68" s="2093">
        <f t="shared" si="5"/>
        <v>0</v>
      </c>
      <c r="I68" s="2093">
        <f t="shared" si="5"/>
        <v>0</v>
      </c>
      <c r="J68" s="2093">
        <f t="shared" si="5"/>
        <v>0</v>
      </c>
      <c r="K68" s="2093">
        <f t="shared" si="5"/>
        <v>0</v>
      </c>
      <c r="L68" s="2093">
        <f t="shared" si="5"/>
        <v>0</v>
      </c>
      <c r="M68" s="2093">
        <f t="shared" si="5"/>
        <v>101665</v>
      </c>
      <c r="N68" s="2095">
        <f t="shared" si="5"/>
        <v>101665</v>
      </c>
    </row>
    <row r="69" spans="1:14" x14ac:dyDescent="0.25">
      <c r="A69" s="2096"/>
      <c r="B69" s="2097"/>
      <c r="C69" s="2097"/>
      <c r="D69" s="2097"/>
      <c r="E69" s="2097"/>
      <c r="F69" s="2097"/>
      <c r="G69" s="2097"/>
      <c r="H69" s="2098" t="s">
        <v>2063</v>
      </c>
      <c r="I69" s="2097"/>
      <c r="J69" s="2097"/>
      <c r="K69" s="2097"/>
      <c r="L69" s="2098" t="s">
        <v>2064</v>
      </c>
      <c r="M69" s="2097"/>
      <c r="N69" s="2099"/>
    </row>
    <row r="70" spans="1:14" ht="46.5" customHeight="1" x14ac:dyDescent="0.25">
      <c r="A70" s="2100" t="s">
        <v>2065</v>
      </c>
      <c r="B70" s="2097"/>
      <c r="C70" s="2097"/>
      <c r="D70" s="2097"/>
      <c r="E70" s="2097"/>
      <c r="F70" s="2097"/>
      <c r="G70" s="2097"/>
      <c r="H70" s="2516" t="s">
        <v>2066</v>
      </c>
      <c r="I70" s="2516"/>
      <c r="J70" s="2516"/>
      <c r="K70" s="2097"/>
      <c r="L70" s="2516" t="s">
        <v>2067</v>
      </c>
      <c r="M70" s="2516"/>
      <c r="N70" s="2526"/>
    </row>
    <row r="71" spans="1:14" ht="42.75" customHeight="1" x14ac:dyDescent="0.25">
      <c r="A71" s="2096"/>
      <c r="B71" s="2097"/>
      <c r="C71" s="2097"/>
      <c r="D71" s="2097"/>
      <c r="E71" s="2097"/>
      <c r="F71" s="2097"/>
      <c r="G71" s="2097"/>
      <c r="H71" s="2516" t="s">
        <v>2068</v>
      </c>
      <c r="I71" s="2516"/>
      <c r="J71" s="2516"/>
      <c r="K71" s="2097"/>
      <c r="L71" s="2517" t="s">
        <v>2069</v>
      </c>
      <c r="M71" s="2517"/>
      <c r="N71" s="2518"/>
    </row>
    <row r="72" spans="1:14" ht="52.5" customHeight="1" thickBot="1" x14ac:dyDescent="0.3">
      <c r="A72" s="2101"/>
      <c r="B72" s="2102"/>
      <c r="C72" s="2102"/>
      <c r="D72" s="2102"/>
      <c r="E72" s="2102"/>
      <c r="F72" s="2102"/>
      <c r="G72" s="2102"/>
      <c r="H72" s="2519" t="s">
        <v>2070</v>
      </c>
      <c r="I72" s="2519"/>
      <c r="J72" s="2519"/>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2F770A61-947D-43A2-87BD-50C51AB1441B}"/>
    <dataValidation allowBlank="1" showInputMessage="1" showErrorMessage="1" prompt="Link cell K328 from &quot;Expenditures 15-22&quot; tab" sqref="E66" xr:uid="{D5FDD0AD-482A-435C-A64C-0366729B44E7}"/>
    <dataValidation allowBlank="1" showInputMessage="1" showErrorMessage="1" prompt="Link cell K327 from &quot;Expenditures 15-22&quot; tab" sqref="E65" xr:uid="{67F9804F-52F1-47C6-987A-3CC80038CE8A}"/>
    <dataValidation allowBlank="1" showInputMessage="1" showErrorMessage="1" prompt="Link cell K326 from &quot;Expenditures 15-22&quot; tab" sqref="E64" xr:uid="{04328317-68AF-40CF-8307-BAD70CACB05B}"/>
    <dataValidation allowBlank="1" showInputMessage="1" showErrorMessage="1" prompt="Link cell K325 from &quot;Expenditures 15-22&quot; tab" sqref="E63" xr:uid="{58D8786F-E61C-4C91-B25D-63B510472C55}"/>
    <dataValidation allowBlank="1" showInputMessage="1" showErrorMessage="1" prompt="Link cell K324 from &quot;Expenditures 15-22&quot; tab" sqref="E62" xr:uid="{BFD29B96-4D0A-4E90-A508-CC0E69F8EA94}"/>
    <dataValidation allowBlank="1" showInputMessage="1" showErrorMessage="1" prompt="Link cell K323 from &quot;Expenditures 15-22&quot; tab" sqref="E61" xr:uid="{04A3A391-E658-4B0C-9D11-D7C0C05479CB}"/>
    <dataValidation allowBlank="1" showInputMessage="1" showErrorMessage="1" prompt="Link cell K322 from &quot;Expenditures 15-22&quot; tab" sqref="E60" xr:uid="{77817A1C-AD60-4796-864E-782DDB4410F7}"/>
    <dataValidation allowBlank="1" showInputMessage="1" showErrorMessage="1" prompt="Link cell K321 from &quot;Expenditures 15-22&quot; tab" sqref="E59" xr:uid="{F104420A-4A6A-463A-B800-14A0351E8457}"/>
    <dataValidation allowBlank="1" showInputMessage="1" showErrorMessage="1" prompt="Link cell K320 from &quot;Expenditures 15-22&quot; tab" sqref="E58" xr:uid="{ACCB022B-2B39-48BA-A9D9-9FCE2ED62A66}"/>
    <dataValidation allowBlank="1" showInputMessage="1" showErrorMessage="1" prompt="Link cell K319 from &quot;Expenditures 15-22&quot; tab" sqref="E57" xr:uid="{A99DE504-09B7-4B55-A68C-8476428F3B1F}"/>
    <dataValidation allowBlank="1" showInputMessage="1" showErrorMessage="1" prompt="Link cell K122 from &quot;Expenditures 15-22&quot; tab" sqref="F15" xr:uid="{038569D5-F903-4E5F-97F6-4C381CEA3304}"/>
    <dataValidation allowBlank="1" showInputMessage="1" showErrorMessage="1" prompt="Link cell K67 from &quot;Expenditures 15-22&quot; tab" sqref="E17" xr:uid="{C12A6E82-B2B8-4D10-A312-1D9B14573A87}"/>
    <dataValidation allowBlank="1" showInputMessage="1" showErrorMessage="1" prompt="Link cell K64 from &quot;Expenditures 15-22&quot; tab" sqref="E16" xr:uid="{8077EB8A-7DEC-4C82-A314-82EC46C9D014}"/>
    <dataValidation allowBlank="1" showInputMessage="1" showErrorMessage="1" prompt="Link cell K59 from &quot;Expenditures 15-22&quot; tab" sqref="E15" xr:uid="{58C6E2C7-0944-4594-859E-F20B88470BCB}"/>
    <dataValidation allowBlank="1" showInputMessage="1" showErrorMessage="1" prompt="Link cell K56 from &quot;Expenditures 15-22&quot; tab" sqref="E14" xr:uid="{978982C5-9D4A-4595-B7BD-4F7B6E20A412}"/>
    <dataValidation allowBlank="1" showInputMessage="1" showErrorMessage="1" prompt="Link cell K51 from &quot;Expenditures 15-22&quot; tab" sqref="E13" xr:uid="{834A3732-D619-4552-B75A-5B47F63E90B4}"/>
    <dataValidation allowBlank="1" showInputMessage="1" showErrorMessage="1" prompt="Link cell K50 from &quot;Expenditures 15-22&quot; tab " sqref="E12" xr:uid="{58322333-49B0-456D-893A-297201739D66}"/>
    <dataValidation allowBlank="1" showInputMessage="1" showErrorMessage="1" prompt="Link cell A13 from &quot;Cover&quot; tab" sqref="J7:L7" xr:uid="{0E102ABF-41B4-4CBC-A297-B1E0AFEAE895}"/>
    <dataValidation allowBlank="1" showInputMessage="1" showErrorMessage="1" prompt="Link cell A17 from &quot;Cover&quot; tab" sqref="J6:L6" xr:uid="{ED4679B7-3C11-4720-87D8-5C30225B5094}"/>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9" t="s">
        <v>1597</v>
      </c>
    </row>
    <row r="23" spans="1:5" x14ac:dyDescent="0.2">
      <c r="A23" s="163"/>
      <c r="B23" s="157" t="s">
        <v>1829</v>
      </c>
      <c r="D23" s="162" t="s">
        <v>632</v>
      </c>
      <c r="E23" s="1519"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5" t="s">
        <v>1058</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686</v>
      </c>
      <c r="B40" s="2222"/>
      <c r="C40" s="2222"/>
      <c r="D40" s="2222"/>
      <c r="E40" s="2222"/>
    </row>
    <row r="41" spans="1:5" x14ac:dyDescent="0.2">
      <c r="A41" s="2223" t="s">
        <v>1594</v>
      </c>
      <c r="B41" s="2223"/>
      <c r="C41" s="2223"/>
      <c r="D41" s="2223"/>
      <c r="E41" s="2223"/>
    </row>
    <row r="42" spans="1:5" ht="12.75" customHeight="1" x14ac:dyDescent="0.2">
      <c r="A42" s="2224" t="s">
        <v>1015</v>
      </c>
      <c r="B42" s="2224"/>
      <c r="C42" s="2224"/>
      <c r="D42" s="2224"/>
      <c r="E42" s="222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Elwood CCSD 203</v>
      </c>
    </row>
    <row r="65" spans="2:2" x14ac:dyDescent="0.2">
      <c r="B65" s="894">
        <f>COVER!A13</f>
        <v>56099203004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20" sqref="I20"/>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566" t="s">
        <v>1668</v>
      </c>
      <c r="B18" s="25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933450</xdr:colOff>
                <xdr:row>9</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1343025</xdr:colOff>
                <xdr:row>5</xdr:row>
                <xdr:rowOff>85725</xdr:rowOff>
              </from>
              <to>
                <xdr:col>1</xdr:col>
                <xdr:colOff>2276475</xdr:colOff>
                <xdr:row>10</xdr:row>
                <xdr:rowOff>66675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7" t="s">
        <v>1672</v>
      </c>
      <c r="B1" s="2568"/>
      <c r="C1" s="2568"/>
      <c r="D1" s="2568"/>
      <c r="E1" s="2568"/>
      <c r="F1" s="2569"/>
    </row>
    <row r="2" spans="1:8" ht="45" customHeight="1" x14ac:dyDescent="0.2">
      <c r="A2" s="25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8"/>
      <c r="C2" s="2578"/>
      <c r="D2" s="2578"/>
      <c r="E2" s="2578"/>
      <c r="F2" s="2579"/>
      <c r="G2" s="898"/>
      <c r="H2" s="898"/>
    </row>
    <row r="3" spans="1:8" ht="57" customHeight="1" x14ac:dyDescent="0.2">
      <c r="A3" s="2580" t="s">
        <v>1973</v>
      </c>
      <c r="B3" s="2581"/>
      <c r="C3" s="2581"/>
      <c r="D3" s="2581"/>
      <c r="E3" s="2581"/>
      <c r="F3" s="2582"/>
      <c r="G3" s="898"/>
      <c r="H3" s="898"/>
    </row>
    <row r="4" spans="1:8" ht="14.25" customHeight="1" x14ac:dyDescent="0.2">
      <c r="A4" s="25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7"/>
      <c r="C4" s="2587"/>
      <c r="D4" s="2587"/>
      <c r="E4" s="2587"/>
      <c r="F4" s="2588"/>
      <c r="G4" s="898"/>
      <c r="H4" s="898"/>
    </row>
    <row r="5" spans="1:8" ht="14.25" customHeight="1" x14ac:dyDescent="0.2">
      <c r="A5" s="25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0"/>
      <c r="C5" s="2590"/>
      <c r="D5" s="2590"/>
      <c r="E5" s="2590"/>
      <c r="F5" s="2591"/>
      <c r="G5" s="898"/>
      <c r="H5" s="898"/>
    </row>
    <row r="6" spans="1:8" s="899" customFormat="1" ht="41.25" customHeight="1" x14ac:dyDescent="0.2">
      <c r="A6" s="2583" t="s">
        <v>1673</v>
      </c>
      <c r="B6" s="2584"/>
      <c r="C6" s="2584"/>
      <c r="D6" s="2584"/>
      <c r="E6" s="2584"/>
      <c r="F6" s="258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3220221</v>
      </c>
      <c r="C8" s="1871">
        <f>'Acct Summary 7-8'!D8</f>
        <v>244094</v>
      </c>
      <c r="D8" s="1871">
        <f>'Acct Summary 7-8'!F8</f>
        <v>578677</v>
      </c>
      <c r="E8" s="1871">
        <f>'Acct Summary 7-8'!I8</f>
        <v>19069</v>
      </c>
      <c r="F8" s="1871">
        <f>SUM(B8:E8)</f>
        <v>4062061</v>
      </c>
    </row>
    <row r="9" spans="1:8" s="903" customFormat="1" ht="14.25" customHeight="1" thickBot="1" x14ac:dyDescent="0.25">
      <c r="A9" s="902" t="s">
        <v>1355</v>
      </c>
      <c r="B9" s="1872">
        <f>'Acct Summary 7-8'!C17</f>
        <v>3416062</v>
      </c>
      <c r="C9" s="1872">
        <f>'Acct Summary 7-8'!D17</f>
        <v>431349</v>
      </c>
      <c r="D9" s="1872">
        <f>'Acct Summary 7-8'!F17</f>
        <v>437518</v>
      </c>
      <c r="E9" s="1871"/>
      <c r="F9" s="1871">
        <f>SUM(B9:E9)</f>
        <v>4284929</v>
      </c>
    </row>
    <row r="10" spans="1:8" s="903" customFormat="1" ht="14.25" thickTop="1" thickBot="1" x14ac:dyDescent="0.25">
      <c r="A10" s="904" t="s">
        <v>1356</v>
      </c>
      <c r="B10" s="1873">
        <f>(B8-B9)</f>
        <v>-195841</v>
      </c>
      <c r="C10" s="1873">
        <f>(C8-C9)</f>
        <v>-187255</v>
      </c>
      <c r="D10" s="1873">
        <f>(D8-D9)</f>
        <v>141159</v>
      </c>
      <c r="E10" s="1872">
        <f>(E8-E9)</f>
        <v>19069</v>
      </c>
      <c r="F10" s="1874">
        <f>SUM(F8-F9)</f>
        <v>-222868</v>
      </c>
    </row>
    <row r="11" spans="1:8" s="903" customFormat="1" ht="14.25" thickTop="1" thickBot="1" x14ac:dyDescent="0.25">
      <c r="A11" s="905" t="s">
        <v>1904</v>
      </c>
      <c r="B11" s="1875">
        <f>'Acct Summary 7-8'!C81</f>
        <v>1724796</v>
      </c>
      <c r="C11" s="1875">
        <f>'Acct Summary 7-8'!D81</f>
        <v>982564</v>
      </c>
      <c r="D11" s="1875">
        <f>'Acct Summary 7-8'!F81</f>
        <v>349802</v>
      </c>
      <c r="E11" s="1875">
        <f>'Acct Summary 7-8'!I81</f>
        <v>38258</v>
      </c>
      <c r="F11" s="1876">
        <f>SUM(B11:E11)</f>
        <v>3095420</v>
      </c>
    </row>
    <row r="12" spans="1:8" ht="16.5" customHeight="1" thickTop="1" x14ac:dyDescent="0.2">
      <c r="A12" s="906"/>
      <c r="B12" s="907"/>
      <c r="C12" s="2571" t="str">
        <f>IF(AND(F10&lt;0,F11&gt;=0,ABS(F10*3)&gt;ABS(F11)),A16,IF(AND(F10&lt;0,F11&gt;0,ABS(F10*3)&lt;=ABS(F11)),A17,IF(AND(F10&lt;0,F11&lt;0),A16,IF(F11=0,A19,A18))))</f>
        <v>Unbalanced -  however, a deficit reduction plan is not required at this time.</v>
      </c>
      <c r="D12" s="2572"/>
      <c r="E12" s="2572"/>
      <c r="F12" s="2573"/>
    </row>
    <row r="13" spans="1:8" ht="19.5" customHeight="1" x14ac:dyDescent="0.2">
      <c r="A13" s="908"/>
      <c r="B13" s="909"/>
      <c r="C13" s="2571"/>
      <c r="D13" s="2572"/>
      <c r="E13" s="2572"/>
      <c r="F13" s="2573"/>
      <c r="H13" s="898"/>
    </row>
    <row r="14" spans="1:8" ht="19.5" customHeight="1" x14ac:dyDescent="0.2">
      <c r="A14" s="908"/>
      <c r="B14" s="909"/>
      <c r="C14" s="2571"/>
      <c r="D14" s="2572"/>
      <c r="E14" s="2572"/>
      <c r="F14" s="2573"/>
      <c r="H14" s="898"/>
    </row>
    <row r="15" spans="1:8" ht="17.25" customHeight="1" x14ac:dyDescent="0.2">
      <c r="A15" s="908"/>
      <c r="B15" s="909"/>
      <c r="C15" s="2574"/>
      <c r="D15" s="2575"/>
      <c r="E15" s="2575"/>
      <c r="F15" s="2576"/>
      <c r="H15" s="898"/>
    </row>
    <row r="16" spans="1:8" s="288" customFormat="1" ht="51.75" hidden="1" customHeight="1" x14ac:dyDescent="0.2">
      <c r="A16" s="2570" t="s">
        <v>1669</v>
      </c>
      <c r="B16" s="2570"/>
      <c r="C16" s="2570"/>
      <c r="D16" s="2570"/>
      <c r="E16" s="257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26" sqref="D26"/>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2" t="s">
        <v>660</v>
      </c>
      <c r="B3" s="2593"/>
      <c r="C3" s="2593"/>
      <c r="D3" s="2594"/>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3" t="s">
        <v>1490</v>
      </c>
      <c r="D7" s="2604"/>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5" t="s">
        <v>1001</v>
      </c>
      <c r="B15" s="2596"/>
      <c r="C15" s="2596"/>
      <c r="D15" s="2597"/>
    </row>
    <row r="16" spans="1:4" s="542" customFormat="1" ht="24" customHeight="1" x14ac:dyDescent="0.2">
      <c r="A16" s="2598" t="s">
        <v>658</v>
      </c>
      <c r="B16" s="2599"/>
      <c r="C16" s="2599"/>
      <c r="D16" s="2600"/>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7" t="s">
        <v>311</v>
      </c>
      <c r="D21" s="2608"/>
    </row>
    <row r="22" spans="1:10" ht="12.75" x14ac:dyDescent="0.2">
      <c r="A22" s="963"/>
      <c r="B22" s="964">
        <v>2</v>
      </c>
      <c r="C22" s="2605" t="s">
        <v>1510</v>
      </c>
      <c r="D22" s="260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9" t="s">
        <v>533</v>
      </c>
      <c r="D43" s="261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1" t="s">
        <v>779</v>
      </c>
      <c r="D56" s="260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1" t="s">
        <v>1677</v>
      </c>
      <c r="D70" s="260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1968</v>
      </c>
      <c r="F1" s="1593" t="s">
        <v>1969</v>
      </c>
      <c r="G1" s="1963" t="s">
        <v>1979</v>
      </c>
    </row>
    <row r="2" spans="1:7" ht="15.75" x14ac:dyDescent="0.25">
      <c r="A2" t="s">
        <v>260</v>
      </c>
      <c r="B2" s="135">
        <f>COVER!A13</f>
        <v>56099203004</v>
      </c>
      <c r="E2" s="1592">
        <v>2020</v>
      </c>
      <c r="F2" s="1592">
        <v>1</v>
      </c>
      <c r="G2" s="1962">
        <v>101000300</v>
      </c>
    </row>
    <row r="3" spans="1:7" ht="15" x14ac:dyDescent="0.25">
      <c r="A3" t="s">
        <v>950</v>
      </c>
      <c r="B3" s="135" t="str">
        <f>COVER!A15</f>
        <v>WILL</v>
      </c>
      <c r="E3" s="1888" t="s">
        <v>1972</v>
      </c>
      <c r="F3" s="1888" t="s">
        <v>1971</v>
      </c>
      <c r="G3" s="1962">
        <v>101000400</v>
      </c>
    </row>
    <row r="4" spans="1:7" ht="15" x14ac:dyDescent="0.25">
      <c r="A4" t="s">
        <v>1000</v>
      </c>
      <c r="B4" s="135" t="str">
        <f>COVER!A17</f>
        <v xml:space="preserve"> Elwood CCSD 203</v>
      </c>
      <c r="E4" s="1886">
        <v>44119</v>
      </c>
      <c r="F4" s="1887">
        <v>44151</v>
      </c>
      <c r="G4" s="1962">
        <v>101000600</v>
      </c>
    </row>
    <row r="5" spans="1:7" ht="15" x14ac:dyDescent="0.25">
      <c r="A5" t="s">
        <v>699</v>
      </c>
      <c r="B5" s="135" t="str">
        <f>COVER!A38</f>
        <v>CATHIE PEZANOSKI</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E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33239</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1724796</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1724796</v>
      </c>
      <c r="D92" s="2" t="str">
        <f t="shared" si="0"/>
        <v>Error?</v>
      </c>
      <c r="G92" s="1962">
        <v>102640600</v>
      </c>
    </row>
    <row r="93" spans="1:7" ht="15" x14ac:dyDescent="0.25">
      <c r="A93" s="5">
        <v>32</v>
      </c>
      <c r="B93" s="1890">
        <f>'Assets-Liab 5-6'!C41</f>
        <v>1724796</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982564</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982564</v>
      </c>
      <c r="D123" s="2" t="str">
        <f t="shared" si="0"/>
        <v>Error?</v>
      </c>
      <c r="G123" s="1962">
        <v>203000400</v>
      </c>
    </row>
    <row r="124" spans="1:7" ht="15" x14ac:dyDescent="0.25">
      <c r="A124" s="5">
        <v>63</v>
      </c>
      <c r="B124" s="1890">
        <f>'Assets-Liab 5-6'!D41</f>
        <v>982564</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349802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349802</v>
      </c>
      <c r="D170" s="2" t="str">
        <f t="shared" si="1"/>
        <v>Error?</v>
      </c>
    </row>
    <row r="171" spans="1:4" x14ac:dyDescent="0.2">
      <c r="A171" s="5">
        <v>110</v>
      </c>
      <c r="B171" s="1890">
        <f>'Assets-Liab 5-6'!F41</f>
        <v>349802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102925</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102925</v>
      </c>
      <c r="D189" s="2" t="str">
        <f t="shared" si="1"/>
        <v>Error?</v>
      </c>
    </row>
    <row r="190" spans="1:4" x14ac:dyDescent="0.2">
      <c r="A190" s="5">
        <v>129</v>
      </c>
      <c r="B190" s="1890">
        <f>'Assets-Liab 5-6'!G41</f>
        <v>102925</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9629017</v>
      </c>
      <c r="D274" s="2" t="str">
        <f t="shared" si="3"/>
        <v>Error?</v>
      </c>
    </row>
    <row r="275" spans="1:4" x14ac:dyDescent="0.2">
      <c r="A275" s="5">
        <v>214</v>
      </c>
      <c r="B275" s="1890">
        <f>'Assets-Liab 5-6'!M18</f>
        <v>0</v>
      </c>
      <c r="D275" s="2" t="str">
        <f t="shared" si="3"/>
        <v>Error?</v>
      </c>
    </row>
    <row r="276" spans="1:4" x14ac:dyDescent="0.2">
      <c r="A276" s="5">
        <v>215</v>
      </c>
      <c r="B276" s="1890">
        <f>'Assets-Liab 5-6'!M19</f>
        <v>1097405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10726422</v>
      </c>
      <c r="C279" s="2" t="s">
        <v>569</v>
      </c>
      <c r="D279" s="2" t="str">
        <f t="shared" si="3"/>
        <v>Error?</v>
      </c>
    </row>
    <row r="280" spans="1:4" x14ac:dyDescent="0.2">
      <c r="A280" s="5">
        <v>219</v>
      </c>
      <c r="B280" s="1890">
        <f>'Assets-Liab 5-6'!M40</f>
        <v>10726422</v>
      </c>
      <c r="D280" s="2" t="str">
        <f t="shared" si="3"/>
        <v>Error?</v>
      </c>
    </row>
    <row r="281" spans="1:4" x14ac:dyDescent="0.2">
      <c r="A281" s="5">
        <v>220</v>
      </c>
      <c r="B281" s="1890">
        <f>'Assets-Liab 5-6'!M41</f>
        <v>10726422</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18827</v>
      </c>
      <c r="D283" s="2" t="str">
        <f t="shared" si="3"/>
        <v>Error?</v>
      </c>
    </row>
    <row r="284" spans="1:4" x14ac:dyDescent="0.2">
      <c r="A284" s="5">
        <v>223</v>
      </c>
      <c r="B284" s="1890">
        <f>'Assets-Liab 5-6'!N23</f>
        <v>18827</v>
      </c>
      <c r="C284" s="2" t="s">
        <v>569</v>
      </c>
      <c r="D284" s="2" t="str">
        <f t="shared" si="3"/>
        <v>Error?</v>
      </c>
    </row>
    <row r="285" spans="1:4" x14ac:dyDescent="0.2">
      <c r="A285" s="5">
        <v>224</v>
      </c>
      <c r="B285" s="1890">
        <f>'Assets-Liab 5-6'!N36</f>
        <v>18827</v>
      </c>
      <c r="D285" s="2" t="str">
        <f t="shared" si="3"/>
        <v>Error?</v>
      </c>
    </row>
    <row r="286" spans="1:4" x14ac:dyDescent="0.2">
      <c r="A286" s="10">
        <v>225</v>
      </c>
      <c r="B286" s="1890"/>
      <c r="D286" s="2" t="str">
        <f t="shared" si="3"/>
        <v>OK</v>
      </c>
    </row>
    <row r="287" spans="1:4" x14ac:dyDescent="0.2">
      <c r="A287" s="5">
        <v>226</v>
      </c>
      <c r="B287" s="1890">
        <f>'Assets-Liab 5-6'!N37</f>
        <v>18827</v>
      </c>
      <c r="C287" s="2" t="s">
        <v>569</v>
      </c>
      <c r="D287" s="2" t="str">
        <f t="shared" si="3"/>
        <v>Error?</v>
      </c>
    </row>
    <row r="288" spans="1:4" x14ac:dyDescent="0.2">
      <c r="A288" s="5">
        <v>227</v>
      </c>
      <c r="B288" s="1890">
        <f>'Assets-Liab 5-6'!N41</f>
        <v>18827</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1636532</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21012</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1657544</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42125</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42125</v>
      </c>
      <c r="C727" s="2" t="s">
        <v>569</v>
      </c>
      <c r="D727" s="2" t="str">
        <f t="shared" si="10"/>
        <v>Error?</v>
      </c>
    </row>
    <row r="728" spans="1:4" x14ac:dyDescent="0.2">
      <c r="A728" s="5">
        <v>667</v>
      </c>
      <c r="B728" s="1890">
        <f>'Expenditures 15-22'!C44</f>
        <v>65431</v>
      </c>
      <c r="D728" s="2" t="str">
        <f t="shared" si="10"/>
        <v>Error?</v>
      </c>
    </row>
    <row r="729" spans="1:4" x14ac:dyDescent="0.2">
      <c r="A729" s="5">
        <v>668</v>
      </c>
      <c r="B729" s="1890">
        <f>'Expenditures 15-22'!C45</f>
        <v>78700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144131</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190281</v>
      </c>
      <c r="D733" s="2" t="str">
        <f t="shared" si="10"/>
        <v>Error?</v>
      </c>
    </row>
    <row r="734" spans="1:4" x14ac:dyDescent="0.2">
      <c r="A734" s="5">
        <v>673</v>
      </c>
      <c r="B734" s="1890">
        <f>'Expenditures 15-22'!C53</f>
        <v>190281</v>
      </c>
      <c r="C734" s="2" t="s">
        <v>569</v>
      </c>
      <c r="D734" s="2" t="str">
        <f t="shared" si="10"/>
        <v>Error?</v>
      </c>
    </row>
    <row r="735" spans="1:4" x14ac:dyDescent="0.2">
      <c r="A735" s="5">
        <v>674</v>
      </c>
      <c r="B735" s="1890">
        <f>'Expenditures 15-22'!C55</f>
        <v>152168</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152168</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19705</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19705</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548410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2205954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223765</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223765</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7753</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7753</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33976</v>
      </c>
      <c r="D791" s="2" t="str">
        <f t="shared" si="11"/>
        <v>Error?</v>
      </c>
    </row>
    <row r="792" spans="1:4" x14ac:dyDescent="0.2">
      <c r="A792" s="5">
        <v>731</v>
      </c>
      <c r="B792" s="1890">
        <f>'Expenditures 15-22'!D53</f>
        <v>33976</v>
      </c>
      <c r="C792" s="2" t="s">
        <v>569</v>
      </c>
      <c r="D792" s="2" t="str">
        <f t="shared" si="11"/>
        <v>Error?</v>
      </c>
    </row>
    <row r="793" spans="1:4" x14ac:dyDescent="0.2">
      <c r="A793" s="5">
        <v>732</v>
      </c>
      <c r="B793" s="1890">
        <f>'Expenditures 15-22'!D55</f>
        <v>33356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33356</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75085</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298850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59946</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19502</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79448</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6771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6771</v>
      </c>
      <c r="C847" s="2" t="s">
        <v>569</v>
      </c>
      <c r="D847" s="2" t="str">
        <f t="shared" si="12"/>
        <v>Error?</v>
      </c>
    </row>
    <row r="848" spans="1:4" x14ac:dyDescent="0.2">
      <c r="A848" s="5">
        <v>787</v>
      </c>
      <c r="B848" s="1890">
        <f>'Expenditures 15-22'!E49</f>
        <v>73573</v>
      </c>
      <c r="D848" s="2" t="str">
        <f t="shared" si="12"/>
        <v>Error?</v>
      </c>
    </row>
    <row r="849" spans="1:4" x14ac:dyDescent="0.2">
      <c r="A849" s="5">
        <v>788</v>
      </c>
      <c r="B849" s="1890">
        <f>'Expenditures 15-22'!E50</f>
        <v>14428</v>
      </c>
      <c r="D849" s="2" t="str">
        <f t="shared" si="12"/>
        <v>Error?</v>
      </c>
    </row>
    <row r="850" spans="1:4" x14ac:dyDescent="0.2">
      <c r="A850" s="5">
        <v>789</v>
      </c>
      <c r="B850" s="1890">
        <f>'Expenditures 15-22'!E53</f>
        <v>88001</v>
      </c>
      <c r="C850" s="2" t="s">
        <v>569</v>
      </c>
      <c r="D850" s="2" t="str">
        <f t="shared" si="12"/>
        <v>Error?</v>
      </c>
    </row>
    <row r="851" spans="1:4" x14ac:dyDescent="0.2">
      <c r="A851" s="5">
        <v>790</v>
      </c>
      <c r="B851" s="1890">
        <f>'Expenditures 15-22'!E55</f>
        <v>38</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38</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54021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54021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148831</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773111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92957</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8275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101232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1823</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1823</v>
      </c>
      <c r="C901" s="2" t="s">
        <v>569</v>
      </c>
      <c r="D901" s="2" t="str">
        <f t="shared" si="13"/>
        <v>Error?</v>
      </c>
    </row>
    <row r="902" spans="1:4" x14ac:dyDescent="0.2">
      <c r="A902" s="5">
        <v>841</v>
      </c>
      <c r="B902" s="1890">
        <f>'Expenditures 15-22'!F44</f>
        <v>6076</v>
      </c>
      <c r="D902" s="2" t="str">
        <f t="shared" si="13"/>
        <v>Error?</v>
      </c>
    </row>
    <row r="903" spans="1:4" x14ac:dyDescent="0.2">
      <c r="A903" s="5">
        <v>842</v>
      </c>
      <c r="B903" s="1890">
        <f>'Expenditures 15-22'!F45</f>
        <v>3514</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9590</v>
      </c>
      <c r="C905" s="2" t="s">
        <v>569</v>
      </c>
      <c r="D905" s="2" t="str">
        <f t="shared" si="13"/>
        <v>Error?</v>
      </c>
    </row>
    <row r="906" spans="1:4" x14ac:dyDescent="0.2">
      <c r="A906" s="5">
        <v>845</v>
      </c>
      <c r="B906" s="1890">
        <f>'Expenditures 15-22'!F49</f>
        <v>1014</v>
      </c>
      <c r="D906" s="2" t="str">
        <f t="shared" si="13"/>
        <v>Error?</v>
      </c>
    </row>
    <row r="907" spans="1:4" x14ac:dyDescent="0.2">
      <c r="A907" s="5">
        <v>846</v>
      </c>
      <c r="B907" s="1890">
        <f>'Expenditures 15-22'!F50</f>
        <v>1354</v>
      </c>
      <c r="D907" s="2" t="str">
        <f t="shared" si="13"/>
        <v>Error?</v>
      </c>
    </row>
    <row r="908" spans="1:4" x14ac:dyDescent="0.2">
      <c r="A908" s="5">
        <v>847</v>
      </c>
      <c r="B908" s="1890">
        <f>'Expenditures 15-22'!F53</f>
        <v>2368</v>
      </c>
      <c r="C908" s="2" t="s">
        <v>569</v>
      </c>
      <c r="D908" s="2" t="str">
        <f t="shared" si="13"/>
        <v>Error?</v>
      </c>
    </row>
    <row r="909" spans="1:4" x14ac:dyDescent="0.2">
      <c r="A909" s="5">
        <v>848</v>
      </c>
      <c r="B909" s="1890">
        <f>'Expenditures 15-22'!F55</f>
        <v>442</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442</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154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154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14377</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115609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1035</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2796</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3831</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3831</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3976</v>
      </c>
      <c r="D1022" s="2" t="str">
        <f t="shared" si="14"/>
        <v>Error?</v>
      </c>
    </row>
    <row r="1023" spans="1:4" x14ac:dyDescent="0.2">
      <c r="A1023" s="5">
        <v>962</v>
      </c>
      <c r="B1023" s="1890">
        <f>'Expenditures 15-22'!H50</f>
        <v>3268</v>
      </c>
      <c r="D1023" s="2" t="str">
        <f t="shared" ref="D1023:D1086" si="15">IF(ISBLANK(B1023),"OK",IF(A1023-B1023=0,"OK","Error?"))</f>
        <v>Error?</v>
      </c>
    </row>
    <row r="1024" spans="1:4" x14ac:dyDescent="0.2">
      <c r="A1024" s="5">
        <v>963</v>
      </c>
      <c r="B1024" s="1890">
        <f>'Expenditures 15-22'!H53</f>
        <v>7244</v>
      </c>
      <c r="C1024" s="2" t="s">
        <v>569</v>
      </c>
      <c r="D1024" s="2" t="str">
        <f t="shared" si="15"/>
        <v>Error?</v>
      </c>
    </row>
    <row r="1025" spans="1:4" x14ac:dyDescent="0.2">
      <c r="A1025" s="5">
        <v>964</v>
      </c>
      <c r="B1025" s="1890">
        <f>'Expenditures 15-22'!H55</f>
        <v>779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779</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8023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8023</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1998</v>
      </c>
      <c r="E1056" s="4" t="s">
        <v>1997</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2021102</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51585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2072687</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43948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43948</v>
      </c>
      <c r="C1115" s="2" t="s">
        <v>569</v>
      </c>
      <c r="D1115" s="2" t="str">
        <f t="shared" si="16"/>
        <v>Error?</v>
      </c>
    </row>
    <row r="1116" spans="1:4" x14ac:dyDescent="0.2">
      <c r="A1116" s="5">
        <v>1055</v>
      </c>
      <c r="B1116" s="1890">
        <f>'Expenditures 15-22'!K44</f>
        <v>82095</v>
      </c>
      <c r="C1116" s="2" t="s">
        <v>569</v>
      </c>
      <c r="D1116" s="2" t="str">
        <f t="shared" si="16"/>
        <v>Error?</v>
      </c>
    </row>
    <row r="1117" spans="1:4" x14ac:dyDescent="0.2">
      <c r="A1117" s="5">
        <v>1056</v>
      </c>
      <c r="B1117" s="1890">
        <f>'Expenditures 15-22'!K45</f>
        <v>89967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172062</v>
      </c>
      <c r="C1119" s="2" t="s">
        <v>569</v>
      </c>
      <c r="D1119" s="2" t="str">
        <f t="shared" si="16"/>
        <v>Error?</v>
      </c>
    </row>
    <row r="1120" spans="1:4" x14ac:dyDescent="0.2">
      <c r="A1120" s="5">
        <v>1059</v>
      </c>
      <c r="B1120" s="1890">
        <f>'Expenditures 15-22'!K49</f>
        <v>78563</v>
      </c>
      <c r="C1120" s="2" t="s">
        <v>569</v>
      </c>
      <c r="D1120" s="2" t="str">
        <f t="shared" si="16"/>
        <v>Error?</v>
      </c>
    </row>
    <row r="1121" spans="1:4" x14ac:dyDescent="0.2">
      <c r="A1121" s="5">
        <v>1060</v>
      </c>
      <c r="B1121" s="1890">
        <f>'Expenditures 15-22'!K50</f>
        <v>243307</v>
      </c>
      <c r="C1121" s="2" t="s">
        <v>569</v>
      </c>
      <c r="D1121" s="2" t="str">
        <f t="shared" si="16"/>
        <v>Error?</v>
      </c>
    </row>
    <row r="1122" spans="1:4" x14ac:dyDescent="0.2">
      <c r="A1122" s="5">
        <v>1061</v>
      </c>
      <c r="B1122" s="1890">
        <f>'Expenditures 15-22'!K53</f>
        <v>321870</v>
      </c>
      <c r="C1122" s="2" t="s">
        <v>569</v>
      </c>
      <c r="D1122" s="2" t="str">
        <f t="shared" si="16"/>
        <v>Error?</v>
      </c>
    </row>
    <row r="1123" spans="1:4" x14ac:dyDescent="0.2">
      <c r="A1123" s="5">
        <v>1062</v>
      </c>
      <c r="B1123" s="1890">
        <f>'Expenditures 15-22'!K55</f>
        <v>186783</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186783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19705</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54175</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73880</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798543</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544832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3416062</v>
      </c>
      <c r="C1152" s="2" t="s">
        <v>569</v>
      </c>
      <c r="D1152" s="2" t="str">
        <f t="shared" si="17"/>
        <v>Error?</v>
      </c>
    </row>
    <row r="1153" spans="1:4" x14ac:dyDescent="0.2">
      <c r="A1153" s="5">
        <v>1092</v>
      </c>
      <c r="B1153" s="1890">
        <f>'Expenditures 15-22'!K115</f>
        <v>-195841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145346</v>
      </c>
      <c r="D1221" s="2" t="str">
        <f t="shared" si="18"/>
        <v>Error?</v>
      </c>
    </row>
    <row r="1222" spans="1:4" x14ac:dyDescent="0.2">
      <c r="A1222" s="10">
        <v>1161</v>
      </c>
      <c r="B1222" s="1890"/>
      <c r="D1222" s="2" t="str">
        <f t="shared" si="18"/>
        <v>OK</v>
      </c>
    </row>
    <row r="1223" spans="1:4" x14ac:dyDescent="0.2">
      <c r="A1223" s="5">
        <v>1162</v>
      </c>
      <c r="B1223" s="1890">
        <f>'Expenditures 15-22'!C127</f>
        <v>145346</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145346</v>
      </c>
      <c r="C1225" s="2" t="s">
        <v>569</v>
      </c>
      <c r="D1225" s="2" t="str">
        <f t="shared" si="18"/>
        <v>Error?</v>
      </c>
    </row>
    <row r="1226" spans="1:4" x14ac:dyDescent="0.2">
      <c r="A1226" s="5">
        <v>1165</v>
      </c>
      <c r="B1226" s="1890">
        <f>'Expenditures 15-22'!C151</f>
        <v>145346</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7753</v>
      </c>
      <c r="D1229" s="2" t="str">
        <f t="shared" si="18"/>
        <v>Error?</v>
      </c>
    </row>
    <row r="1230" spans="1:4" x14ac:dyDescent="0.2">
      <c r="A1230" s="10">
        <v>1169</v>
      </c>
      <c r="B1230" s="1890"/>
      <c r="D1230" s="2" t="str">
        <f t="shared" si="18"/>
        <v>OK</v>
      </c>
    </row>
    <row r="1231" spans="1:4" x14ac:dyDescent="0.2">
      <c r="A1231" s="5">
        <v>1170</v>
      </c>
      <c r="B1231" s="1890">
        <f>'Expenditures 15-22'!D127</f>
        <v>7753</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7753</v>
      </c>
      <c r="C1233" s="2" t="s">
        <v>569</v>
      </c>
      <c r="D1233" s="2" t="str">
        <f t="shared" si="18"/>
        <v>Error?</v>
      </c>
    </row>
    <row r="1234" spans="1:4" x14ac:dyDescent="0.2">
      <c r="A1234" s="5">
        <v>1173</v>
      </c>
      <c r="B1234" s="1890">
        <f>'Expenditures 15-22'!D151</f>
        <v>7753</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130829</v>
      </c>
      <c r="D1237" s="2" t="str">
        <f t="shared" si="18"/>
        <v>Error?</v>
      </c>
    </row>
    <row r="1238" spans="1:4" x14ac:dyDescent="0.2">
      <c r="A1238" s="10">
        <v>1177</v>
      </c>
      <c r="B1238" s="1890"/>
      <c r="D1238" s="2" t="str">
        <f t="shared" si="18"/>
        <v>OK</v>
      </c>
    </row>
    <row r="1239" spans="1:4" x14ac:dyDescent="0.2">
      <c r="A1239" s="5">
        <v>1178</v>
      </c>
      <c r="B1239" s="1890">
        <f>'Expenditures 15-22'!E127</f>
        <v>130829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130829</v>
      </c>
      <c r="C1241" s="2" t="s">
        <v>569</v>
      </c>
      <c r="D1241" s="2" t="str">
        <f t="shared" si="18"/>
        <v>Error?</v>
      </c>
    </row>
    <row r="1242" spans="1:4" x14ac:dyDescent="0.2">
      <c r="A1242" s="5">
        <v>1181</v>
      </c>
      <c r="B1242" s="1890">
        <f>'Expenditures 15-22'!E151</f>
        <v>130829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122963</v>
      </c>
      <c r="D1245" s="2" t="str">
        <f t="shared" si="18"/>
        <v>Error?</v>
      </c>
    </row>
    <row r="1246" spans="1:4" x14ac:dyDescent="0.2">
      <c r="A1246" s="10">
        <v>1185</v>
      </c>
      <c r="B1246" s="1890"/>
      <c r="D1246" s="2" t="str">
        <f t="shared" si="18"/>
        <v>OK</v>
      </c>
    </row>
    <row r="1247" spans="1:4" x14ac:dyDescent="0.2">
      <c r="A1247" s="5">
        <v>1186</v>
      </c>
      <c r="B1247" s="1890">
        <f>'Expenditures 15-22'!F127</f>
        <v>122963</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122963</v>
      </c>
      <c r="C1249" s="2" t="s">
        <v>569</v>
      </c>
      <c r="D1249" s="2" t="str">
        <f t="shared" si="18"/>
        <v>Error?</v>
      </c>
    </row>
    <row r="1250" spans="1:4" x14ac:dyDescent="0.2">
      <c r="A1250" s="5">
        <v>1189</v>
      </c>
      <c r="B1250" s="1890">
        <f>'Expenditures 15-22'!F151</f>
        <v>122963</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23313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23313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23313</v>
      </c>
      <c r="C1258" s="2" t="s">
        <v>569</v>
      </c>
      <c r="D1258" s="2" t="str">
        <f t="shared" si="18"/>
        <v>Error?</v>
      </c>
    </row>
    <row r="1259" spans="1:4" x14ac:dyDescent="0.2">
      <c r="A1259" s="5">
        <v>1198</v>
      </c>
      <c r="B1259" s="1890">
        <f>'Expenditures 15-22'!G151</f>
        <v>23313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310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310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431039</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431039</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431039</v>
      </c>
      <c r="C1281" s="2" t="s">
        <v>569</v>
      </c>
      <c r="D1281" s="2" t="str">
        <f t="shared" si="19"/>
        <v>Error?</v>
      </c>
    </row>
    <row r="1282" spans="1:4" x14ac:dyDescent="0.2">
      <c r="A1282" s="5">
        <v>1221</v>
      </c>
      <c r="B1282" s="1890">
        <f>'Expenditures 15-22'!K139</f>
        <v>310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431349</v>
      </c>
      <c r="C1288" s="2" t="s">
        <v>569</v>
      </c>
      <c r="D1288" s="2" t="str">
        <f t="shared" si="19"/>
        <v>Error?</v>
      </c>
    </row>
    <row r="1289" spans="1:4" x14ac:dyDescent="0.2">
      <c r="A1289" s="5">
        <v>1228</v>
      </c>
      <c r="B1289" s="1890">
        <f>'Expenditures 15-22'!K152</f>
        <v>-187255</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1445</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8716</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10161</v>
      </c>
      <c r="C1317" s="2" t="s">
        <v>569</v>
      </c>
      <c r="D1317" s="2" t="str">
        <f t="shared" si="19"/>
        <v>Error?</v>
      </c>
    </row>
    <row r="1318" spans="1:4" x14ac:dyDescent="0.2">
      <c r="A1318" s="5">
        <v>1257</v>
      </c>
      <c r="B1318" s="1890">
        <f>'Expenditures 15-22'!H174</f>
        <v>10161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1445</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8716</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10161</v>
      </c>
      <c r="C1331" s="2" t="s">
        <v>569</v>
      </c>
      <c r="D1331" s="2" t="str">
        <f t="shared" si="19"/>
        <v>Error?</v>
      </c>
    </row>
    <row r="1332" spans="1:4" x14ac:dyDescent="0.2">
      <c r="A1332" s="5">
        <v>1271</v>
      </c>
      <c r="B1332" s="1890">
        <f>'Expenditures 15-22'!K174</f>
        <v>10161</v>
      </c>
      <c r="C1332" s="2" t="s">
        <v>569</v>
      </c>
      <c r="D1332" s="2" t="str">
        <f t="shared" si="19"/>
        <v>Error?</v>
      </c>
    </row>
    <row r="1333" spans="1:4" x14ac:dyDescent="0.2">
      <c r="A1333" s="5">
        <v>1272</v>
      </c>
      <c r="B1333" s="1890">
        <f>'Expenditures 15-22'!K175</f>
        <v>-10161</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437518</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437518</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437518</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437518</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437518</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437518</v>
      </c>
      <c r="C1388" s="2" t="s">
        <v>569</v>
      </c>
      <c r="D1388" s="2" t="str">
        <f t="shared" si="20"/>
        <v>Error?</v>
      </c>
    </row>
    <row r="1389" spans="1:4" x14ac:dyDescent="0.2">
      <c r="A1389" s="5">
        <v>1328</v>
      </c>
      <c r="B1389" s="1890">
        <f>'Expenditures 15-22'!K211</f>
        <v>141159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305</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27878</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7152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7152</v>
      </c>
      <c r="C1417" s="2" t="s">
        <v>569</v>
      </c>
      <c r="D1417" s="2" t="str">
        <f t="shared" si="21"/>
        <v>Error?</v>
      </c>
    </row>
    <row r="1418" spans="1:4" x14ac:dyDescent="0.2">
      <c r="A1418" s="5">
        <v>1357</v>
      </c>
      <c r="B1418" s="1890">
        <f>'Expenditures 15-22'!D240</f>
        <v>949</v>
      </c>
      <c r="D1418" s="2" t="str">
        <f t="shared" si="21"/>
        <v>Error?</v>
      </c>
    </row>
    <row r="1419" spans="1:4" x14ac:dyDescent="0.2">
      <c r="A1419" s="5">
        <v>1358</v>
      </c>
      <c r="B1419" s="1890">
        <f>'Expenditures 15-22'!D241</f>
        <v>17552</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18501</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2759</v>
      </c>
      <c r="D1423" s="2" t="str">
        <f t="shared" si="21"/>
        <v>Error?</v>
      </c>
    </row>
    <row r="1424" spans="1:4" x14ac:dyDescent="0.2">
      <c r="A1424" s="5">
        <v>1363</v>
      </c>
      <c r="B1424" s="1890">
        <f>'Expenditures 15-22'!D257</f>
        <v>2759</v>
      </c>
      <c r="C1424" s="2" t="s">
        <v>569</v>
      </c>
      <c r="D1424" s="2" t="str">
        <f t="shared" si="21"/>
        <v>Error?</v>
      </c>
    </row>
    <row r="1425" spans="1:4" x14ac:dyDescent="0.2">
      <c r="A1425" s="5">
        <v>1364</v>
      </c>
      <c r="B1425" s="1890">
        <f>'Expenditures 15-22'!D259</f>
        <v>12121</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12121</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3407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22525</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25932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66465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94343</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305</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27878</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7152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7152</v>
      </c>
      <c r="C1481" s="2" t="s">
        <v>569</v>
      </c>
      <c r="D1481" s="2" t="str">
        <f t="shared" si="22"/>
        <v>Error?</v>
      </c>
    </row>
    <row r="1482" spans="1:4" x14ac:dyDescent="0.2">
      <c r="A1482" s="5">
        <v>1421</v>
      </c>
      <c r="B1482" s="1890">
        <f>'Expenditures 15-22'!K240</f>
        <v>949</v>
      </c>
      <c r="C1482" s="2" t="s">
        <v>569</v>
      </c>
      <c r="D1482" s="2" t="str">
        <f t="shared" si="22"/>
        <v>Error?</v>
      </c>
    </row>
    <row r="1483" spans="1:4" x14ac:dyDescent="0.2">
      <c r="A1483" s="5">
        <v>1422</v>
      </c>
      <c r="B1483" s="1890">
        <f>'Expenditures 15-22'!K241</f>
        <v>17552</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18501</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2759</v>
      </c>
      <c r="C1487" s="2" t="s">
        <v>569</v>
      </c>
      <c r="D1487" s="2" t="str">
        <f t="shared" si="22"/>
        <v>Error?</v>
      </c>
    </row>
    <row r="1488" spans="1:4" x14ac:dyDescent="0.2">
      <c r="A1488" s="5">
        <v>1427</v>
      </c>
      <c r="B1488" s="1890">
        <f>'Expenditures 15-22'!K257</f>
        <v>2759</v>
      </c>
      <c r="C1488" s="2" t="s">
        <v>569</v>
      </c>
      <c r="D1488" s="2" t="str">
        <f t="shared" si="22"/>
        <v>Error?</v>
      </c>
    </row>
    <row r="1489" spans="1:4" x14ac:dyDescent="0.2">
      <c r="A1489" s="5">
        <v>1428</v>
      </c>
      <c r="B1489" s="1890">
        <f>'Expenditures 15-22'!K259</f>
        <v>12121</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12121</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3407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22525</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25932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66465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94343</v>
      </c>
      <c r="C1517" s="2" t="s">
        <v>569</v>
      </c>
      <c r="D1517" s="2" t="str">
        <f t="shared" si="22"/>
        <v>Error?</v>
      </c>
    </row>
    <row r="1518" spans="1:4" x14ac:dyDescent="0.2">
      <c r="A1518" s="5">
        <v>1457</v>
      </c>
      <c r="B1518" s="1890">
        <f>'Expenditures 15-22'!K296</f>
        <v>96673</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1930798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1724796</v>
      </c>
      <c r="C1630" s="2" t="s">
        <v>569</v>
      </c>
      <c r="D1630" s="2" t="str">
        <f t="shared" si="24"/>
        <v>Error?</v>
      </c>
    </row>
    <row r="1631" spans="1:4" x14ac:dyDescent="0.2">
      <c r="A1631" s="5">
        <v>1570</v>
      </c>
      <c r="B1631" s="1890">
        <f>'Acct Summary 7-8'!D79</f>
        <v>1169819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982564</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208643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349802</v>
      </c>
      <c r="C1672" s="2" t="s">
        <v>569</v>
      </c>
      <c r="D1672" s="2" t="str">
        <f t="shared" si="25"/>
        <v>Error?</v>
      </c>
    </row>
    <row r="1673" spans="1:4" x14ac:dyDescent="0.2">
      <c r="A1673" s="5">
        <v>1612</v>
      </c>
      <c r="B1673" s="1890">
        <f>'Acct Summary 7-8'!G79</f>
        <v>6252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102925</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1802512</v>
      </c>
      <c r="C1744" s="2" t="s">
        <v>569</v>
      </c>
      <c r="D1744" s="2" t="str">
        <f t="shared" si="26"/>
        <v>Error?</v>
      </c>
    </row>
    <row r="1745" spans="1:5" x14ac:dyDescent="0.2">
      <c r="A1745" s="5">
        <v>1684</v>
      </c>
      <c r="B1745" s="1890">
        <f>'Tax Sched 23'!B5</f>
        <v>223431</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332921</v>
      </c>
      <c r="C1747" s="2" t="s">
        <v>569</v>
      </c>
      <c r="D1747" s="2" t="str">
        <f t="shared" si="26"/>
        <v>Error?</v>
      </c>
    </row>
    <row r="1748" spans="1:5" x14ac:dyDescent="0.2">
      <c r="A1748" s="5">
        <v>1687</v>
      </c>
      <c r="B1748" s="1890">
        <f>'Tax Sched 23'!B8</f>
        <v>39336</v>
      </c>
      <c r="C1748" s="2" t="s">
        <v>569</v>
      </c>
      <c r="D1748" s="2" t="str">
        <f t="shared" si="26"/>
        <v>Error?</v>
      </c>
    </row>
    <row r="1749" spans="1:5" x14ac:dyDescent="0.2">
      <c r="A1749" s="5">
        <v>1688</v>
      </c>
      <c r="B1749" s="1890">
        <f>'Tax Sched 23'!B10</f>
        <v>19069</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162662</v>
      </c>
      <c r="C1752" s="2" t="s">
        <v>569</v>
      </c>
      <c r="D1752" s="2" t="str">
        <f t="shared" si="26"/>
        <v>Error?</v>
      </c>
    </row>
    <row r="1753" spans="1:5" x14ac:dyDescent="0.2">
      <c r="A1753" s="5">
        <v>1692</v>
      </c>
      <c r="B1753" s="1890">
        <f>'Tax Sched 23'!B12</f>
        <v>20352</v>
      </c>
      <c r="C1753" s="2" t="s">
        <v>569</v>
      </c>
      <c r="D1753" s="2" t="str">
        <f t="shared" si="26"/>
        <v>Error?</v>
      </c>
    </row>
    <row r="1754" spans="1:5" x14ac:dyDescent="0.2">
      <c r="A1754" s="5">
        <v>1693</v>
      </c>
      <c r="B1754" s="1890">
        <f>'Tax Sched 23'!B14</f>
        <v>54168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2707641</v>
      </c>
      <c r="C1759" s="2" t="s">
        <v>569</v>
      </c>
      <c r="D1759" s="2" t="str">
        <f t="shared" si="26"/>
        <v>Error?</v>
      </c>
    </row>
    <row r="1760" spans="1:5" x14ac:dyDescent="0.2">
      <c r="A1760" s="5">
        <v>1699</v>
      </c>
      <c r="B1760" s="1890">
        <f>'Tax Sched 23'!D4</f>
        <v>855093</v>
      </c>
      <c r="C1760" s="2" t="s">
        <v>569</v>
      </c>
      <c r="D1760" s="2" t="str">
        <f t="shared" si="26"/>
        <v>Error?</v>
      </c>
    </row>
    <row r="1761" spans="1:7" x14ac:dyDescent="0.2">
      <c r="A1761" s="5">
        <v>1700</v>
      </c>
      <c r="B1761" s="1890">
        <f>'Tax Sched 23'!D5</f>
        <v>122127</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157911</v>
      </c>
      <c r="C1763" s="2" t="s">
        <v>569</v>
      </c>
      <c r="D1763" s="2" t="str">
        <f t="shared" si="26"/>
        <v>Error?</v>
      </c>
    </row>
    <row r="1764" spans="1:7" x14ac:dyDescent="0.2">
      <c r="A1764" s="5">
        <v>1703</v>
      </c>
      <c r="B1764" s="1890">
        <f>'Tax Sched 23'!D8</f>
        <v>11738</v>
      </c>
      <c r="C1764" s="2" t="s">
        <v>569</v>
      </c>
      <c r="D1764" s="2" t="str">
        <f t="shared" si="26"/>
        <v>Error?</v>
      </c>
    </row>
    <row r="1765" spans="1:7" x14ac:dyDescent="0.2">
      <c r="A1765" s="5">
        <v>1704</v>
      </c>
      <c r="B1765" s="1890">
        <f>'Tax Sched 23'!D10</f>
        <v>9033</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43015</v>
      </c>
      <c r="C1768" s="2" t="s">
        <v>569</v>
      </c>
      <c r="D1768" s="2" t="str">
        <f t="shared" si="26"/>
        <v>Error?</v>
      </c>
    </row>
    <row r="1769" spans="1:7" x14ac:dyDescent="0.2">
      <c r="A1769" s="5">
        <v>1708</v>
      </c>
      <c r="B1769" s="1890">
        <f>'Tax Sched 23'!D12</f>
        <v>20352</v>
      </c>
      <c r="C1769" s="2" t="s">
        <v>569</v>
      </c>
      <c r="D1769" s="2" t="str">
        <f t="shared" si="26"/>
        <v>Error?</v>
      </c>
    </row>
    <row r="1770" spans="1:7" x14ac:dyDescent="0.2">
      <c r="A1770" s="5">
        <v>1709</v>
      </c>
      <c r="B1770" s="1890">
        <f>'Tax Sched 23'!D14</f>
        <v>25678</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1263235</v>
      </c>
      <c r="C1775" s="2" t="s">
        <v>569</v>
      </c>
      <c r="D1775" s="2" t="str">
        <f t="shared" si="26"/>
        <v>Error?</v>
      </c>
    </row>
    <row r="1776" spans="1:7" x14ac:dyDescent="0.2">
      <c r="A1776" s="5">
        <v>1715</v>
      </c>
      <c r="B1776" s="1890">
        <f>'Tax Sched 23'!C4</f>
        <v>947419</v>
      </c>
      <c r="D1776" s="2" t="str">
        <f t="shared" si="26"/>
        <v>Error?</v>
      </c>
    </row>
    <row r="1777" spans="1:4" x14ac:dyDescent="0.2">
      <c r="A1777" s="5">
        <v>1716</v>
      </c>
      <c r="B1777" s="1890">
        <f>'Tax Sched 23'!C5</f>
        <v>101304</v>
      </c>
      <c r="D1777" s="2" t="str">
        <f t="shared" si="26"/>
        <v>Error?</v>
      </c>
    </row>
    <row r="1778" spans="1:4" x14ac:dyDescent="0.2">
      <c r="A1778" s="5">
        <v>1717</v>
      </c>
      <c r="B1778" s="1890">
        <f>'Tax Sched 23'!C6</f>
        <v>0</v>
      </c>
      <c r="D1778" s="2" t="str">
        <f t="shared" si="26"/>
        <v>Error?</v>
      </c>
    </row>
    <row r="1779" spans="1:4" x14ac:dyDescent="0.2">
      <c r="A1779" s="5">
        <v>1718</v>
      </c>
      <c r="B1779" s="1890">
        <f>'Tax Sched 23'!C7</f>
        <v>175010</v>
      </c>
      <c r="D1779" s="2" t="str">
        <f t="shared" si="26"/>
        <v>Error?</v>
      </c>
    </row>
    <row r="1780" spans="1:4" x14ac:dyDescent="0.2">
      <c r="A1780" s="5">
        <v>1719</v>
      </c>
      <c r="B1780" s="1890">
        <f>'Tax Sched 23'!C8</f>
        <v>27598</v>
      </c>
      <c r="D1780" s="2" t="str">
        <f t="shared" si="26"/>
        <v>Error?</v>
      </c>
    </row>
    <row r="1781" spans="1:4" x14ac:dyDescent="0.2">
      <c r="A1781" s="5">
        <v>1720</v>
      </c>
      <c r="B1781" s="1890">
        <f>'Tax Sched 23'!C10</f>
        <v>10036</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119647</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28490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1444406</v>
      </c>
      <c r="C1791" s="2" t="s">
        <v>569</v>
      </c>
      <c r="D1791" s="2" t="str">
        <f t="shared" ref="D1791:D1854" si="27">IF(ISBLANK(B1791),"OK",IF(A1791-B1791=0,"OK","Error?"))</f>
        <v>Error?</v>
      </c>
    </row>
    <row r="1792" spans="1:4" x14ac:dyDescent="0.2">
      <c r="A1792" s="5">
        <v>1731</v>
      </c>
      <c r="B1792" s="1890">
        <f>'Tax Sched 23'!F4</f>
        <v>915383</v>
      </c>
      <c r="C1792" s="2" t="s">
        <v>569</v>
      </c>
      <c r="D1792" s="2" t="str">
        <f t="shared" si="27"/>
        <v>Error?</v>
      </c>
    </row>
    <row r="1793" spans="1:4" x14ac:dyDescent="0.2">
      <c r="A1793" s="5">
        <v>1732</v>
      </c>
      <c r="B1793" s="1890">
        <f>'Tax Sched 23'!F5</f>
        <v>97879</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169092</v>
      </c>
      <c r="C1795" s="2" t="s">
        <v>569</v>
      </c>
      <c r="D1795" s="2" t="str">
        <f t="shared" si="27"/>
        <v>Error?</v>
      </c>
    </row>
    <row r="1796" spans="1:4" x14ac:dyDescent="0.2">
      <c r="A1796" s="5">
        <v>1735</v>
      </c>
      <c r="B1796" s="1890">
        <f>'Tax Sched 23'!F8</f>
        <v>26665</v>
      </c>
      <c r="C1796" s="2" t="s">
        <v>569</v>
      </c>
      <c r="D1796" s="2" t="str">
        <f t="shared" si="27"/>
        <v>Error?</v>
      </c>
    </row>
    <row r="1797" spans="1:4" x14ac:dyDescent="0.2">
      <c r="A1797" s="5">
        <v>1736</v>
      </c>
      <c r="B1797" s="1890">
        <f>'Tax Sched 23'!F10</f>
        <v>9696</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115601</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27527</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1395564</v>
      </c>
      <c r="C1807" s="2" t="s">
        <v>569</v>
      </c>
      <c r="D1807" s="2" t="str">
        <f t="shared" si="27"/>
        <v>Error?</v>
      </c>
    </row>
    <row r="1808" spans="1:4" x14ac:dyDescent="0.2">
      <c r="A1808" s="5">
        <v>1747</v>
      </c>
      <c r="B1808" s="1890">
        <f>'Tax Sched 23'!E4</f>
        <v>1862802</v>
      </c>
      <c r="D1808" s="2" t="str">
        <f t="shared" si="27"/>
        <v>Error?</v>
      </c>
    </row>
    <row r="1809" spans="1:4" x14ac:dyDescent="0.2">
      <c r="A1809" s="5">
        <v>1748</v>
      </c>
      <c r="B1809" s="1890">
        <f>'Tax Sched 23'!E5</f>
        <v>199183</v>
      </c>
      <c r="D1809" s="2" t="str">
        <f t="shared" si="27"/>
        <v>Error?</v>
      </c>
    </row>
    <row r="1810" spans="1:4" x14ac:dyDescent="0.2">
      <c r="A1810" s="5">
        <v>1749</v>
      </c>
      <c r="B1810" s="1890">
        <f>'Tax Sched 23'!E6</f>
        <v>0</v>
      </c>
      <c r="D1810" s="2" t="str">
        <f t="shared" si="27"/>
        <v>Error?</v>
      </c>
    </row>
    <row r="1811" spans="1:4" x14ac:dyDescent="0.2">
      <c r="A1811" s="5">
        <v>1750</v>
      </c>
      <c r="B1811" s="1890">
        <f>'Tax Sched 23'!E7</f>
        <v>344102</v>
      </c>
      <c r="D1811" s="2" t="str">
        <f t="shared" si="27"/>
        <v>Error?</v>
      </c>
    </row>
    <row r="1812" spans="1:4" x14ac:dyDescent="0.2">
      <c r="A1812" s="5">
        <v>1751</v>
      </c>
      <c r="B1812" s="1890">
        <f>'Tax Sched 23'!E8</f>
        <v>54263</v>
      </c>
      <c r="D1812" s="2" t="str">
        <f t="shared" si="27"/>
        <v>Error?</v>
      </c>
    </row>
    <row r="1813" spans="1:4" x14ac:dyDescent="0.2">
      <c r="A1813" s="5">
        <v>1752</v>
      </c>
      <c r="B1813" s="1890">
        <f>'Tax Sched 23'!E10</f>
        <v>19732</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235248</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56017</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2839970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27543</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54168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54168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54168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9126877</v>
      </c>
      <c r="D2009" s="2" t="str">
        <f t="shared" si="30"/>
        <v>Error?</v>
      </c>
    </row>
    <row r="2010" spans="1:4" x14ac:dyDescent="0.2">
      <c r="A2010" s="5">
        <v>1949</v>
      </c>
      <c r="B2010" s="1890">
        <f>'Cap Outlay Deprec 26'!C10</f>
        <v>284050</v>
      </c>
      <c r="D2010" s="2" t="str">
        <f t="shared" si="30"/>
        <v>Error?</v>
      </c>
    </row>
    <row r="2011" spans="1:4" x14ac:dyDescent="0.2">
      <c r="A2011" s="5">
        <v>1950</v>
      </c>
      <c r="B2011" s="1890">
        <f>'Cap Outlay Deprec 26'!C12</f>
        <v>940676</v>
      </c>
      <c r="D2011" s="2" t="str">
        <f t="shared" si="30"/>
        <v>Error?</v>
      </c>
    </row>
    <row r="2012" spans="1:4" x14ac:dyDescent="0.2">
      <c r="A2012" s="5">
        <v>1951</v>
      </c>
      <c r="B2012" s="1890">
        <f>'Cap Outlay Deprec 26'!C13</f>
        <v>3217</v>
      </c>
      <c r="D2012" s="2" t="str">
        <f t="shared" si="30"/>
        <v>Error?</v>
      </c>
    </row>
    <row r="2013" spans="1:4" x14ac:dyDescent="0.2">
      <c r="A2013" s="5">
        <v>1952</v>
      </c>
      <c r="B2013" s="1890">
        <f>'Cap Outlay Deprec 26'!C16</f>
        <v>10699278</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203090</v>
      </c>
      <c r="D2016" s="2" t="str">
        <f t="shared" si="30"/>
        <v>Error?</v>
      </c>
    </row>
    <row r="2017" spans="1:4" x14ac:dyDescent="0.2">
      <c r="A2017" s="5">
        <v>1956</v>
      </c>
      <c r="B2017" s="1890">
        <f>'Cap Outlay Deprec 26'!D12</f>
        <v>27144</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230234</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203090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9126877</v>
      </c>
      <c r="C2027" s="2" t="s">
        <v>569</v>
      </c>
      <c r="D2027" s="2" t="str">
        <f t="shared" si="30"/>
        <v>Error?</v>
      </c>
    </row>
    <row r="2028" spans="1:4" x14ac:dyDescent="0.2">
      <c r="A2028" s="5">
        <v>1967</v>
      </c>
      <c r="B2028" s="1890">
        <f>'Cap Outlay Deprec 26'!F10</f>
        <v>487140</v>
      </c>
      <c r="C2028" s="2" t="s">
        <v>569</v>
      </c>
      <c r="D2028" s="2" t="str">
        <f t="shared" si="30"/>
        <v>Error?</v>
      </c>
    </row>
    <row r="2029" spans="1:4" x14ac:dyDescent="0.2">
      <c r="A2029" s="5">
        <v>1968</v>
      </c>
      <c r="B2029" s="1890">
        <f>'Cap Outlay Deprec 26'!F12</f>
        <v>967820</v>
      </c>
      <c r="C2029" s="2" t="s">
        <v>569</v>
      </c>
      <c r="D2029" s="2" t="str">
        <f t="shared" si="30"/>
        <v>Error?</v>
      </c>
    </row>
    <row r="2030" spans="1:4" x14ac:dyDescent="0.2">
      <c r="A2030" s="5">
        <v>1969</v>
      </c>
      <c r="B2030" s="1890">
        <f>'Cap Outlay Deprec 26'!F13</f>
        <v>3217</v>
      </c>
      <c r="C2030" s="2" t="s">
        <v>569</v>
      </c>
      <c r="D2030" s="2" t="str">
        <f t="shared" si="30"/>
        <v>Error?</v>
      </c>
    </row>
    <row r="2031" spans="1:4" x14ac:dyDescent="0.2">
      <c r="A2031" s="5">
        <v>1970</v>
      </c>
      <c r="B2031" s="1890">
        <f>'Cap Outlay Deprec 26'!F16</f>
        <v>10726422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2758895</v>
      </c>
      <c r="D2033" s="2" t="str">
        <f t="shared" si="30"/>
        <v>Error?</v>
      </c>
    </row>
    <row r="2034" spans="1:4" x14ac:dyDescent="0.2">
      <c r="A2034" s="5">
        <v>1973</v>
      </c>
      <c r="B2034" s="1890">
        <f>'Cap Outlay Deprec 26'!H10</f>
        <v>125204</v>
      </c>
      <c r="D2034" s="2" t="str">
        <f t="shared" si="30"/>
        <v>Error?</v>
      </c>
    </row>
    <row r="2035" spans="1:4" x14ac:dyDescent="0.2">
      <c r="A2035" s="5">
        <v>1974</v>
      </c>
      <c r="B2035" s="1890">
        <f>'Cap Outlay Deprec 26'!H12</f>
        <v>657034</v>
      </c>
      <c r="D2035" s="2" t="str">
        <f t="shared" si="30"/>
        <v>Error?</v>
      </c>
    </row>
    <row r="2036" spans="1:4" x14ac:dyDescent="0.2">
      <c r="A2036" s="5">
        <v>1975</v>
      </c>
      <c r="B2036" s="1890">
        <f>'Cap Outlay Deprec 26'!H13</f>
        <v>3217</v>
      </c>
      <c r="D2036" s="2" t="str">
        <f t="shared" si="30"/>
        <v>Error?</v>
      </c>
    </row>
    <row r="2037" spans="1:4" x14ac:dyDescent="0.2">
      <c r="A2037" s="5">
        <v>1976</v>
      </c>
      <c r="B2037" s="1890">
        <f>'Cap Outlay Deprec 26'!H16</f>
        <v>3676418</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182537</v>
      </c>
      <c r="D2039" s="2" t="str">
        <f t="shared" si="30"/>
        <v>Error?</v>
      </c>
    </row>
    <row r="2040" spans="1:4" x14ac:dyDescent="0.2">
      <c r="A2040" s="5">
        <v>1979</v>
      </c>
      <c r="B2040" s="1890">
        <f>'Cap Outlay Deprec 26'!I10</f>
        <v>18883</v>
      </c>
      <c r="D2040" s="2" t="str">
        <f t="shared" si="30"/>
        <v>Error?</v>
      </c>
    </row>
    <row r="2041" spans="1:4" x14ac:dyDescent="0.2">
      <c r="A2041" s="5">
        <v>1980</v>
      </c>
      <c r="B2041" s="1890">
        <f>'Cap Outlay Deprec 26'!I12</f>
        <v>27920</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229940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2941432</v>
      </c>
      <c r="C2051" s="2" t="s">
        <v>569</v>
      </c>
      <c r="D2051" s="2" t="str">
        <f t="shared" si="31"/>
        <v>Error?</v>
      </c>
    </row>
    <row r="2052" spans="1:4" x14ac:dyDescent="0.2">
      <c r="A2052" s="5">
        <v>1991</v>
      </c>
      <c r="B2052" s="1890">
        <f>'Cap Outlay Deprec 26'!K10</f>
        <v>144087</v>
      </c>
      <c r="C2052" s="2" t="s">
        <v>569</v>
      </c>
      <c r="D2052" s="2" t="str">
        <f t="shared" si="31"/>
        <v>Error?</v>
      </c>
    </row>
    <row r="2053" spans="1:4" x14ac:dyDescent="0.2">
      <c r="A2053" s="5">
        <v>1992</v>
      </c>
      <c r="B2053" s="1890">
        <f>'Cap Outlay Deprec 26'!K12</f>
        <v>684954</v>
      </c>
      <c r="C2053" s="2" t="s">
        <v>569</v>
      </c>
      <c r="D2053" s="2" t="str">
        <f t="shared" si="31"/>
        <v>Error?</v>
      </c>
    </row>
    <row r="2054" spans="1:4" x14ac:dyDescent="0.2">
      <c r="A2054" s="5">
        <v>1993</v>
      </c>
      <c r="B2054" s="1890">
        <f>'Cap Outlay Deprec 26'!K13</f>
        <v>3217</v>
      </c>
      <c r="C2054" s="2" t="s">
        <v>569</v>
      </c>
      <c r="D2054" s="2" t="str">
        <f t="shared" si="31"/>
        <v>Error?</v>
      </c>
    </row>
    <row r="2055" spans="1:4" x14ac:dyDescent="0.2">
      <c r="A2055" s="5">
        <v>1994</v>
      </c>
      <c r="B2055" s="1890">
        <f>'Cap Outlay Deprec 26'!K16</f>
        <v>3906358</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6185445</v>
      </c>
      <c r="C2057" s="2" t="s">
        <v>569</v>
      </c>
      <c r="D2057" s="2" t="str">
        <f t="shared" si="31"/>
        <v>Error?</v>
      </c>
    </row>
    <row r="2058" spans="1:4" x14ac:dyDescent="0.2">
      <c r="A2058" s="5">
        <v>1997</v>
      </c>
      <c r="B2058" s="1890">
        <f>'Cap Outlay Deprec 26'!L10</f>
        <v>343053</v>
      </c>
      <c r="C2058" s="2" t="s">
        <v>569</v>
      </c>
      <c r="D2058" s="2" t="str">
        <f t="shared" si="31"/>
        <v>Error?</v>
      </c>
    </row>
    <row r="2059" spans="1:4" x14ac:dyDescent="0.2">
      <c r="A2059" s="5">
        <v>1998</v>
      </c>
      <c r="B2059" s="1890">
        <f>'Cap Outlay Deprec 26'!L12</f>
        <v>282866</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6820064</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544832</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310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310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2025726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310040</v>
      </c>
      <c r="C2553" s="2" t="s">
        <v>569</v>
      </c>
      <c r="D2553" s="2" t="str">
        <f t="shared" si="38"/>
        <v>Error?</v>
      </c>
    </row>
    <row r="2554" spans="1:4" x14ac:dyDescent="0.2">
      <c r="A2554" s="5">
        <v>2493</v>
      </c>
      <c r="B2554" s="1890">
        <f>'Acct Summary 7-8'!C7</f>
        <v>884455</v>
      </c>
      <c r="C2554" s="2" t="s">
        <v>569</v>
      </c>
      <c r="D2554" s="2" t="str">
        <f t="shared" si="38"/>
        <v>Error?</v>
      </c>
    </row>
    <row r="2555" spans="1:4" x14ac:dyDescent="0.2">
      <c r="A2555" s="5">
        <v>2494</v>
      </c>
      <c r="B2555" s="1890">
        <f>'Acct Summary 7-8'!C8</f>
        <v>3220221</v>
      </c>
      <c r="C2555" s="2" t="s">
        <v>569</v>
      </c>
      <c r="D2555" s="2" t="str">
        <f t="shared" si="38"/>
        <v>Error?</v>
      </c>
    </row>
    <row r="2556" spans="1:4" x14ac:dyDescent="0.2">
      <c r="A2556" s="5">
        <v>2495</v>
      </c>
      <c r="B2556" s="1890">
        <f>'Acct Summary 7-8'!C12</f>
        <v>2072687</v>
      </c>
      <c r="C2556" s="2" t="s">
        <v>569</v>
      </c>
      <c r="D2556" s="2" t="str">
        <f t="shared" si="38"/>
        <v>Error?</v>
      </c>
    </row>
    <row r="2557" spans="1:4" x14ac:dyDescent="0.2">
      <c r="A2557" s="5">
        <v>2496</v>
      </c>
      <c r="B2557" s="1890">
        <f>'Acct Summary 7-8'!C13</f>
        <v>798543</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544832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3416062</v>
      </c>
      <c r="C2561" s="2" t="s">
        <v>569</v>
      </c>
      <c r="D2561" s="2" t="str">
        <f t="shared" si="39"/>
        <v>Error?</v>
      </c>
    </row>
    <row r="2562" spans="1:4" x14ac:dyDescent="0.2">
      <c r="A2562" s="5">
        <v>2501</v>
      </c>
      <c r="B2562" s="1890">
        <f>'Acct Summary 7-8'!C20</f>
        <v>-195841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229628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14466</v>
      </c>
      <c r="C2567" s="2" t="s">
        <v>569</v>
      </c>
      <c r="D2567" s="2" t="str">
        <f t="shared" si="39"/>
        <v>Error?</v>
      </c>
    </row>
    <row r="2568" spans="1:4" x14ac:dyDescent="0.2">
      <c r="A2568" s="5">
        <v>2507</v>
      </c>
      <c r="B2568" s="1890">
        <f>'Acct Summary 7-8'!D8</f>
        <v>244094</v>
      </c>
      <c r="C2568" s="2" t="s">
        <v>569</v>
      </c>
      <c r="D2568" s="2" t="str">
        <f t="shared" si="39"/>
        <v>Error?</v>
      </c>
    </row>
    <row r="2569" spans="1:4" x14ac:dyDescent="0.2">
      <c r="A2569" s="5">
        <v>2508</v>
      </c>
      <c r="B2569" s="1890">
        <f>'Acct Summary 7-8'!D13</f>
        <v>431039</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310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431349</v>
      </c>
      <c r="C2573" s="2" t="s">
        <v>569</v>
      </c>
      <c r="D2573" s="2" t="str">
        <f t="shared" si="39"/>
        <v>Error?</v>
      </c>
    </row>
    <row r="2574" spans="1:4" x14ac:dyDescent="0.2">
      <c r="A2574" s="5">
        <v>2513</v>
      </c>
      <c r="B2574" s="1890">
        <f>'Acct Summary 7-8'!D20</f>
        <v>-187255</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332921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245756</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578677</v>
      </c>
      <c r="C2595" s="2" t="s">
        <v>569</v>
      </c>
      <c r="D2595" s="2" t="str">
        <f t="shared" si="39"/>
        <v>Error?</v>
      </c>
    </row>
    <row r="2596" spans="1:4" x14ac:dyDescent="0.2">
      <c r="A2596" s="5">
        <v>2535</v>
      </c>
      <c r="B2596" s="1890">
        <f>'Acct Summary 7-8'!F13</f>
        <v>437518</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437518</v>
      </c>
      <c r="C2600" s="2" t="s">
        <v>569</v>
      </c>
      <c r="D2600" s="2" t="str">
        <f t="shared" si="39"/>
        <v>Error?</v>
      </c>
    </row>
    <row r="2601" spans="1:4" x14ac:dyDescent="0.2">
      <c r="A2601" s="5">
        <v>2540</v>
      </c>
      <c r="B2601" s="1890">
        <f>'Acct Summary 7-8'!F20</f>
        <v>141159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191016</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191016</v>
      </c>
      <c r="C2606" s="2" t="s">
        <v>569</v>
      </c>
      <c r="D2606" s="2" t="str">
        <f t="shared" si="39"/>
        <v>Error?</v>
      </c>
    </row>
    <row r="2607" spans="1:4" x14ac:dyDescent="0.2">
      <c r="A2607" s="5">
        <v>2546</v>
      </c>
      <c r="B2607" s="1890">
        <f>'Acct Summary 7-8'!G12</f>
        <v>27878</v>
      </c>
      <c r="C2607" s="2" t="s">
        <v>569</v>
      </c>
      <c r="D2607" s="2" t="str">
        <f t="shared" si="39"/>
        <v>Error?</v>
      </c>
    </row>
    <row r="2608" spans="1:4" x14ac:dyDescent="0.2">
      <c r="A2608" s="5">
        <v>2547</v>
      </c>
      <c r="B2608" s="1890">
        <f>'Acct Summary 7-8'!G13</f>
        <v>66465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94343</v>
      </c>
      <c r="C2612" s="2" t="s">
        <v>569</v>
      </c>
      <c r="D2612" s="2" t="str">
        <f t="shared" si="39"/>
        <v>Error?</v>
      </c>
    </row>
    <row r="2613" spans="1:4" x14ac:dyDescent="0.2">
      <c r="A2613" s="5">
        <v>2552</v>
      </c>
      <c r="B2613" s="1890">
        <f>'Acct Summary 7-8'!G20</f>
        <v>96673</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10161</v>
      </c>
      <c r="C2634" s="2" t="s">
        <v>569</v>
      </c>
      <c r="D2634" s="2" t="str">
        <f t="shared" si="40"/>
        <v>Error?</v>
      </c>
    </row>
    <row r="2635" spans="1:4" x14ac:dyDescent="0.2">
      <c r="A2635" s="5">
        <v>2574</v>
      </c>
      <c r="B2635" s="1890">
        <f>'Acct Summary 7-8'!E17</f>
        <v>10161</v>
      </c>
      <c r="C2635" s="2" t="s">
        <v>569</v>
      </c>
      <c r="D2635" s="2" t="str">
        <f t="shared" si="40"/>
        <v>Error?</v>
      </c>
    </row>
    <row r="2636" spans="1:4" x14ac:dyDescent="0.2">
      <c r="A2636" s="5">
        <v>2575</v>
      </c>
      <c r="B2636" s="1890">
        <f>'Acct Summary 7-8'!E20</f>
        <v>-10161</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544832</v>
      </c>
      <c r="C2789" s="2" t="s">
        <v>569</v>
      </c>
      <c r="D2789" s="2" t="str">
        <f t="shared" si="42"/>
        <v>Error?</v>
      </c>
    </row>
    <row r="2790" spans="1:4" x14ac:dyDescent="0.2">
      <c r="A2790" s="5">
        <v>2729</v>
      </c>
      <c r="B2790" s="1890">
        <f>'Expenditures 15-22'!E102</f>
        <v>544832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38258</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19535</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38258</v>
      </c>
      <c r="D2912" s="2" t="str">
        <f t="shared" si="44"/>
        <v>Error?</v>
      </c>
    </row>
    <row r="2913" spans="1:4" x14ac:dyDescent="0.2">
      <c r="A2913" s="5">
        <v>2852</v>
      </c>
      <c r="B2913" s="1890">
        <f>'Assets-Liab 5-6'!I41</f>
        <v>38258</v>
      </c>
      <c r="C2913" s="2" t="s">
        <v>569</v>
      </c>
      <c r="D2913" s="2" t="str">
        <f t="shared" si="44"/>
        <v>Error?</v>
      </c>
    </row>
    <row r="2914" spans="1:4" x14ac:dyDescent="0.2">
      <c r="A2914" s="5">
        <v>2853</v>
      </c>
      <c r="B2914" s="1890">
        <f>'Assets-Liab 5-6'!L33</f>
        <v>19535</v>
      </c>
      <c r="D2914" s="2" t="str">
        <f t="shared" si="44"/>
        <v>Error?</v>
      </c>
    </row>
    <row r="2915" spans="1:4" x14ac:dyDescent="0.2">
      <c r="A2915" s="10">
        <v>2854</v>
      </c>
      <c r="B2915" s="1890"/>
      <c r="D2915" s="2" t="str">
        <f t="shared" si="44"/>
        <v>OK</v>
      </c>
    </row>
    <row r="2916" spans="1:4" x14ac:dyDescent="0.2">
      <c r="A2916" s="5">
        <v>2855</v>
      </c>
      <c r="B2916" s="1890">
        <f>'Assets-Liab 5-6'!L34</f>
        <v>19535</v>
      </c>
      <c r="C2916" s="2" t="s">
        <v>569</v>
      </c>
      <c r="D2916" s="2" t="str">
        <f t="shared" si="44"/>
        <v>Error?</v>
      </c>
    </row>
    <row r="2917" spans="1:4" x14ac:dyDescent="0.2">
      <c r="A2917" s="5">
        <v>2856</v>
      </c>
      <c r="B2917" s="1890">
        <f>'Assets-Liab 5-6'!L41</f>
        <v>19535</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544832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544832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310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310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19069</v>
      </c>
      <c r="C3225" s="2" t="s">
        <v>569</v>
      </c>
      <c r="D3225" s="2" t="str">
        <f t="shared" si="49"/>
        <v>Error?</v>
      </c>
    </row>
    <row r="3226" spans="1:4" x14ac:dyDescent="0.2">
      <c r="A3226" s="5">
        <v>3165</v>
      </c>
      <c r="B3226" s="1890">
        <f>'Acct Summary 7-8'!I8</f>
        <v>19069</v>
      </c>
      <c r="C3226" s="2" t="s">
        <v>569</v>
      </c>
      <c r="D3226" s="2" t="str">
        <f t="shared" si="49"/>
        <v>Error?</v>
      </c>
    </row>
    <row r="3227" spans="1:4" x14ac:dyDescent="0.2">
      <c r="A3227" s="5">
        <v>3166</v>
      </c>
      <c r="B3227" s="1890">
        <f>'Acct Summary 7-8'!I20</f>
        <v>19069</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10161</v>
      </c>
      <c r="C3231" s="2" t="s">
        <v>569</v>
      </c>
      <c r="D3231" s="2" t="str">
        <f t="shared" si="49"/>
        <v>Error?</v>
      </c>
    </row>
    <row r="3232" spans="1:4" x14ac:dyDescent="0.2">
      <c r="A3232" s="5">
        <v>3171</v>
      </c>
      <c r="B3232" s="1890">
        <f>'Acct Summary 7-8'!C77</f>
        <v>-10161</v>
      </c>
      <c r="C3232" s="2" t="s">
        <v>569</v>
      </c>
      <c r="D3232" s="2" t="str">
        <f t="shared" si="49"/>
        <v>Error?</v>
      </c>
    </row>
    <row r="3233" spans="1:4" x14ac:dyDescent="0.2">
      <c r="A3233" s="5">
        <v>3172</v>
      </c>
      <c r="B3233" s="1890">
        <f>'Acct Summary 7-8'!C78</f>
        <v>-206002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-187255</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141159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96673</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10161</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10161</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19069</v>
      </c>
      <c r="C3320" s="2" t="s">
        <v>569</v>
      </c>
      <c r="D3320" s="2" t="str">
        <f t="shared" si="50"/>
        <v>Error?</v>
      </c>
    </row>
    <row r="3321" spans="1:4" x14ac:dyDescent="0.2">
      <c r="A3321" s="5">
        <v>3260</v>
      </c>
      <c r="B3321" s="1890">
        <f>'Acct Summary 7-8'!I79</f>
        <v>19189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38258</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27573</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27573</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1724796</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982564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349802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102925</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38258</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19535</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53190</v>
      </c>
      <c r="C3446" s="2" t="s">
        <v>569</v>
      </c>
      <c r="D3446" s="2" t="str">
        <f t="shared" si="52"/>
        <v>Error?</v>
      </c>
    </row>
    <row r="3447" spans="1:4" x14ac:dyDescent="0.2">
      <c r="A3447" s="5">
        <v>3386</v>
      </c>
      <c r="B3447" s="1890">
        <f>'Tax Sched 23'!D16</f>
        <v>18288</v>
      </c>
      <c r="C3447" s="2" t="s">
        <v>569</v>
      </c>
      <c r="D3447" s="2" t="str">
        <f t="shared" si="52"/>
        <v>Error?</v>
      </c>
    </row>
    <row r="3448" spans="1:4" x14ac:dyDescent="0.2">
      <c r="A3448" s="5">
        <v>3387</v>
      </c>
      <c r="B3448" s="1890">
        <f>'Tax Sched 23'!C16</f>
        <v>34902</v>
      </c>
      <c r="D3448" s="2" t="str">
        <f t="shared" si="52"/>
        <v>Error?</v>
      </c>
    </row>
    <row r="3449" spans="1:4" x14ac:dyDescent="0.2">
      <c r="A3449" s="5">
        <v>3388</v>
      </c>
      <c r="B3449" s="1890">
        <f>'Tax Sched 23'!F16</f>
        <v>33721</v>
      </c>
      <c r="C3449" s="2" t="s">
        <v>569</v>
      </c>
      <c r="D3449" s="2" t="str">
        <f t="shared" si="52"/>
        <v>Error?</v>
      </c>
    </row>
    <row r="3450" spans="1:4" x14ac:dyDescent="0.2">
      <c r="A3450" s="5">
        <v>3389</v>
      </c>
      <c r="B3450" s="1890">
        <f>'Tax Sched 23'!E16</f>
        <v>68623</v>
      </c>
      <c r="D3450" s="2" t="str">
        <f t="shared" si="52"/>
        <v>Error?</v>
      </c>
    </row>
    <row r="3451" spans="1:4" x14ac:dyDescent="0.2">
      <c r="A3451" s="5">
        <v>3390</v>
      </c>
      <c r="B3451" s="1890">
        <f>'Cap Outlay Deprec 26'!C15</f>
        <v>203090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203090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31308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31308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31308</v>
      </c>
      <c r="D3567" s="2" t="str">
        <f t="shared" si="54"/>
        <v>Error?</v>
      </c>
    </row>
    <row r="3568" spans="1:4" x14ac:dyDescent="0.2">
      <c r="A3568" s="5">
        <v>3507</v>
      </c>
      <c r="B3568" s="1890">
        <f>'Assets-Liab 5-6'!K41</f>
        <v>31308</v>
      </c>
      <c r="C3568" s="2" t="s">
        <v>569</v>
      </c>
      <c r="D3568" s="2" t="str">
        <f t="shared" si="54"/>
        <v>Error?</v>
      </c>
    </row>
    <row r="3569" spans="1:4" x14ac:dyDescent="0.2">
      <c r="A3569" s="5">
        <v>3508</v>
      </c>
      <c r="B3569" s="1890">
        <f>'Acct Summary 7-8'!K4</f>
        <v>20352</v>
      </c>
      <c r="C3569" s="2" t="s">
        <v>569</v>
      </c>
      <c r="D3569" s="2" t="str">
        <f t="shared" si="54"/>
        <v>Error?</v>
      </c>
    </row>
    <row r="3570" spans="1:4" x14ac:dyDescent="0.2">
      <c r="A3570" s="5">
        <v>3509</v>
      </c>
      <c r="B3570" s="1890">
        <f>'Acct Summary 7-8'!K6</f>
        <v>29450</v>
      </c>
      <c r="C3570" s="2" t="s">
        <v>569</v>
      </c>
      <c r="D3570" s="2" t="str">
        <f t="shared" si="54"/>
        <v>Error?</v>
      </c>
    </row>
    <row r="3571" spans="1:4" x14ac:dyDescent="0.2">
      <c r="A3571" s="5">
        <v>3510</v>
      </c>
      <c r="B3571" s="1890">
        <f>'Acct Summary 7-8'!K8</f>
        <v>49802</v>
      </c>
      <c r="C3571" s="2" t="s">
        <v>569</v>
      </c>
      <c r="D3571" s="2" t="str">
        <f t="shared" si="54"/>
        <v>Error?</v>
      </c>
    </row>
    <row r="3572" spans="1:4" x14ac:dyDescent="0.2">
      <c r="A3572" s="5">
        <v>3511</v>
      </c>
      <c r="B3572" s="1890">
        <f>'Acct Summary 7-8'!K13</f>
        <v>40990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40990</v>
      </c>
      <c r="C3575" s="2" t="s">
        <v>569</v>
      </c>
      <c r="D3575" s="2" t="str">
        <f t="shared" si="54"/>
        <v>Error?</v>
      </c>
    </row>
    <row r="3576" spans="1:4" x14ac:dyDescent="0.2">
      <c r="A3576" s="5">
        <v>3515</v>
      </c>
      <c r="B3576" s="1890">
        <f>'Acct Summary 7-8'!K20</f>
        <v>8812</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8812</v>
      </c>
      <c r="C3588" s="2" t="s">
        <v>569</v>
      </c>
      <c r="D3588" s="2" t="str">
        <f t="shared" si="55"/>
        <v>Error?</v>
      </c>
    </row>
    <row r="3589" spans="1:4" x14ac:dyDescent="0.2">
      <c r="A3589" s="5">
        <v>3528</v>
      </c>
      <c r="B3589" s="1890">
        <f>'Acct Summary 7-8'!K79</f>
        <v>22496</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31308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40990</v>
      </c>
      <c r="D3632" s="2" t="str">
        <f t="shared" si="55"/>
        <v>Error?</v>
      </c>
    </row>
    <row r="3633" spans="1:4" x14ac:dyDescent="0.2">
      <c r="A3633" s="5">
        <v>3572</v>
      </c>
      <c r="B3633" s="1890">
        <f>'Expenditures 15-22'!E350</f>
        <v>40990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40990</v>
      </c>
      <c r="C3635" s="2" t="s">
        <v>569</v>
      </c>
      <c r="D3635" s="2" t="str">
        <f t="shared" si="55"/>
        <v>Error?</v>
      </c>
    </row>
    <row r="3636" spans="1:4" x14ac:dyDescent="0.2">
      <c r="A3636" s="5">
        <v>3575</v>
      </c>
      <c r="B3636" s="1890">
        <f>'Expenditures 15-22'!E367</f>
        <v>40990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40990</v>
      </c>
      <c r="C3669" s="2" t="s">
        <v>569</v>
      </c>
      <c r="D3669" s="2" t="str">
        <f t="shared" si="56"/>
        <v>Error?</v>
      </c>
    </row>
    <row r="3670" spans="1:4" x14ac:dyDescent="0.2">
      <c r="A3670" s="5">
        <v>3609</v>
      </c>
      <c r="B3670" s="1890">
        <f>'Expenditures 15-22'!K350</f>
        <v>40990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40990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40990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8812</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54020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1708353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4928574</v>
      </c>
      <c r="C4122" s="2" t="s">
        <v>569</v>
      </c>
      <c r="D4122" s="2" t="str">
        <f t="shared" si="63"/>
        <v>Error?</v>
      </c>
    </row>
    <row r="4123" spans="1:4" x14ac:dyDescent="0.2">
      <c r="A4123" s="5">
        <v>4062</v>
      </c>
      <c r="B4123" s="1890">
        <f>'Acct Summary 7-8'!D10</f>
        <v>244094</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578677</v>
      </c>
      <c r="C4125" s="2" t="s">
        <v>569</v>
      </c>
      <c r="D4125" s="2" t="str">
        <f t="shared" si="63"/>
        <v>Error?</v>
      </c>
    </row>
    <row r="4126" spans="1:4" x14ac:dyDescent="0.2">
      <c r="A4126" s="5">
        <v>4065</v>
      </c>
      <c r="B4126" s="1890">
        <f>'Acct Summary 7-8'!G10</f>
        <v>191016</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19069</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49802</v>
      </c>
      <c r="C4130" s="2" t="s">
        <v>569</v>
      </c>
      <c r="D4130" s="2" t="str">
        <f t="shared" si="63"/>
        <v>Error?</v>
      </c>
    </row>
    <row r="4131" spans="1:4" x14ac:dyDescent="0.2">
      <c r="A4131" s="5">
        <v>4070</v>
      </c>
      <c r="B4131" s="1890">
        <f>'Acct Summary 7-8'!C18</f>
        <v>1708353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5124415</v>
      </c>
      <c r="C4136" s="2" t="s">
        <v>569</v>
      </c>
      <c r="D4136" s="2" t="str">
        <f t="shared" si="63"/>
        <v>Error?</v>
      </c>
    </row>
    <row r="4137" spans="1:4" x14ac:dyDescent="0.2">
      <c r="A4137" s="5">
        <v>4076</v>
      </c>
      <c r="B4137" s="1890">
        <f>'Acct Summary 7-8'!D19</f>
        <v>431349</v>
      </c>
      <c r="C4137" s="2" t="s">
        <v>569</v>
      </c>
      <c r="D4137" s="2" t="str">
        <f t="shared" si="63"/>
        <v>Error?</v>
      </c>
    </row>
    <row r="4138" spans="1:4" x14ac:dyDescent="0.2">
      <c r="A4138" s="5">
        <v>4077</v>
      </c>
      <c r="B4138" s="1890">
        <f>'Acct Summary 7-8'!E19</f>
        <v>10161</v>
      </c>
      <c r="C4138" s="2" t="s">
        <v>569</v>
      </c>
      <c r="D4138" s="2" t="str">
        <f t="shared" si="63"/>
        <v>Error?</v>
      </c>
    </row>
    <row r="4139" spans="1:4" x14ac:dyDescent="0.2">
      <c r="A4139" s="5">
        <v>4078</v>
      </c>
      <c r="B4139" s="1890">
        <f>'Acct Summary 7-8'!F19</f>
        <v>437518</v>
      </c>
      <c r="C4139" s="2" t="s">
        <v>569</v>
      </c>
      <c r="D4139" s="2" t="str">
        <f t="shared" si="63"/>
        <v>Error?</v>
      </c>
    </row>
    <row r="4140" spans="1:4" x14ac:dyDescent="0.2">
      <c r="A4140" s="5">
        <v>4079</v>
      </c>
      <c r="B4140" s="1890">
        <f>'Acct Summary 7-8'!G19</f>
        <v>94343</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40990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18827</v>
      </c>
      <c r="C4171" s="2" t="s">
        <v>569</v>
      </c>
      <c r="D4171" s="2" t="str">
        <f t="shared" si="64"/>
        <v>Error?</v>
      </c>
    </row>
    <row r="4172" spans="1:4" x14ac:dyDescent="0.2">
      <c r="A4172" s="5">
        <v>4111</v>
      </c>
      <c r="B4172" s="1890">
        <f>'Short-Term Long-Term Debt 24'!J49</f>
        <v>18827</v>
      </c>
      <c r="C4172" s="2" t="s">
        <v>569</v>
      </c>
      <c r="D4172" s="2" t="str">
        <f t="shared" si="64"/>
        <v>Error?</v>
      </c>
    </row>
    <row r="4173" spans="1:4" x14ac:dyDescent="0.2">
      <c r="A4173" s="5">
        <v>4112</v>
      </c>
      <c r="B4173" s="1890">
        <f>'Short-Term Long-Term Debt 24'!H49</f>
        <v>8716</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1699.3000000000002</v>
      </c>
      <c r="C4265" s="2" t="s">
        <v>569</v>
      </c>
      <c r="D4265" s="2" t="str">
        <f t="shared" si="65"/>
        <v>Error?</v>
      </c>
      <c r="E4265" s="125"/>
    </row>
    <row r="4266" spans="1:5" x14ac:dyDescent="0.2">
      <c r="A4266" s="12">
        <v>4205</v>
      </c>
      <c r="B4266" s="1890">
        <f>('FP Info 3'!F10)*100000</f>
        <v>181.70000000000002</v>
      </c>
      <c r="C4266" s="2" t="s">
        <v>569</v>
      </c>
      <c r="D4266" s="2" t="str">
        <f t="shared" si="65"/>
        <v>Error?</v>
      </c>
      <c r="E4266" s="125"/>
    </row>
    <row r="4267" spans="1:5" x14ac:dyDescent="0.2">
      <c r="A4267" s="12">
        <v>4206</v>
      </c>
      <c r="B4267" s="1890">
        <f>('FP Info 3'!H10)*100000</f>
        <v>313.89999999999998</v>
      </c>
      <c r="C4267" s="2" t="s">
        <v>569</v>
      </c>
      <c r="D4267" s="2" t="str">
        <f t="shared" si="65"/>
        <v>Error?</v>
      </c>
      <c r="E4267" s="125"/>
    </row>
    <row r="4268" spans="1:5" x14ac:dyDescent="0.2">
      <c r="A4268" s="12">
        <v>4207</v>
      </c>
      <c r="B4268" s="1890">
        <f>('FP Info 3'!J10)*100000</f>
        <v>2195</v>
      </c>
      <c r="C4268" s="2" t="s">
        <v>569</v>
      </c>
      <c r="D4268" s="2" t="str">
        <f t="shared" si="65"/>
        <v>Error?</v>
      </c>
    </row>
    <row r="4269" spans="1:5" x14ac:dyDescent="0.2">
      <c r="A4269" s="12">
        <v>4208</v>
      </c>
      <c r="B4269" s="1890">
        <f>'FP Info 3'!J16</f>
        <v>3095420</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29450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9217</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4127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18</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63338</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109621698</v>
      </c>
      <c r="D4995" s="2" t="str">
        <f t="shared" si="77"/>
        <v>Error?</v>
      </c>
    </row>
    <row r="4996" spans="1:4" x14ac:dyDescent="0.2">
      <c r="A4996" s="12">
        <v>4935</v>
      </c>
      <c r="B4996" s="1890">
        <f>'FP Info 3'!H31</f>
        <v>7563897.1620000005</v>
      </c>
      <c r="D4996" s="2" t="str">
        <f t="shared" si="77"/>
        <v>Error?</v>
      </c>
    </row>
    <row r="4997" spans="1:4" x14ac:dyDescent="0.2">
      <c r="A4997" s="12">
        <v>4936</v>
      </c>
      <c r="B4997" s="1890">
        <f>'FP Info 3'!H37</f>
        <v>18827</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29450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1802512</v>
      </c>
      <c r="D5061" s="2" t="str">
        <f t="shared" si="78"/>
        <v>Error?</v>
      </c>
    </row>
    <row r="5062" spans="1:4" x14ac:dyDescent="0.2">
      <c r="A5062" s="10">
        <v>5001</v>
      </c>
      <c r="B5062" s="1890"/>
      <c r="D5062" s="2" t="str">
        <f t="shared" si="78"/>
        <v>OK</v>
      </c>
    </row>
    <row r="5063" spans="1:4" x14ac:dyDescent="0.2">
      <c r="A5063" s="5">
        <v>5002</v>
      </c>
      <c r="B5063" s="1890">
        <f>'Revenues 9-14'!C7</f>
        <v>54168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1856680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40105</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40105</v>
      </c>
      <c r="C5087" s="2" t="s">
        <v>569</v>
      </c>
      <c r="D5087" s="2" t="str">
        <f t="shared" si="78"/>
        <v>Error?</v>
      </c>
    </row>
    <row r="5088" spans="1:4" x14ac:dyDescent="0.2">
      <c r="A5088" s="5">
        <v>5027</v>
      </c>
      <c r="B5088" s="1890">
        <f>'Revenues 9-14'!C65</f>
        <v>46283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46283</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2300</v>
      </c>
      <c r="D5092" s="2" t="str">
        <f t="shared" si="78"/>
        <v>Error?</v>
      </c>
    </row>
    <row r="5093" spans="1:4" x14ac:dyDescent="0.2">
      <c r="A5093" s="5">
        <v>5032</v>
      </c>
      <c r="B5093" s="1890">
        <f>'Revenues 9-14'!C72</f>
        <v>432</v>
      </c>
      <c r="D5093" s="2" t="str">
        <f t="shared" si="78"/>
        <v>Error?</v>
      </c>
    </row>
    <row r="5094" spans="1:4" x14ac:dyDescent="0.2">
      <c r="A5094" s="5">
        <v>5033</v>
      </c>
      <c r="B5094" s="1890">
        <f>'Revenues 9-14'!C73</f>
        <v>434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18045</v>
      </c>
      <c r="C5096" s="2" t="s">
        <v>569</v>
      </c>
      <c r="D5096" s="2" t="str">
        <f t="shared" si="78"/>
        <v>Error?</v>
      </c>
    </row>
    <row r="5097" spans="1:4" x14ac:dyDescent="0.2">
      <c r="A5097" s="5">
        <v>5036</v>
      </c>
      <c r="B5097" s="1890">
        <f>'Revenues 9-14'!C77</f>
        <v>14714</v>
      </c>
      <c r="D5097" s="2" t="str">
        <f t="shared" si="78"/>
        <v>Error?</v>
      </c>
    </row>
    <row r="5098" spans="1:4" x14ac:dyDescent="0.2">
      <c r="A5098" s="5">
        <v>5037</v>
      </c>
      <c r="B5098" s="1890">
        <f>'Revenues 9-14'!C78</f>
        <v>264</v>
      </c>
      <c r="D5098" s="2" t="str">
        <f t="shared" si="78"/>
        <v>Error?</v>
      </c>
    </row>
    <row r="5099" spans="1:4" x14ac:dyDescent="0.2">
      <c r="A5099" s="5">
        <v>5038</v>
      </c>
      <c r="B5099" s="1890">
        <f>'Revenues 9-14'!C79</f>
        <v>5975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1238</v>
      </c>
      <c r="D5101" s="2" t="str">
        <f t="shared" si="78"/>
        <v>Error?</v>
      </c>
    </row>
    <row r="5102" spans="1:4" x14ac:dyDescent="0.2">
      <c r="A5102" s="5">
        <v>5041</v>
      </c>
      <c r="B5102" s="1890">
        <f>'Revenues 9-14'!C82</f>
        <v>22191</v>
      </c>
      <c r="C5102" s="2" t="s">
        <v>569</v>
      </c>
      <c r="D5102" s="2" t="str">
        <f t="shared" si="78"/>
        <v>Error?</v>
      </c>
    </row>
    <row r="5103" spans="1:4" x14ac:dyDescent="0.2">
      <c r="A5103" s="5">
        <v>5042</v>
      </c>
      <c r="B5103" s="1890">
        <f>'Revenues 9-14'!C84</f>
        <v>17514</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17514</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7494</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5338</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10954</v>
      </c>
      <c r="D5119" s="2" t="str">
        <f t="shared" ref="D5119:D5182" si="79">IF(ISBLANK(B5119),"OK",IF(A5119-B5119=0,"OK","Error?"))</f>
        <v>Error?</v>
      </c>
    </row>
    <row r="5120" spans="1:4" x14ac:dyDescent="0.2">
      <c r="A5120" s="5">
        <v>5059</v>
      </c>
      <c r="B5120" s="1890">
        <f>'Revenues 9-14'!C108</f>
        <v>24908</v>
      </c>
      <c r="C5120" s="2" t="s">
        <v>569</v>
      </c>
      <c r="D5120" s="2" t="str">
        <f t="shared" si="79"/>
        <v>Error?</v>
      </c>
    </row>
    <row r="5121" spans="1:4" x14ac:dyDescent="0.2">
      <c r="A5121" s="5">
        <v>5060</v>
      </c>
      <c r="B5121" s="1890">
        <f>'Revenues 9-14'!C109</f>
        <v>2025726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308829</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308829</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461</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1211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310040</v>
      </c>
      <c r="C5223" s="2" t="s">
        <v>569</v>
      </c>
      <c r="D5223" s="2" t="str">
        <f t="shared" si="80"/>
        <v>Error?</v>
      </c>
    </row>
    <row r="5224" spans="1:4" x14ac:dyDescent="0.2">
      <c r="A5224" s="5">
        <v>5163</v>
      </c>
      <c r="B5224" s="1890">
        <f>'Revenues 9-14'!C173</f>
        <v>703921</v>
      </c>
      <c r="D5224" s="2" t="str">
        <f t="shared" si="80"/>
        <v>Error?</v>
      </c>
    </row>
    <row r="5225" spans="1:4" x14ac:dyDescent="0.2">
      <c r="A5225" s="5">
        <v>5164</v>
      </c>
      <c r="B5225" s="1890">
        <f>'Revenues 9-14'!C175</f>
        <v>703921</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31302</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31302</v>
      </c>
      <c r="C5246" s="2" t="s">
        <v>569</v>
      </c>
      <c r="D5246" s="2" t="str">
        <f t="shared" si="80"/>
        <v>Error?</v>
      </c>
    </row>
    <row r="5247" spans="1:4" x14ac:dyDescent="0.2">
      <c r="A5247" s="5">
        <v>5186</v>
      </c>
      <c r="B5247" s="1890">
        <f>'Revenues 9-14'!C200</f>
        <v>69996</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9217</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69996</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1310</v>
      </c>
      <c r="D5278" s="2" t="str">
        <f t="shared" si="81"/>
        <v>Error?</v>
      </c>
    </row>
    <row r="5279" spans="1:4" x14ac:dyDescent="0.2">
      <c r="A5279" s="5">
        <v>5218</v>
      </c>
      <c r="B5279" s="1890">
        <f>'Revenues 9-14'!C214</f>
        <v>1244</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2554</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180534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884455</v>
      </c>
      <c r="C5326" s="2" t="s">
        <v>569</v>
      </c>
      <c r="D5326" s="2" t="str">
        <f t="shared" si="82"/>
        <v>Error?</v>
      </c>
    </row>
    <row r="5327" spans="1:5" x14ac:dyDescent="0.2">
      <c r="A5327" s="5">
        <v>5266</v>
      </c>
      <c r="B5327" s="1890">
        <f>'Revenues 9-14'!C268</f>
        <v>3220221</v>
      </c>
      <c r="C5327" s="2" t="s">
        <v>569</v>
      </c>
      <c r="D5327" s="2" t="str">
        <f t="shared" si="82"/>
        <v>Error?</v>
      </c>
    </row>
    <row r="5328" spans="1:5" x14ac:dyDescent="0.2">
      <c r="A5328" s="5">
        <v>5267</v>
      </c>
      <c r="B5328" s="1890">
        <f>'Revenues 9-14'!D5</f>
        <v>223431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223431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2360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2360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3619</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218</v>
      </c>
      <c r="D5354" s="2" t="str">
        <f t="shared" si="82"/>
        <v>Error?</v>
      </c>
    </row>
    <row r="5355" spans="1:4" x14ac:dyDescent="0.2">
      <c r="A5355" s="5">
        <v>5294</v>
      </c>
      <c r="B5355" s="1890">
        <f>'Revenues 9-14'!D108</f>
        <v>3837</v>
      </c>
      <c r="C5355" s="2" t="s">
        <v>569</v>
      </c>
      <c r="D5355" s="2" t="str">
        <f t="shared" si="82"/>
        <v>Error?</v>
      </c>
    </row>
    <row r="5356" spans="1:4" x14ac:dyDescent="0.2">
      <c r="A5356" s="5">
        <v>5295</v>
      </c>
      <c r="B5356" s="1890">
        <f>'Revenues 9-14'!D109</f>
        <v>229628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14466</v>
      </c>
      <c r="D5422" s="2" t="str">
        <f t="shared" si="83"/>
        <v>Error?</v>
      </c>
    </row>
    <row r="5423" spans="1:4" x14ac:dyDescent="0.2">
      <c r="A5423" s="5">
        <v>5362</v>
      </c>
      <c r="B5423" s="1890">
        <f>'Revenues 9-14'!D175</f>
        <v>14466</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14466</v>
      </c>
      <c r="C5507" s="2" t="s">
        <v>569</v>
      </c>
      <c r="D5507" s="2" t="str">
        <f t="shared" si="85"/>
        <v>Error?</v>
      </c>
    </row>
    <row r="5508" spans="1:4" x14ac:dyDescent="0.2">
      <c r="A5508" s="5">
        <v>5447</v>
      </c>
      <c r="B5508" s="1890">
        <f>'Revenues 9-14'!D268</f>
        <v>244094</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332921</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332921</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332921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53509</v>
      </c>
      <c r="D5615" s="2" t="str">
        <f t="shared" si="86"/>
        <v>Error?</v>
      </c>
    </row>
    <row r="5616" spans="1:4" x14ac:dyDescent="0.2">
      <c r="A5616" s="10">
        <v>5555</v>
      </c>
      <c r="B5616" s="1890"/>
      <c r="D5616" s="2" t="str">
        <f t="shared" si="86"/>
        <v>OK</v>
      </c>
    </row>
    <row r="5617" spans="1:5" x14ac:dyDescent="0.2">
      <c r="A5617" s="5">
        <v>5556</v>
      </c>
      <c r="B5617" s="1890">
        <f>'Revenues 9-14'!F153</f>
        <v>192247</v>
      </c>
      <c r="D5617" s="2" t="str">
        <f t="shared" si="86"/>
        <v>Error?</v>
      </c>
    </row>
    <row r="5618" spans="1:5" x14ac:dyDescent="0.2">
      <c r="A5618" s="5">
        <v>5557</v>
      </c>
      <c r="B5618" s="1890">
        <f>'Revenues 9-14'!F155</f>
        <v>245756</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245756</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245756</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578677</v>
      </c>
      <c r="C5720" s="2" t="s">
        <v>569</v>
      </c>
      <c r="D5720" s="2" t="str">
        <f t="shared" si="88"/>
        <v>Error?</v>
      </c>
    </row>
    <row r="5721" spans="1:4" x14ac:dyDescent="0.2">
      <c r="A5721" s="5">
        <v>5660</v>
      </c>
      <c r="B5721" s="1890">
        <f>'Revenues 9-14'!G5</f>
        <v>39336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53190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92526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98490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98490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191016</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19069</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19069</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19069</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20352</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20352</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29450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49802</v>
      </c>
      <c r="C6023" s="2" t="s">
        <v>569</v>
      </c>
      <c r="D6023" s="2" t="str">
        <f t="shared" si="93"/>
        <v>Error?</v>
      </c>
    </row>
    <row r="6024" spans="1:5" x14ac:dyDescent="0.2">
      <c r="A6024" s="5">
        <v>5963</v>
      </c>
      <c r="B6024" s="1890">
        <f>'Revenues 9-14'!G109</f>
        <v>191016</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19069</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20352</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14879</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7210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274.39999999999998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94724</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94724</v>
      </c>
      <c r="D6215" s="2" t="str">
        <f t="shared" si="96"/>
        <v>Error?</v>
      </c>
      <c r="E6215" s="2" t="s">
        <v>189</v>
      </c>
    </row>
    <row r="6216" spans="1:5" x14ac:dyDescent="0.2">
      <c r="A6216">
        <v>6155</v>
      </c>
      <c r="B6216" s="1890">
        <f>'Assets-Liab 5-6'!J41</f>
        <v>94724</v>
      </c>
      <c r="D6216" s="2" t="str">
        <f t="shared" si="96"/>
        <v>Error?</v>
      </c>
      <c r="E6216" s="2" t="s">
        <v>189</v>
      </c>
    </row>
    <row r="6217" spans="1:5" x14ac:dyDescent="0.2">
      <c r="A6217">
        <v>6156</v>
      </c>
      <c r="B6217" s="1890">
        <f>'Assets-Liab 5-6'!J4</f>
        <v>94724</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162662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162662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162662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101665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101665</v>
      </c>
      <c r="D6229" s="2" t="str">
        <f t="shared" si="96"/>
        <v>Error?</v>
      </c>
      <c r="E6229" s="2" t="s">
        <v>189</v>
      </c>
    </row>
    <row r="6230" spans="1:5" x14ac:dyDescent="0.2">
      <c r="A6230">
        <v>6169</v>
      </c>
      <c r="B6230" s="1890">
        <f>'Acct Summary 7-8'!J20</f>
        <v>60997</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60997</v>
      </c>
      <c r="D6263" s="2" t="str">
        <f t="shared" si="96"/>
        <v>Error?</v>
      </c>
      <c r="E6263" s="2" t="s">
        <v>189</v>
      </c>
    </row>
    <row r="6264" spans="1:5" x14ac:dyDescent="0.2">
      <c r="A6264">
        <v>6203</v>
      </c>
      <c r="B6264" s="1890">
        <f>'Acct Summary 7-8'!J79</f>
        <v>33727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94724</v>
      </c>
      <c r="D6266" s="2" t="str">
        <f t="shared" si="96"/>
        <v>Error?</v>
      </c>
      <c r="E6266" s="2" t="s">
        <v>189</v>
      </c>
    </row>
    <row r="6267" spans="1:5" x14ac:dyDescent="0.2">
      <c r="A6267">
        <v>6206</v>
      </c>
      <c r="B6267" s="1890">
        <f>'Acct Summary 7-8'!C82</f>
        <v>-206002</v>
      </c>
      <c r="D6267" s="2" t="str">
        <f t="shared" si="96"/>
        <v>Error?</v>
      </c>
      <c r="E6267" s="2" t="s">
        <v>189</v>
      </c>
    </row>
    <row r="6268" spans="1:5" x14ac:dyDescent="0.2">
      <c r="A6268">
        <v>6207</v>
      </c>
      <c r="B6268" s="1890">
        <f>'Acct Summary 7-8'!D82</f>
        <v>-187255</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141159</v>
      </c>
      <c r="D6270" s="2" t="str">
        <f t="shared" si="96"/>
        <v>Error?</v>
      </c>
      <c r="E6270" s="2" t="s">
        <v>189</v>
      </c>
    </row>
    <row r="6271" spans="1:5" x14ac:dyDescent="0.2">
      <c r="A6271">
        <v>6210</v>
      </c>
      <c r="B6271" s="1890">
        <f>'Acct Summary 7-8'!G82</f>
        <v>96673</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19069</v>
      </c>
      <c r="D6273" s="2" t="str">
        <f t="shared" si="97"/>
        <v>Error?</v>
      </c>
      <c r="E6273" s="2" t="s">
        <v>189</v>
      </c>
    </row>
    <row r="6274" spans="1:5" x14ac:dyDescent="0.2">
      <c r="A6274">
        <v>6213</v>
      </c>
      <c r="B6274" s="1890">
        <f>'Acct Summary 7-8'!J82</f>
        <v>60997</v>
      </c>
      <c r="D6274" s="2" t="str">
        <f t="shared" si="97"/>
        <v>Error?</v>
      </c>
      <c r="E6274" s="2" t="s">
        <v>189</v>
      </c>
    </row>
    <row r="6275" spans="1:5" x14ac:dyDescent="0.2">
      <c r="A6275">
        <v>6214</v>
      </c>
      <c r="B6275" s="1890">
        <f>'Acct Summary 7-8'!K82</f>
        <v>8812</v>
      </c>
      <c r="D6275" s="2" t="str">
        <f t="shared" si="97"/>
        <v>Error?</v>
      </c>
      <c r="E6275" s="2" t="s">
        <v>189</v>
      </c>
    </row>
    <row r="6276" spans="1:5" x14ac:dyDescent="0.2">
      <c r="A6276">
        <v>6215</v>
      </c>
      <c r="B6276" s="1890">
        <f>'Acct Summary 7-8'!C83</f>
        <v>-0.1194355738301805</v>
      </c>
      <c r="D6276" s="2" t="str">
        <f t="shared" si="97"/>
        <v>Error?</v>
      </c>
      <c r="E6276" s="2" t="s">
        <v>189</v>
      </c>
    </row>
    <row r="6277" spans="1:5" x14ac:dyDescent="0.2">
      <c r="A6277">
        <v>6216</v>
      </c>
      <c r="B6277" s="1890">
        <f>'Acct Summary 7-8'!D83</f>
        <v>-0.19057791655301842</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0.40353971675404943</v>
      </c>
      <c r="D6279" s="2" t="str">
        <f t="shared" si="97"/>
        <v>Error?</v>
      </c>
      <c r="E6279" s="2" t="s">
        <v>189</v>
      </c>
    </row>
    <row r="6280" spans="1:5" x14ac:dyDescent="0.2">
      <c r="A6280">
        <v>6219</v>
      </c>
      <c r="B6280" s="1890">
        <f>'Acct Summary 7-8'!G83</f>
        <v>0.93925674034491136</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0.49843170055936015</v>
      </c>
      <c r="D6282" s="2" t="str">
        <f t="shared" si="97"/>
        <v>Error?</v>
      </c>
      <c r="E6282" s="2" t="s">
        <v>189</v>
      </c>
    </row>
    <row r="6283" spans="1:5" x14ac:dyDescent="0.2">
      <c r="A6283">
        <v>6222</v>
      </c>
      <c r="B6283" s="1890">
        <f>'Acct Summary 7-8'!J83</f>
        <v>0.64394451247835816</v>
      </c>
      <c r="D6283" s="2" t="str">
        <f t="shared" si="97"/>
        <v>Error?</v>
      </c>
      <c r="E6283" s="2" t="s">
        <v>189</v>
      </c>
    </row>
    <row r="6284" spans="1:5" x14ac:dyDescent="0.2">
      <c r="A6284">
        <v>6223</v>
      </c>
      <c r="B6284" s="1890">
        <f>'Acct Summary 7-8'!K83</f>
        <v>0.28146160725693115</v>
      </c>
      <c r="D6284" s="2" t="str">
        <f t="shared" si="97"/>
        <v>Error?</v>
      </c>
      <c r="E6284" s="2" t="s">
        <v>189</v>
      </c>
    </row>
    <row r="6285" spans="1:5" x14ac:dyDescent="0.2">
      <c r="A6285">
        <v>6224</v>
      </c>
      <c r="B6285" s="1890">
        <f>'Acct Summary 7-8'!E37</f>
        <v>8716</v>
      </c>
      <c r="D6285" s="2" t="str">
        <f t="shared" si="97"/>
        <v>Error?</v>
      </c>
      <c r="E6285" s="2" t="s">
        <v>189</v>
      </c>
    </row>
    <row r="6286" spans="1:5" x14ac:dyDescent="0.2">
      <c r="A6286">
        <v>6225</v>
      </c>
      <c r="B6286" s="1890">
        <f>'Acct Summary 7-8'!E38</f>
        <v>1445</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162662</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162662</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1122</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162662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6867</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6867</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3817</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3817</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3817</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10684</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835</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835</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835</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101665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835</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162662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56328</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56328</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1349</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1349</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43988</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43988</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101665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101665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101665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101665</v>
      </c>
      <c r="D7224" s="2" t="str">
        <f t="shared" si="111"/>
        <v>Error?</v>
      </c>
    </row>
    <row r="7225" spans="1:4" x14ac:dyDescent="0.2">
      <c r="A7225">
        <v>7164</v>
      </c>
      <c r="B7225" s="1890">
        <f>'Expenditures 15-22'!K343</f>
        <v>60997</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15000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15000</v>
      </c>
      <c r="D7609" s="2" t="str">
        <f t="shared" si="122"/>
        <v>Error?</v>
      </c>
      <c r="E7609" s="2" t="s">
        <v>19</v>
      </c>
    </row>
    <row r="7610" spans="1:5" x14ac:dyDescent="0.2">
      <c r="A7610">
        <f t="shared" si="123"/>
        <v>7549</v>
      </c>
      <c r="B7610" s="1890">
        <f>'Cap Outlay Deprec 26'!H9</f>
        <v>5700</v>
      </c>
      <c r="D7610" s="2" t="str">
        <f t="shared" si="122"/>
        <v>Error?</v>
      </c>
      <c r="E7610" s="2" t="s">
        <v>19</v>
      </c>
    </row>
    <row r="7611" spans="1:5" x14ac:dyDescent="0.2">
      <c r="A7611">
        <f t="shared" si="123"/>
        <v>7550</v>
      </c>
      <c r="B7611" s="1890">
        <f>'Cap Outlay Deprec 26'!I9</f>
        <v>600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6300</v>
      </c>
      <c r="D7613" s="2" t="str">
        <f t="shared" si="122"/>
        <v>Error?</v>
      </c>
      <c r="E7613" s="2" t="s">
        <v>19</v>
      </c>
    </row>
    <row r="7614" spans="1:5" x14ac:dyDescent="0.2">
      <c r="A7614">
        <f t="shared" si="123"/>
        <v>7553</v>
      </c>
      <c r="B7614" s="1890">
        <f>'Cap Outlay Deprec 26'!L9</f>
        <v>8700</v>
      </c>
      <c r="D7614" s="2" t="str">
        <f t="shared" si="122"/>
        <v>Error?</v>
      </c>
      <c r="E7614" s="2" t="s">
        <v>19</v>
      </c>
    </row>
    <row r="7615" spans="1:5" x14ac:dyDescent="0.2">
      <c r="A7615">
        <f t="shared" si="123"/>
        <v>7554</v>
      </c>
      <c r="B7615" s="1890">
        <f>'Cap Outlay Deprec 26'!C14</f>
        <v>126368</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126368</v>
      </c>
      <c r="D7618" s="2" t="str">
        <f t="shared" si="124"/>
        <v>Error?</v>
      </c>
      <c r="E7618" s="2" t="s">
        <v>19</v>
      </c>
    </row>
    <row r="7619" spans="1:5" x14ac:dyDescent="0.2">
      <c r="A7619">
        <f t="shared" si="123"/>
        <v>7558</v>
      </c>
      <c r="B7619" s="1890">
        <f>'Cap Outlay Deprec 26'!H14</f>
        <v>126368</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126368</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11519</v>
      </c>
      <c r="D7624" s="2" t="str">
        <f t="shared" si="124"/>
        <v>Error?</v>
      </c>
      <c r="E7624" s="2" t="s">
        <v>19</v>
      </c>
    </row>
    <row r="7625" spans="1:5" x14ac:dyDescent="0.2">
      <c r="A7625">
        <f t="shared" si="123"/>
        <v>7564</v>
      </c>
      <c r="B7625" s="1890">
        <f>'Cap Outlay Deprec 26'!I17</f>
        <v>1151.9000000000001</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231091.9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8716</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1445</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54168</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1998</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t="str">
        <f>'Expenditures 15-22'!D282</f>
        <v xml:space="preserve"> </v>
      </c>
      <c r="D7783" s="2" t="e">
        <f t="shared" si="127"/>
        <v>#VALUE!</v>
      </c>
      <c r="E7783" s="4" t="s">
        <v>1827</v>
      </c>
    </row>
    <row r="7784" spans="1:5" x14ac:dyDescent="0.2">
      <c r="A7784">
        <v>7723</v>
      </c>
      <c r="B7784" s="1890" t="str">
        <f>'Expenditures 15-22'!K282</f>
        <v xml:space="preserve"> </v>
      </c>
      <c r="D7784" s="2" t="e">
        <f t="shared" si="127"/>
        <v>#VALUE!</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45985</v>
      </c>
      <c r="D7817" s="2" t="str">
        <f t="shared" si="128"/>
        <v>Error?</v>
      </c>
      <c r="E7817" s="4" t="s">
        <v>1967</v>
      </c>
    </row>
    <row r="7818" spans="1:5" x14ac:dyDescent="0.2">
      <c r="A7818">
        <v>7757</v>
      </c>
      <c r="B7818" s="1890">
        <f>'PCTC-OEPP 27-28'!F172</f>
        <v>56138</v>
      </c>
      <c r="D7818" s="2" t="str">
        <f t="shared" si="128"/>
        <v>Error?</v>
      </c>
      <c r="E7818" s="4" t="s">
        <v>1981</v>
      </c>
    </row>
    <row r="7819" spans="1:5" x14ac:dyDescent="0.2">
      <c r="A7819">
        <v>7758</v>
      </c>
      <c r="B7819" s="1890">
        <f>'PCTC-OEPP 27-28'!F173</f>
        <v>54</v>
      </c>
      <c r="D7819" s="2" t="str">
        <f t="shared" si="128"/>
        <v>Error?</v>
      </c>
      <c r="E7819" s="4" t="s">
        <v>1981</v>
      </c>
    </row>
    <row r="7820" spans="1:5" x14ac:dyDescent="0.2">
      <c r="A7820">
        <v>7759</v>
      </c>
      <c r="B7820" s="1890">
        <f>'ICR Computation 30'!E40</f>
        <v>-29021</v>
      </c>
      <c r="D7820" s="2" t="str">
        <f t="shared" si="128"/>
        <v>Error?</v>
      </c>
    </row>
    <row r="7821" spans="1:5" x14ac:dyDescent="0.2">
      <c r="A7821">
        <v>7760</v>
      </c>
      <c r="B7821" s="1890">
        <f>'ICR Computation 30'!G40</f>
        <v>-29021</v>
      </c>
      <c r="D7821" s="2" t="str">
        <f t="shared" si="128"/>
        <v>Error?</v>
      </c>
    </row>
    <row r="7822" spans="1:5" x14ac:dyDescent="0.2">
      <c r="A7822" s="1">
        <v>7761</v>
      </c>
      <c r="B7822" s="1890">
        <f>'PCTC-OEPP 27-28'!F14</f>
        <v>4491098</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592521</v>
      </c>
      <c r="D7834" s="2" t="str">
        <f t="shared" si="129"/>
        <v>Error?</v>
      </c>
      <c r="E7834" s="4" t="s">
        <v>1999</v>
      </c>
    </row>
    <row r="7835" spans="1:5" x14ac:dyDescent="0.2">
      <c r="A7835">
        <v>7774</v>
      </c>
      <c r="B7835" s="1890">
        <f>'PCTC-OEPP 27-28'!F78</f>
        <v>3898577</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14207.642128279884</v>
      </c>
      <c r="D7837" s="2" t="str">
        <f t="shared" si="129"/>
        <v>Error?</v>
      </c>
      <c r="E7837" s="4" t="s">
        <v>1999</v>
      </c>
    </row>
    <row r="7838" spans="1:5" x14ac:dyDescent="0.2">
      <c r="A7838">
        <v>7777</v>
      </c>
      <c r="B7838" s="1890">
        <f>'PCTC-OEPP 27-28'!F96</f>
        <v>22191</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0</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245756</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750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31302</v>
      </c>
      <c r="D7858" s="2" t="str">
        <f t="shared" si="129"/>
        <v>Error?</v>
      </c>
      <c r="E7858" s="4" t="s">
        <v>1999</v>
      </c>
    </row>
    <row r="7859" spans="1:5" x14ac:dyDescent="0.2">
      <c r="A7859">
        <v>7798</v>
      </c>
      <c r="B7859" s="1890">
        <f>'PCTC-OEPP 27-28'!F127</f>
        <v>69996</v>
      </c>
      <c r="D7859" s="2" t="str">
        <f t="shared" si="129"/>
        <v>Error?</v>
      </c>
      <c r="E7859" s="4" t="s">
        <v>1999</v>
      </c>
    </row>
    <row r="7860" spans="1:5" x14ac:dyDescent="0.2">
      <c r="A7860">
        <v>7799</v>
      </c>
      <c r="B7860" s="1890">
        <f>'PCTC-OEPP 27-28'!F128</f>
        <v>9217</v>
      </c>
      <c r="D7860" s="2" t="str">
        <f t="shared" si="129"/>
        <v>Error?</v>
      </c>
      <c r="E7860" s="4" t="s">
        <v>1999</v>
      </c>
    </row>
    <row r="7861" spans="1:5" x14ac:dyDescent="0.2">
      <c r="A7861">
        <v>7800</v>
      </c>
      <c r="B7861" s="1890">
        <f>'PCTC-OEPP 27-28'!F129</f>
        <v>1310</v>
      </c>
      <c r="D7861" s="2" t="str">
        <f t="shared" si="129"/>
        <v>Error?</v>
      </c>
      <c r="E7861" s="4" t="s">
        <v>1999</v>
      </c>
    </row>
    <row r="7862" spans="1:5" x14ac:dyDescent="0.2">
      <c r="A7862">
        <v>7801</v>
      </c>
      <c r="B7862" s="1890">
        <f>'PCTC-OEPP 27-28'!F130</f>
        <v>1244</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4127</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0</v>
      </c>
      <c r="D7874" s="2" t="str">
        <f t="shared" si="129"/>
        <v>Error?</v>
      </c>
      <c r="E7874" s="4" t="s">
        <v>1999</v>
      </c>
    </row>
    <row r="7875" spans="1:5" x14ac:dyDescent="0.2">
      <c r="A7875">
        <v>7814</v>
      </c>
      <c r="B7875" s="1890">
        <f>'PCTC-OEPP 27-28'!F170</f>
        <v>0</v>
      </c>
      <c r="D7875" s="2" t="str">
        <f t="shared" si="129"/>
        <v>Error?</v>
      </c>
      <c r="E7875" s="4" t="s">
        <v>1999</v>
      </c>
    </row>
    <row r="7876" spans="1:5" x14ac:dyDescent="0.2">
      <c r="A7876">
        <v>7815</v>
      </c>
      <c r="B7876" s="1890">
        <f>'PCTC-OEPP 27-28'!F171</f>
        <v>63338</v>
      </c>
      <c r="D7876" s="2" t="str">
        <f t="shared" si="129"/>
        <v>Error?</v>
      </c>
      <c r="E7876" s="4" t="s">
        <v>1999</v>
      </c>
    </row>
    <row r="7877" spans="1:5" x14ac:dyDescent="0.2">
      <c r="A7877">
        <v>7816</v>
      </c>
      <c r="B7877" s="1890">
        <f>'PCTC-OEPP 27-28'!F175</f>
        <v>541443</v>
      </c>
      <c r="D7877" s="2" t="str">
        <f t="shared" si="129"/>
        <v>Error?</v>
      </c>
      <c r="E7877" s="4" t="s">
        <v>1999</v>
      </c>
    </row>
    <row r="7878" spans="1:5" x14ac:dyDescent="0.2">
      <c r="A7878">
        <v>7817</v>
      </c>
      <c r="B7878" s="1890">
        <f>'PCTC-OEPP 27-28'!F176</f>
        <v>3357134</v>
      </c>
      <c r="D7878" s="2" t="str">
        <f t="shared" si="129"/>
        <v>Error?</v>
      </c>
      <c r="E7878" s="4" t="s">
        <v>1999</v>
      </c>
    </row>
    <row r="7879" spans="1:5" x14ac:dyDescent="0.2">
      <c r="A7879">
        <v>7818</v>
      </c>
      <c r="B7879" s="1890">
        <f>'PCTC-OEPP 27-28'!F178</f>
        <v>3588225.9</v>
      </c>
      <c r="D7879" s="2" t="str">
        <f t="shared" si="129"/>
        <v>Error?</v>
      </c>
      <c r="E7879" s="4" t="s">
        <v>1999</v>
      </c>
    </row>
    <row r="7880" spans="1:5" x14ac:dyDescent="0.2">
      <c r="A7880">
        <v>7819</v>
      </c>
      <c r="B7880" s="1890">
        <f>'PCTC-OEPP 27-28'!F180</f>
        <v>13076.625</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1" t="s">
        <v>1183</v>
      </c>
      <c r="B2" s="2611"/>
      <c r="C2" s="2611"/>
      <c r="D2" s="2611"/>
      <c r="E2" s="2611"/>
      <c r="F2" s="2611"/>
      <c r="G2" s="2611"/>
      <c r="H2" s="2611"/>
      <c r="I2" s="2611"/>
      <c r="J2" s="2611"/>
      <c r="K2" s="2611"/>
      <c r="L2" s="2611"/>
    </row>
    <row r="3" spans="1:29" ht="13.5" customHeight="1" x14ac:dyDescent="0.2">
      <c r="A3" s="2643" t="s">
        <v>1182</v>
      </c>
      <c r="B3" s="2643"/>
      <c r="C3" s="2643"/>
      <c r="D3" s="2643"/>
      <c r="E3" s="2643"/>
      <c r="F3" s="2643"/>
      <c r="G3" s="2643"/>
      <c r="H3" s="2643"/>
      <c r="I3" s="2643"/>
      <c r="J3" s="2643"/>
      <c r="K3" s="2643"/>
      <c r="L3" s="2643"/>
    </row>
    <row r="4" spans="1:29" ht="13.5" customHeight="1" x14ac:dyDescent="0.2">
      <c r="A4" s="2632" t="str">
        <f>"Year Ending June 30, "&amp;'AFR20'!E2</f>
        <v>Year Ending June 30, 2020</v>
      </c>
      <c r="B4" s="2633"/>
      <c r="C4" s="2633"/>
      <c r="D4" s="2633"/>
      <c r="E4" s="2633"/>
      <c r="F4" s="2633"/>
      <c r="G4" s="2633"/>
      <c r="H4" s="2633"/>
      <c r="I4" s="2633"/>
      <c r="J4" s="2633"/>
      <c r="K4" s="2633"/>
      <c r="L4" s="263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4" t="str">
        <f>COVER!A17</f>
        <v xml:space="preserve"> Elwood CCSD 203</v>
      </c>
      <c r="B7" s="2635"/>
      <c r="C7" s="2635"/>
      <c r="D7" s="2636"/>
      <c r="E7" s="2637">
        <f>COVER!A13</f>
        <v>56099203004</v>
      </c>
      <c r="F7" s="2638"/>
      <c r="G7" s="2644" t="str">
        <f>COVER!T23</f>
        <v>066-004945</v>
      </c>
      <c r="H7" s="2645"/>
      <c r="I7" s="2645"/>
      <c r="J7" s="2645"/>
      <c r="K7" s="2645"/>
      <c r="L7" s="264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7"/>
      <c r="B9" s="2648"/>
      <c r="C9" s="2648"/>
      <c r="D9" s="2648"/>
      <c r="E9" s="2648"/>
      <c r="F9" s="2649"/>
      <c r="G9" s="2617" t="str">
        <f>COVER!T13</f>
        <v>GASSENSMITH &amp; MICHALESKO, LTD.</v>
      </c>
      <c r="H9" s="2650"/>
      <c r="I9" s="2650"/>
      <c r="J9" s="2650"/>
      <c r="K9" s="2650"/>
      <c r="L9" s="2651"/>
    </row>
    <row r="10" spans="1:29" ht="13.5" customHeight="1" x14ac:dyDescent="0.2">
      <c r="A10" s="2623" t="str">
        <f>COVER!A38</f>
        <v>CATHIE PEZANOSKI</v>
      </c>
      <c r="B10" s="2624"/>
      <c r="C10" s="2624"/>
      <c r="D10" s="2624"/>
      <c r="E10" s="2624"/>
      <c r="F10" s="2625"/>
      <c r="G10" s="2617" t="str">
        <f>COVER!T17</f>
        <v>323 SPRINGFIELD AVE</v>
      </c>
      <c r="H10" s="2618"/>
      <c r="I10" s="2618"/>
      <c r="J10" s="2618"/>
      <c r="K10" s="2618"/>
      <c r="L10" s="2619"/>
    </row>
    <row r="11" spans="1:29" ht="13.5" customHeight="1" x14ac:dyDescent="0.2">
      <c r="A11" s="1008" t="s">
        <v>1505</v>
      </c>
      <c r="B11" s="1009"/>
      <c r="C11" s="1010"/>
      <c r="D11" s="1015"/>
      <c r="E11" s="1010"/>
      <c r="F11" s="1014"/>
      <c r="G11" s="2617" t="str">
        <f>COVER!T19</f>
        <v>JOLIET</v>
      </c>
      <c r="H11" s="2618"/>
      <c r="I11" s="2618"/>
      <c r="J11" s="2618"/>
      <c r="K11" s="2618"/>
      <c r="L11" s="2619"/>
    </row>
    <row r="12" spans="1:29" ht="13.5" customHeight="1" x14ac:dyDescent="0.2">
      <c r="A12" s="2626" t="s">
        <v>1504</v>
      </c>
      <c r="B12" s="2627"/>
      <c r="C12" s="2627"/>
      <c r="D12" s="2627"/>
      <c r="E12" s="2627"/>
      <c r="F12" s="2628"/>
      <c r="G12" s="2620"/>
      <c r="H12" s="2621"/>
      <c r="I12" s="2621"/>
      <c r="J12" s="2621"/>
      <c r="K12" s="2621"/>
      <c r="L12" s="2622"/>
    </row>
    <row r="13" spans="1:29" ht="13.5" customHeight="1" x14ac:dyDescent="0.2">
      <c r="A13" s="2617"/>
      <c r="B13" s="2618"/>
      <c r="C13" s="2618"/>
      <c r="D13" s="2618"/>
      <c r="E13" s="2618"/>
      <c r="F13" s="2619"/>
      <c r="G13" s="2612" t="s">
        <v>1506</v>
      </c>
      <c r="H13" s="2613"/>
      <c r="I13" s="2629" t="str">
        <f>COVER!T25</f>
        <v>JILLE@GASSENSMITH.COM</v>
      </c>
      <c r="J13" s="2630"/>
      <c r="K13" s="2630"/>
      <c r="L13" s="2631"/>
    </row>
    <row r="14" spans="1:29" ht="13.5" customHeight="1" x14ac:dyDescent="0.2">
      <c r="A14" s="2617" t="str">
        <f>COVER!A19</f>
        <v>409 N CHICAGO ST</v>
      </c>
      <c r="B14" s="2618"/>
      <c r="C14" s="2618"/>
      <c r="D14" s="2618"/>
      <c r="E14" s="2618"/>
      <c r="F14" s="2619"/>
      <c r="G14" s="1019" t="s">
        <v>1177</v>
      </c>
      <c r="H14" s="1017"/>
      <c r="I14" s="1017"/>
      <c r="J14" s="1017"/>
      <c r="K14" s="1017"/>
      <c r="L14" s="1018"/>
    </row>
    <row r="15" spans="1:29" ht="13.5" customHeight="1" x14ac:dyDescent="0.2">
      <c r="A15" s="2617" t="str">
        <f>COVER!A21</f>
        <v xml:space="preserve">ELWOOD  </v>
      </c>
      <c r="B15" s="2618"/>
      <c r="C15" s="2618"/>
      <c r="D15" s="2618"/>
      <c r="E15" s="2618"/>
      <c r="F15" s="2619"/>
      <c r="G15" s="2614" t="str">
        <f>COVER!T15</f>
        <v>JILL E GASSENSMITH</v>
      </c>
      <c r="H15" s="2615"/>
      <c r="I15" s="2615"/>
      <c r="J15" s="2615"/>
      <c r="K15" s="2615"/>
      <c r="L15" s="2616"/>
    </row>
    <row r="16" spans="1:29" ht="12.2" customHeight="1" x14ac:dyDescent="0.2">
      <c r="A16" s="2640">
        <f>COVER!A25</f>
        <v>60421</v>
      </c>
      <c r="B16" s="2641"/>
      <c r="C16" s="2641"/>
      <c r="D16" s="2641"/>
      <c r="E16" s="2641"/>
      <c r="F16" s="2642"/>
      <c r="G16" s="2652"/>
      <c r="H16" s="2653"/>
      <c r="I16" s="2653"/>
      <c r="J16" s="2653"/>
      <c r="K16" s="2653"/>
      <c r="L16" s="2654"/>
    </row>
    <row r="17" spans="1:13" ht="12.2" customHeight="1" x14ac:dyDescent="0.2">
      <c r="A17" s="2655"/>
      <c r="B17" s="2641"/>
      <c r="C17" s="2641"/>
      <c r="D17" s="2641"/>
      <c r="E17" s="2641"/>
      <c r="F17" s="2642"/>
      <c r="G17" s="1019" t="s">
        <v>1176</v>
      </c>
      <c r="H17" s="1017"/>
      <c r="I17" s="1017"/>
      <c r="J17" s="1017"/>
      <c r="K17" s="1021" t="s">
        <v>1175</v>
      </c>
      <c r="L17" s="1014"/>
      <c r="M17" s="1007"/>
    </row>
    <row r="18" spans="1:13" ht="12.2" customHeight="1" x14ac:dyDescent="0.2">
      <c r="A18" s="2623"/>
      <c r="B18" s="2624"/>
      <c r="C18" s="2624"/>
      <c r="D18" s="2624"/>
      <c r="E18" s="2624"/>
      <c r="F18" s="2625"/>
      <c r="G18" s="2634" t="str">
        <f>COVER!T21</f>
        <v>(815)744-6200</v>
      </c>
      <c r="H18" s="2635"/>
      <c r="I18" s="2635"/>
      <c r="J18" s="2635"/>
      <c r="K18" s="2634" t="str">
        <f>COVER!X21</f>
        <v>(815)744-3822</v>
      </c>
      <c r="L18" s="263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52" sqref="H52"/>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6" t="str">
        <f>'Single Audit Cover'!A7</f>
        <v xml:space="preserve"> Elwood CCSD 203</v>
      </c>
      <c r="B1" s="2657"/>
      <c r="C1" s="2657"/>
      <c r="D1" s="2657"/>
    </row>
    <row r="2" spans="1:11" s="1036" customFormat="1" ht="12.75" x14ac:dyDescent="0.2">
      <c r="A2" s="2658">
        <f>'Single Audit Cover'!E7</f>
        <v>56099203004</v>
      </c>
      <c r="B2" s="2659"/>
      <c r="C2" s="2659"/>
      <c r="D2" s="2659"/>
    </row>
    <row r="3" spans="1:11" s="1036" customFormat="1" ht="12.75" x14ac:dyDescent="0.2">
      <c r="A3" s="2656" t="s">
        <v>1499</v>
      </c>
      <c r="B3" s="2657"/>
      <c r="C3" s="2657"/>
      <c r="D3" s="265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1" t="str">
        <f>'Single Audit Cover'!A7</f>
        <v xml:space="preserve"> Elwood CCSD 203</v>
      </c>
      <c r="B1" s="2661"/>
      <c r="C1" s="2661"/>
      <c r="D1" s="2661"/>
      <c r="E1" s="2661"/>
    </row>
    <row r="2" spans="1:5" x14ac:dyDescent="0.2">
      <c r="A2" s="2662">
        <f>'Single Audit Cover'!E7</f>
        <v>56099203004</v>
      </c>
      <c r="B2" s="2662"/>
      <c r="C2" s="2662"/>
      <c r="D2" s="2662"/>
      <c r="E2" s="2662"/>
    </row>
    <row r="3" spans="1:5" ht="4.5" customHeight="1" x14ac:dyDescent="0.2"/>
    <row r="4" spans="1:5" x14ac:dyDescent="0.2">
      <c r="A4" s="2661" t="s">
        <v>1236</v>
      </c>
      <c r="B4" s="2661"/>
      <c r="C4" s="2661"/>
      <c r="D4" s="2661"/>
      <c r="E4" s="2661"/>
    </row>
    <row r="5" spans="1:5" x14ac:dyDescent="0.2">
      <c r="A5" s="2664" t="str">
        <f>'Single Audit Cover'!A4</f>
        <v>Year Ending June 30, 2020</v>
      </c>
      <c r="B5" s="2664"/>
      <c r="C5" s="2664"/>
      <c r="D5" s="2664"/>
      <c r="E5" s="2664"/>
    </row>
    <row r="6" spans="1:5" x14ac:dyDescent="0.2">
      <c r="A6" s="2661" t="s">
        <v>1235</v>
      </c>
      <c r="B6" s="2661"/>
      <c r="C6" s="2661"/>
      <c r="D6" s="2661"/>
      <c r="E6" s="2661"/>
    </row>
    <row r="8" spans="1:5" x14ac:dyDescent="0.2">
      <c r="A8" s="1081" t="s">
        <v>1234</v>
      </c>
    </row>
    <row r="10" spans="1:5" x14ac:dyDescent="0.2">
      <c r="A10" s="1082" t="s">
        <v>1233</v>
      </c>
      <c r="B10" s="1083" t="s">
        <v>1232</v>
      </c>
      <c r="C10" s="1083"/>
      <c r="D10" s="1084">
        <f>SUM('Acct Summary 7-8'!C7:K7)</f>
        <v>898921</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2005</v>
      </c>
      <c r="B14" s="1083"/>
      <c r="C14" s="1083"/>
      <c r="D14" s="1085">
        <f>'ICR Computation 30'!E11</f>
        <v>7210</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0</v>
      </c>
    </row>
    <row r="19" spans="1:4" ht="13.5" thickBot="1" x14ac:dyDescent="0.25">
      <c r="A19" s="1086" t="s">
        <v>1226</v>
      </c>
      <c r="D19" s="1087">
        <f>SUM(D10:D17)</f>
        <v>906131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3"/>
      <c r="B24" s="2663"/>
      <c r="D24" s="1089"/>
    </row>
    <row r="25" spans="1:4" x14ac:dyDescent="0.2">
      <c r="A25" s="2660"/>
      <c r="B25" s="2660"/>
      <c r="D25" s="1089"/>
    </row>
    <row r="26" spans="1:4" x14ac:dyDescent="0.2">
      <c r="A26" s="2660"/>
      <c r="B26" s="2660"/>
      <c r="D26" s="1089"/>
    </row>
    <row r="27" spans="1:4" x14ac:dyDescent="0.2">
      <c r="A27" s="2660"/>
      <c r="B27" s="2660"/>
      <c r="D27" s="1089"/>
    </row>
    <row r="28" spans="1:4" x14ac:dyDescent="0.2">
      <c r="A28" s="2660"/>
      <c r="B28" s="2660"/>
      <c r="D28" s="1089"/>
    </row>
    <row r="29" spans="1:4" x14ac:dyDescent="0.2">
      <c r="A29" s="2660"/>
      <c r="B29" s="2660"/>
      <c r="D29" s="1089"/>
    </row>
    <row r="30" spans="1:4" x14ac:dyDescent="0.2">
      <c r="A30" s="2660"/>
      <c r="B30" s="2660"/>
      <c r="D30" s="1089"/>
    </row>
    <row r="32" spans="1:4" x14ac:dyDescent="0.2">
      <c r="A32" s="1081" t="s">
        <v>1224</v>
      </c>
      <c r="D32" s="1084">
        <f>SUM(D19:D30)</f>
        <v>906131</v>
      </c>
    </row>
    <row r="33" spans="1:4" x14ac:dyDescent="0.2">
      <c r="D33" s="1090"/>
    </row>
    <row r="34" spans="1:4" x14ac:dyDescent="0.2">
      <c r="A34" s="295" t="s">
        <v>1223</v>
      </c>
    </row>
    <row r="35" spans="1:4" x14ac:dyDescent="0.2">
      <c r="A35" s="295" t="s">
        <v>1222</v>
      </c>
      <c r="B35" s="1079" t="s">
        <v>1221</v>
      </c>
      <c r="D35" s="1091">
        <f>+' SEFA'!F39</f>
        <v>906131</v>
      </c>
    </row>
    <row r="37" spans="1:4" x14ac:dyDescent="0.2">
      <c r="A37" s="1081" t="s">
        <v>1220</v>
      </c>
    </row>
    <row r="39" spans="1:4" ht="13.35" customHeight="1" x14ac:dyDescent="0.2">
      <c r="A39" s="1088" t="s">
        <v>1219</v>
      </c>
    </row>
    <row r="40" spans="1:4" x14ac:dyDescent="0.2">
      <c r="A40" s="2660"/>
      <c r="B40" s="2660"/>
      <c r="D40" s="1089"/>
    </row>
    <row r="41" spans="1:4" x14ac:dyDescent="0.2">
      <c r="A41" s="2660"/>
      <c r="B41" s="2660"/>
      <c r="D41" s="1092"/>
    </row>
    <row r="42" spans="1:4" x14ac:dyDescent="0.2">
      <c r="A42" s="2660"/>
      <c r="B42" s="2660"/>
      <c r="D42" s="1092"/>
    </row>
    <row r="43" spans="1:4" x14ac:dyDescent="0.2">
      <c r="A43" s="2660"/>
      <c r="B43" s="2660"/>
      <c r="D43" s="1092"/>
    </row>
    <row r="44" spans="1:4" x14ac:dyDescent="0.2">
      <c r="A44" s="2660"/>
      <c r="B44" s="2660"/>
      <c r="D44" s="1092"/>
    </row>
    <row r="45" spans="1:4" x14ac:dyDescent="0.2">
      <c r="A45" s="2660"/>
      <c r="B45" s="2660"/>
      <c r="D45" s="1092"/>
    </row>
    <row r="47" spans="1:4" x14ac:dyDescent="0.2">
      <c r="B47" s="1093" t="s">
        <v>1218</v>
      </c>
      <c r="C47" s="1093"/>
      <c r="D47" s="1094">
        <f>SUM(D35:D45)</f>
        <v>906131</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5"/>
  <sheetViews>
    <sheetView showGridLines="0" topLeftCell="A7" zoomScale="80" zoomScaleNormal="80" workbookViewId="0">
      <selection activeCell="I36" sqref="I36"/>
    </sheetView>
  </sheetViews>
  <sheetFormatPr defaultColWidth="33.5703125" defaultRowHeight="12.75" x14ac:dyDescent="0.2"/>
  <cols>
    <col min="1" max="1" width="0.140625" style="295" customWidth="1"/>
    <col min="2" max="2" width="7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3" t="str">
        <f>'Single Audit Cover'!A7</f>
        <v xml:space="preserve"> Elwood CCSD 203</v>
      </c>
      <c r="C1" s="2665"/>
      <c r="D1" s="2665"/>
      <c r="E1" s="2665"/>
      <c r="F1" s="2665"/>
      <c r="G1" s="2665"/>
      <c r="H1" s="2665"/>
      <c r="I1" s="2665"/>
      <c r="J1" s="2665"/>
      <c r="K1" s="2665"/>
      <c r="L1" s="2665"/>
      <c r="M1" s="2665"/>
    </row>
    <row r="2" spans="2:14" ht="15" x14ac:dyDescent="0.2">
      <c r="B2" s="2666">
        <f>'Single Audit Cover'!E7</f>
        <v>56099203004</v>
      </c>
      <c r="C2" s="2666"/>
      <c r="D2" s="2666"/>
      <c r="E2" s="2666"/>
      <c r="F2" s="2666"/>
      <c r="G2" s="2666"/>
      <c r="H2" s="2666"/>
      <c r="I2" s="2666"/>
      <c r="J2" s="2666"/>
      <c r="K2" s="2666"/>
      <c r="L2" s="2666"/>
      <c r="M2" s="2666"/>
      <c r="N2" s="1123"/>
    </row>
    <row r="3" spans="2:14" ht="15" x14ac:dyDescent="0.2">
      <c r="B3" s="2667" t="s">
        <v>1210</v>
      </c>
      <c r="C3" s="2667"/>
      <c r="D3" s="2667"/>
      <c r="E3" s="2667"/>
      <c r="F3" s="2667"/>
      <c r="G3" s="2667"/>
      <c r="H3" s="2667"/>
      <c r="I3" s="2667"/>
      <c r="J3" s="2667"/>
      <c r="K3" s="2667"/>
      <c r="L3" s="2667"/>
      <c r="M3" s="2667"/>
      <c r="N3" s="1123"/>
    </row>
    <row r="4" spans="2:14" ht="15" x14ac:dyDescent="0.2">
      <c r="B4" s="2668" t="str">
        <f>'Single Audit Cover'!A4</f>
        <v>Year Ending June 30, 2020</v>
      </c>
      <c r="C4" s="2668"/>
      <c r="D4" s="2668"/>
      <c r="E4" s="2668"/>
      <c r="F4" s="2668"/>
      <c r="G4" s="2668"/>
      <c r="H4" s="2668"/>
      <c r="I4" s="2668"/>
      <c r="J4" s="2668"/>
      <c r="K4" s="2668"/>
      <c r="L4" s="2668"/>
      <c r="M4" s="2668"/>
      <c r="N4" s="1123"/>
    </row>
    <row r="5" spans="2:14" x14ac:dyDescent="0.2">
      <c r="H5" s="1983"/>
      <c r="J5" s="1983"/>
    </row>
    <row r="6" spans="2:14" x14ac:dyDescent="0.2">
      <c r="B6" s="1124"/>
      <c r="C6" s="1125"/>
      <c r="D6" s="1126" t="s">
        <v>1256</v>
      </c>
      <c r="E6" s="1127" t="s">
        <v>524</v>
      </c>
      <c r="F6" s="1128"/>
      <c r="G6" s="1129" t="s">
        <v>1712</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2074</v>
      </c>
      <c r="C11" s="1879"/>
      <c r="D11" s="1880"/>
      <c r="E11" s="1881"/>
      <c r="F11" s="1881"/>
      <c r="G11" s="1881"/>
      <c r="H11" s="1881"/>
      <c r="I11" s="1881"/>
      <c r="J11" s="1881"/>
      <c r="K11" s="1881"/>
      <c r="L11" s="1881"/>
      <c r="M11" s="1881"/>
    </row>
    <row r="12" spans="2:14" ht="20.100000000000001" customHeight="1" x14ac:dyDescent="0.2">
      <c r="B12" s="1158" t="s">
        <v>2075</v>
      </c>
      <c r="C12" s="1882"/>
      <c r="D12" s="1883"/>
      <c r="E12" s="1884"/>
      <c r="F12" s="1884"/>
      <c r="G12" s="1884"/>
      <c r="H12" s="1884"/>
      <c r="I12" s="1884"/>
      <c r="J12" s="1884"/>
      <c r="K12" s="1884"/>
      <c r="L12" s="1881"/>
      <c r="M12" s="1884"/>
    </row>
    <row r="13" spans="2:14" ht="20.100000000000001" customHeight="1" x14ac:dyDescent="0.2">
      <c r="B13" s="1158" t="s">
        <v>1051</v>
      </c>
      <c r="C13" s="1882">
        <v>10.555</v>
      </c>
      <c r="D13" s="1883" t="s">
        <v>2093</v>
      </c>
      <c r="E13" s="2105">
        <v>0</v>
      </c>
      <c r="F13" s="2105">
        <f>31302-F14</f>
        <v>24524</v>
      </c>
      <c r="G13" s="2105">
        <v>0</v>
      </c>
      <c r="H13" s="2105">
        <v>0</v>
      </c>
      <c r="I13" s="2105">
        <v>24524</v>
      </c>
      <c r="J13" s="2105">
        <v>0</v>
      </c>
      <c r="K13" s="2105">
        <v>0</v>
      </c>
      <c r="L13" s="2106">
        <f t="shared" ref="L13:L37" si="0">+G13+I13+K13</f>
        <v>24524</v>
      </c>
      <c r="M13" s="1884" t="s">
        <v>2109</v>
      </c>
    </row>
    <row r="14" spans="2:14" ht="20.100000000000001" customHeight="1" x14ac:dyDescent="0.2">
      <c r="B14" s="1158" t="s">
        <v>1051</v>
      </c>
      <c r="C14" s="1882">
        <v>10.555</v>
      </c>
      <c r="D14" s="1883" t="s">
        <v>2092</v>
      </c>
      <c r="E14" s="2105">
        <v>39170</v>
      </c>
      <c r="F14" s="2105">
        <f>45948-E14</f>
        <v>6778</v>
      </c>
      <c r="G14" s="2105">
        <v>39170</v>
      </c>
      <c r="H14" s="2105">
        <v>0</v>
      </c>
      <c r="I14" s="2105">
        <v>6778</v>
      </c>
      <c r="J14" s="2105">
        <v>0</v>
      </c>
      <c r="K14" s="2105">
        <v>0</v>
      </c>
      <c r="L14" s="2106">
        <f t="shared" si="0"/>
        <v>45948</v>
      </c>
      <c r="M14" s="1884" t="s">
        <v>2109</v>
      </c>
    </row>
    <row r="15" spans="2:14" ht="20.100000000000001" customHeight="1" x14ac:dyDescent="0.2">
      <c r="B15" s="1158" t="s">
        <v>2076</v>
      </c>
      <c r="C15" s="1882">
        <v>10.555</v>
      </c>
      <c r="D15" s="1883">
        <v>2020</v>
      </c>
      <c r="E15" s="2105">
        <v>0</v>
      </c>
      <c r="F15" s="2105">
        <v>4210</v>
      </c>
      <c r="G15" s="2105">
        <v>0</v>
      </c>
      <c r="H15" s="2105">
        <v>0</v>
      </c>
      <c r="I15" s="2105">
        <v>4210</v>
      </c>
      <c r="J15" s="2105">
        <v>0</v>
      </c>
      <c r="K15" s="2105">
        <v>0</v>
      </c>
      <c r="L15" s="2106">
        <f t="shared" si="0"/>
        <v>4210</v>
      </c>
      <c r="M15" s="1884" t="s">
        <v>2109</v>
      </c>
    </row>
    <row r="16" spans="2:14" ht="20.100000000000001" customHeight="1" x14ac:dyDescent="0.2">
      <c r="B16" s="1158" t="s">
        <v>2076</v>
      </c>
      <c r="C16" s="1882">
        <v>10.555</v>
      </c>
      <c r="D16" s="1883">
        <v>2019</v>
      </c>
      <c r="E16" s="2105">
        <v>5670</v>
      </c>
      <c r="F16" s="2105">
        <v>0</v>
      </c>
      <c r="G16" s="2105">
        <v>5670</v>
      </c>
      <c r="H16" s="2105">
        <v>0</v>
      </c>
      <c r="I16" s="2105">
        <v>0</v>
      </c>
      <c r="J16" s="2105">
        <v>0</v>
      </c>
      <c r="K16" s="2105">
        <v>0</v>
      </c>
      <c r="L16" s="2106">
        <f t="shared" si="0"/>
        <v>5670</v>
      </c>
      <c r="M16" s="1884" t="s">
        <v>2109</v>
      </c>
    </row>
    <row r="17" spans="2:13" ht="20.100000000000001" customHeight="1" x14ac:dyDescent="0.2">
      <c r="B17" s="1158" t="s">
        <v>2077</v>
      </c>
      <c r="C17" s="1882">
        <v>10.555</v>
      </c>
      <c r="D17" s="1883"/>
      <c r="E17" s="2105">
        <v>0</v>
      </c>
      <c r="F17" s="2105">
        <v>3000</v>
      </c>
      <c r="G17" s="2105">
        <v>0</v>
      </c>
      <c r="H17" s="2105">
        <v>0</v>
      </c>
      <c r="I17" s="2105">
        <v>3000</v>
      </c>
      <c r="J17" s="2105">
        <v>0</v>
      </c>
      <c r="K17" s="2105">
        <v>0</v>
      </c>
      <c r="L17" s="2106">
        <f t="shared" si="0"/>
        <v>3000</v>
      </c>
      <c r="M17" s="1884" t="s">
        <v>2109</v>
      </c>
    </row>
    <row r="18" spans="2:13" ht="20.100000000000001" customHeight="1" x14ac:dyDescent="0.2">
      <c r="B18" s="1158" t="s">
        <v>2077</v>
      </c>
      <c r="C18" s="1882">
        <v>10.555</v>
      </c>
      <c r="D18" s="1883"/>
      <c r="E18" s="2105">
        <v>3775</v>
      </c>
      <c r="F18" s="2105">
        <v>0</v>
      </c>
      <c r="G18" s="2105">
        <v>3775</v>
      </c>
      <c r="H18" s="2105">
        <v>0</v>
      </c>
      <c r="I18" s="2105">
        <v>0</v>
      </c>
      <c r="J18" s="2105">
        <v>0</v>
      </c>
      <c r="K18" s="2105">
        <v>0</v>
      </c>
      <c r="L18" s="2106">
        <f t="shared" si="0"/>
        <v>3775</v>
      </c>
      <c r="M18" s="1884" t="s">
        <v>2109</v>
      </c>
    </row>
    <row r="19" spans="2:13" ht="20.100000000000001" customHeight="1" x14ac:dyDescent="0.2">
      <c r="B19" s="1158" t="s">
        <v>2078</v>
      </c>
      <c r="C19" s="1882">
        <v>10.664999999999999</v>
      </c>
      <c r="D19" s="1883">
        <v>2019</v>
      </c>
      <c r="E19" s="2105">
        <v>0</v>
      </c>
      <c r="F19" s="2105">
        <v>27304</v>
      </c>
      <c r="G19" s="2105">
        <v>0</v>
      </c>
      <c r="H19" s="2105">
        <v>0</v>
      </c>
      <c r="I19" s="2105">
        <v>27304</v>
      </c>
      <c r="J19" s="2105">
        <v>0</v>
      </c>
      <c r="K19" s="2105">
        <v>0</v>
      </c>
      <c r="L19" s="2106">
        <f t="shared" si="0"/>
        <v>27304</v>
      </c>
      <c r="M19" s="1884" t="s">
        <v>2109</v>
      </c>
    </row>
    <row r="20" spans="2:13" ht="20.100000000000001" customHeight="1" x14ac:dyDescent="0.2">
      <c r="B20" s="1158" t="s">
        <v>2078</v>
      </c>
      <c r="C20" s="1882">
        <v>10.664999999999999</v>
      </c>
      <c r="D20" s="1883">
        <v>2018</v>
      </c>
      <c r="E20" s="2105">
        <v>28036</v>
      </c>
      <c r="F20" s="2105">
        <v>0</v>
      </c>
      <c r="G20" s="2105">
        <v>28036</v>
      </c>
      <c r="H20" s="2105">
        <v>0</v>
      </c>
      <c r="I20" s="2105">
        <v>0</v>
      </c>
      <c r="J20" s="2105">
        <v>0</v>
      </c>
      <c r="K20" s="2105">
        <v>0</v>
      </c>
      <c r="L20" s="2106">
        <f t="shared" si="0"/>
        <v>28036</v>
      </c>
      <c r="M20" s="1884" t="s">
        <v>2109</v>
      </c>
    </row>
    <row r="21" spans="2:13" ht="20.100000000000001" customHeight="1" x14ac:dyDescent="0.2">
      <c r="B21" s="1158" t="s">
        <v>2110</v>
      </c>
      <c r="C21" s="1882"/>
      <c r="D21" s="1883"/>
      <c r="E21" s="2105">
        <f>SUBTOTAL(109,E13:E20)</f>
        <v>76651</v>
      </c>
      <c r="F21" s="2105">
        <f t="shared" ref="F21:L21" si="1">SUBTOTAL(109,F13:F20)</f>
        <v>65816</v>
      </c>
      <c r="G21" s="2105">
        <f t="shared" si="1"/>
        <v>76651</v>
      </c>
      <c r="H21" s="2105">
        <f t="shared" si="1"/>
        <v>0</v>
      </c>
      <c r="I21" s="2105">
        <f t="shared" si="1"/>
        <v>65816</v>
      </c>
      <c r="J21" s="2105">
        <f t="shared" si="1"/>
        <v>0</v>
      </c>
      <c r="K21" s="2105">
        <f t="shared" si="1"/>
        <v>0</v>
      </c>
      <c r="L21" s="2105">
        <f t="shared" si="1"/>
        <v>142467</v>
      </c>
      <c r="M21" s="2105" t="s">
        <v>2109</v>
      </c>
    </row>
    <row r="22" spans="2:13" ht="20.100000000000001" customHeight="1" x14ac:dyDescent="0.2">
      <c r="B22" s="1158" t="s">
        <v>2079</v>
      </c>
      <c r="C22" s="1882"/>
      <c r="D22" s="1883"/>
      <c r="E22" s="2105"/>
      <c r="F22" s="2105"/>
      <c r="G22" s="2105"/>
      <c r="H22" s="2105"/>
      <c r="I22" s="2105"/>
      <c r="J22" s="2105"/>
      <c r="K22" s="2105"/>
      <c r="L22" s="2106"/>
      <c r="M22" s="1884"/>
    </row>
    <row r="23" spans="2:13" ht="20.100000000000001" customHeight="1" x14ac:dyDescent="0.2">
      <c r="B23" s="1158" t="s">
        <v>2080</v>
      </c>
      <c r="C23" s="1882"/>
      <c r="D23" s="1883"/>
      <c r="E23" s="2105"/>
      <c r="F23" s="2105"/>
      <c r="G23" s="2105"/>
      <c r="H23" s="2105"/>
      <c r="I23" s="2105"/>
      <c r="J23" s="2105"/>
      <c r="K23" s="2105"/>
      <c r="L23" s="2106"/>
      <c r="M23" s="1884"/>
    </row>
    <row r="24" spans="2:13" ht="20.100000000000001" customHeight="1" x14ac:dyDescent="0.2">
      <c r="B24" s="1158" t="s">
        <v>2081</v>
      </c>
      <c r="C24" s="1882">
        <v>84.040999999999997</v>
      </c>
      <c r="D24" s="1883" t="s">
        <v>2094</v>
      </c>
      <c r="E24" s="2105">
        <v>0</v>
      </c>
      <c r="F24" s="2105">
        <v>718387</v>
      </c>
      <c r="G24" s="2105">
        <v>0</v>
      </c>
      <c r="H24" s="2105">
        <v>0</v>
      </c>
      <c r="I24" s="2105">
        <v>718387</v>
      </c>
      <c r="J24" s="2105">
        <v>0</v>
      </c>
      <c r="K24" s="2105">
        <v>0</v>
      </c>
      <c r="L24" s="2106">
        <f t="shared" si="0"/>
        <v>718387</v>
      </c>
      <c r="M24" s="1884">
        <v>718837</v>
      </c>
    </row>
    <row r="25" spans="2:13" ht="20.100000000000001" customHeight="1" x14ac:dyDescent="0.2">
      <c r="B25" s="1158" t="s">
        <v>2081</v>
      </c>
      <c r="C25" s="1882">
        <v>84.040999999999997</v>
      </c>
      <c r="D25" s="1883" t="s">
        <v>2095</v>
      </c>
      <c r="E25" s="2105">
        <v>695534</v>
      </c>
      <c r="F25" s="2105">
        <v>0</v>
      </c>
      <c r="G25" s="2105">
        <v>695534</v>
      </c>
      <c r="H25" s="2105">
        <v>0</v>
      </c>
      <c r="I25" s="2105">
        <v>0</v>
      </c>
      <c r="J25" s="2105">
        <v>0</v>
      </c>
      <c r="K25" s="2105">
        <v>0</v>
      </c>
      <c r="L25" s="2106">
        <f t="shared" si="0"/>
        <v>695534</v>
      </c>
      <c r="M25" s="1884">
        <v>695534</v>
      </c>
    </row>
    <row r="26" spans="2:13" ht="20.100000000000001" customHeight="1" x14ac:dyDescent="0.2">
      <c r="B26" s="1158" t="s">
        <v>2082</v>
      </c>
      <c r="C26" s="1882" t="s">
        <v>2087</v>
      </c>
      <c r="D26" s="1883" t="s">
        <v>2096</v>
      </c>
      <c r="E26" s="2105">
        <v>0</v>
      </c>
      <c r="F26" s="2105">
        <v>36034</v>
      </c>
      <c r="G26" s="2105">
        <v>0</v>
      </c>
      <c r="H26" s="2105">
        <v>0</v>
      </c>
      <c r="I26" s="2105">
        <v>36034</v>
      </c>
      <c r="J26" s="2105">
        <v>0</v>
      </c>
      <c r="K26" s="2105">
        <v>0</v>
      </c>
      <c r="L26" s="2106">
        <f t="shared" si="0"/>
        <v>36034</v>
      </c>
      <c r="M26" s="1884">
        <v>36034</v>
      </c>
    </row>
    <row r="27" spans="2:13" ht="20.100000000000001" customHeight="1" x14ac:dyDescent="0.2">
      <c r="B27" s="1158" t="s">
        <v>2082</v>
      </c>
      <c r="C27" s="1882" t="s">
        <v>2087</v>
      </c>
      <c r="D27" s="1883" t="s">
        <v>2097</v>
      </c>
      <c r="E27" s="2105">
        <v>69008</v>
      </c>
      <c r="F27" s="2105">
        <v>0</v>
      </c>
      <c r="G27" s="2105">
        <v>69008</v>
      </c>
      <c r="H27" s="2105">
        <v>0</v>
      </c>
      <c r="I27" s="2105">
        <v>0</v>
      </c>
      <c r="J27" s="2105">
        <v>0</v>
      </c>
      <c r="K27" s="2105">
        <v>0</v>
      </c>
      <c r="L27" s="2106">
        <f t="shared" si="0"/>
        <v>69008</v>
      </c>
      <c r="M27" s="1884">
        <v>69008</v>
      </c>
    </row>
    <row r="28" spans="2:13" ht="20.100000000000001" customHeight="1" x14ac:dyDescent="0.2">
      <c r="B28" s="1158" t="s">
        <v>2083</v>
      </c>
      <c r="C28" s="1882" t="s">
        <v>2088</v>
      </c>
      <c r="D28" s="1883" t="s">
        <v>2098</v>
      </c>
      <c r="E28" s="2105">
        <v>0</v>
      </c>
      <c r="F28" s="2105">
        <v>1310</v>
      </c>
      <c r="G28" s="2105">
        <v>0</v>
      </c>
      <c r="H28" s="2105">
        <v>0</v>
      </c>
      <c r="I28" s="2105">
        <v>1310</v>
      </c>
      <c r="J28" s="2105">
        <v>0</v>
      </c>
      <c r="K28" s="2105">
        <v>0</v>
      </c>
      <c r="L28" s="2106">
        <f t="shared" si="0"/>
        <v>1310</v>
      </c>
      <c r="M28" s="1884">
        <v>1310</v>
      </c>
    </row>
    <row r="29" spans="2:13" ht="20.100000000000001" customHeight="1" x14ac:dyDescent="0.2">
      <c r="B29" s="1158" t="s">
        <v>2083</v>
      </c>
      <c r="C29" s="1882" t="s">
        <v>2088</v>
      </c>
      <c r="D29" s="1883" t="s">
        <v>2099</v>
      </c>
      <c r="E29" s="2105">
        <v>2443</v>
      </c>
      <c r="F29" s="2105">
        <v>0</v>
      </c>
      <c r="G29" s="2105">
        <v>2443</v>
      </c>
      <c r="H29" s="2105">
        <v>0</v>
      </c>
      <c r="I29" s="2105">
        <v>0</v>
      </c>
      <c r="J29" s="2105">
        <v>0</v>
      </c>
      <c r="K29" s="2105">
        <v>0</v>
      </c>
      <c r="L29" s="2106">
        <f t="shared" si="0"/>
        <v>2443</v>
      </c>
      <c r="M29" s="1884">
        <v>2443</v>
      </c>
    </row>
    <row r="30" spans="2:13" ht="20.100000000000001" customHeight="1" x14ac:dyDescent="0.2">
      <c r="B30" s="1158" t="s">
        <v>2107</v>
      </c>
      <c r="C30" s="1882"/>
      <c r="D30" s="1883" t="s">
        <v>2108</v>
      </c>
      <c r="E30" s="2105">
        <v>0</v>
      </c>
      <c r="F30" s="2105">
        <v>1244</v>
      </c>
      <c r="G30" s="2105">
        <v>0</v>
      </c>
      <c r="H30" s="2105">
        <v>0</v>
      </c>
      <c r="I30" s="2105">
        <v>0</v>
      </c>
      <c r="J30" s="2105">
        <v>0</v>
      </c>
      <c r="K30" s="2105">
        <v>0</v>
      </c>
      <c r="L30" s="2106">
        <f t="shared" si="0"/>
        <v>0</v>
      </c>
      <c r="M30" s="1884">
        <v>0</v>
      </c>
    </row>
    <row r="31" spans="2:13" ht="20.100000000000001" customHeight="1" x14ac:dyDescent="0.2">
      <c r="B31" s="2104" t="s">
        <v>2075</v>
      </c>
      <c r="C31" s="1882"/>
      <c r="D31" s="1883"/>
      <c r="E31" s="2105"/>
      <c r="F31" s="2105"/>
      <c r="G31" s="2105"/>
      <c r="H31" s="2105"/>
      <c r="I31" s="2105"/>
      <c r="J31" s="2105"/>
      <c r="K31" s="2105"/>
      <c r="L31" s="2106"/>
      <c r="M31" s="1884"/>
    </row>
    <row r="32" spans="2:13" ht="20.100000000000001" customHeight="1" x14ac:dyDescent="0.2">
      <c r="B32" s="1158" t="s">
        <v>2084</v>
      </c>
      <c r="C32" s="1882" t="s">
        <v>2089</v>
      </c>
      <c r="D32" s="1883" t="s">
        <v>2100</v>
      </c>
      <c r="E32" s="2105">
        <v>0</v>
      </c>
      <c r="F32" s="2105">
        <f>69996-22277</f>
        <v>47719</v>
      </c>
      <c r="G32" s="2105">
        <v>0</v>
      </c>
      <c r="H32" s="2105">
        <v>0</v>
      </c>
      <c r="I32" s="2105">
        <v>65432</v>
      </c>
      <c r="J32" s="2105">
        <v>0</v>
      </c>
      <c r="K32" s="2105">
        <v>0</v>
      </c>
      <c r="L32" s="2106">
        <f t="shared" si="0"/>
        <v>65432</v>
      </c>
      <c r="M32" s="1884">
        <v>67232</v>
      </c>
    </row>
    <row r="33" spans="2:14" ht="20.100000000000001" customHeight="1" x14ac:dyDescent="0.2">
      <c r="B33" s="1158" t="s">
        <v>2084</v>
      </c>
      <c r="C33" s="1882" t="s">
        <v>2089</v>
      </c>
      <c r="D33" s="1883" t="s">
        <v>2101</v>
      </c>
      <c r="E33" s="2105">
        <v>58058</v>
      </c>
      <c r="F33" s="2105">
        <f>80335-E33</f>
        <v>22277</v>
      </c>
      <c r="G33" s="2105">
        <v>80335</v>
      </c>
      <c r="H33" s="2105">
        <v>0</v>
      </c>
      <c r="I33" s="2105">
        <v>0</v>
      </c>
      <c r="J33" s="2105">
        <v>0</v>
      </c>
      <c r="K33" s="2105">
        <v>0</v>
      </c>
      <c r="L33" s="2106">
        <f t="shared" si="0"/>
        <v>80335</v>
      </c>
      <c r="M33" s="1884">
        <v>92190</v>
      </c>
    </row>
    <row r="34" spans="2:14" ht="20.100000000000001" customHeight="1" x14ac:dyDescent="0.2">
      <c r="B34" s="1158" t="s">
        <v>2085</v>
      </c>
      <c r="C34" s="1882" t="s">
        <v>2090</v>
      </c>
      <c r="D34" s="1883" t="s">
        <v>2102</v>
      </c>
      <c r="E34" s="2105">
        <v>0</v>
      </c>
      <c r="F34" s="2105">
        <f>4127-11</f>
        <v>4116</v>
      </c>
      <c r="G34" s="2105">
        <v>0</v>
      </c>
      <c r="H34" s="2105">
        <v>0</v>
      </c>
      <c r="I34" s="2105">
        <v>6056</v>
      </c>
      <c r="J34" s="2105">
        <v>0</v>
      </c>
      <c r="K34" s="2105">
        <v>0</v>
      </c>
      <c r="L34" s="2106">
        <f t="shared" si="0"/>
        <v>6056</v>
      </c>
      <c r="M34" s="1884">
        <v>7654</v>
      </c>
    </row>
    <row r="35" spans="2:14" ht="20.100000000000001" customHeight="1" x14ac:dyDescent="0.2">
      <c r="B35" s="1158" t="s">
        <v>2085</v>
      </c>
      <c r="C35" s="1882" t="s">
        <v>2090</v>
      </c>
      <c r="D35" s="1883" t="s">
        <v>2103</v>
      </c>
      <c r="E35" s="2105">
        <v>12763</v>
      </c>
      <c r="F35" s="2105">
        <f>12774-E35</f>
        <v>11</v>
      </c>
      <c r="G35" s="2105">
        <v>12774</v>
      </c>
      <c r="H35" s="2105">
        <v>0</v>
      </c>
      <c r="I35" s="2105">
        <v>0</v>
      </c>
      <c r="J35" s="2105">
        <v>0</v>
      </c>
      <c r="K35" s="2105">
        <v>0</v>
      </c>
      <c r="L35" s="2106">
        <f t="shared" si="0"/>
        <v>12774</v>
      </c>
      <c r="M35" s="1884">
        <v>12774</v>
      </c>
    </row>
    <row r="36" spans="2:14" ht="20.100000000000001" customHeight="1" x14ac:dyDescent="0.2">
      <c r="B36" s="1158" t="s">
        <v>2086</v>
      </c>
      <c r="C36" s="1882" t="s">
        <v>2091</v>
      </c>
      <c r="D36" s="1883" t="s">
        <v>2104</v>
      </c>
      <c r="E36" s="2105">
        <v>0</v>
      </c>
      <c r="F36" s="2105">
        <v>9217</v>
      </c>
      <c r="G36" s="2105">
        <v>0</v>
      </c>
      <c r="H36" s="2105">
        <v>0</v>
      </c>
      <c r="I36" s="2105">
        <v>10608</v>
      </c>
      <c r="J36" s="2105">
        <v>0</v>
      </c>
      <c r="K36" s="2105">
        <v>0</v>
      </c>
      <c r="L36" s="2106">
        <f t="shared" si="0"/>
        <v>10608</v>
      </c>
      <c r="M36" s="1884"/>
    </row>
    <row r="37" spans="2:14" ht="20.100000000000001" customHeight="1" x14ac:dyDescent="0.2">
      <c r="B37" s="1158" t="s">
        <v>2086</v>
      </c>
      <c r="C37" s="1882" t="s">
        <v>2106</v>
      </c>
      <c r="D37" s="1883" t="s">
        <v>2105</v>
      </c>
      <c r="E37" s="2105">
        <v>9619</v>
      </c>
      <c r="F37" s="2105">
        <v>0</v>
      </c>
      <c r="G37" s="2105">
        <v>9619</v>
      </c>
      <c r="H37" s="2105">
        <v>0</v>
      </c>
      <c r="I37" s="2105">
        <v>0</v>
      </c>
      <c r="J37" s="2105">
        <v>0</v>
      </c>
      <c r="K37" s="2105">
        <v>0</v>
      </c>
      <c r="L37" s="2106">
        <f t="shared" si="0"/>
        <v>9619</v>
      </c>
      <c r="M37" s="1884">
        <v>10789</v>
      </c>
    </row>
    <row r="38" spans="2:14" ht="20.100000000000001" customHeight="1" x14ac:dyDescent="0.2">
      <c r="B38" s="1158" t="s">
        <v>2111</v>
      </c>
      <c r="C38" s="1882"/>
      <c r="D38" s="1883"/>
      <c r="E38" s="2105">
        <f>SUBTOTAL(109,E24:E37)</f>
        <v>847425</v>
      </c>
      <c r="F38" s="2105">
        <f t="shared" ref="F38:L38" si="2">SUBTOTAL(109,F24:F37)</f>
        <v>840315</v>
      </c>
      <c r="G38" s="2105">
        <f t="shared" si="2"/>
        <v>869713</v>
      </c>
      <c r="H38" s="2105">
        <v>0</v>
      </c>
      <c r="I38" s="2105">
        <f t="shared" si="2"/>
        <v>837827</v>
      </c>
      <c r="J38" s="2105">
        <f t="shared" si="2"/>
        <v>0</v>
      </c>
      <c r="K38" s="2105">
        <f t="shared" si="2"/>
        <v>0</v>
      </c>
      <c r="L38" s="2105">
        <f t="shared" si="2"/>
        <v>1707540</v>
      </c>
      <c r="M38" s="1884" t="s">
        <v>2109</v>
      </c>
    </row>
    <row r="39" spans="2:14" ht="20.100000000000001" customHeight="1" x14ac:dyDescent="0.2">
      <c r="B39" s="1158" t="s">
        <v>1153</v>
      </c>
      <c r="C39" s="1882"/>
      <c r="D39" s="1883"/>
      <c r="E39" s="2105">
        <f>SUBTOTAL(109,E13:E38)</f>
        <v>924076</v>
      </c>
      <c r="F39" s="2105">
        <f t="shared" ref="F39:L39" si="3">SUBTOTAL(109,F13:F38)</f>
        <v>906131</v>
      </c>
      <c r="G39" s="2105">
        <f t="shared" si="3"/>
        <v>946364</v>
      </c>
      <c r="H39" s="2105">
        <v>0</v>
      </c>
      <c r="I39" s="2105">
        <f t="shared" si="3"/>
        <v>903643</v>
      </c>
      <c r="J39" s="2105">
        <f t="shared" si="3"/>
        <v>0</v>
      </c>
      <c r="K39" s="2105">
        <f t="shared" si="3"/>
        <v>0</v>
      </c>
      <c r="L39" s="2105">
        <f t="shared" si="3"/>
        <v>1850007</v>
      </c>
      <c r="M39" s="1884" t="s">
        <v>2109</v>
      </c>
    </row>
    <row r="40" spans="2:14" ht="20.100000000000001" customHeight="1" x14ac:dyDescent="0.2">
      <c r="B40" s="1158"/>
      <c r="C40" s="1882"/>
      <c r="D40" s="1883"/>
      <c r="E40" s="2105"/>
      <c r="F40" s="2105"/>
      <c r="G40" s="2105"/>
      <c r="H40" s="2105"/>
      <c r="I40" s="2105"/>
      <c r="J40" s="2105"/>
      <c r="K40" s="2105"/>
      <c r="L40" s="2106"/>
      <c r="M40" s="1884"/>
      <c r="N40" s="1159"/>
    </row>
    <row r="41" spans="2:14" ht="12.75" customHeight="1" x14ac:dyDescent="0.2">
      <c r="B41" s="1160"/>
      <c r="C41" s="1161"/>
      <c r="D41" s="1162"/>
      <c r="E41" s="1163"/>
      <c r="F41" s="1163"/>
      <c r="G41" s="1163"/>
      <c r="H41" s="1163"/>
      <c r="I41" s="1163"/>
      <c r="J41" s="1163"/>
      <c r="K41" s="1163"/>
      <c r="L41" s="1163"/>
      <c r="M41" s="1163"/>
      <c r="N41" s="1159"/>
    </row>
    <row r="42" spans="2:14" x14ac:dyDescent="0.2">
      <c r="B42" s="1078"/>
      <c r="C42" s="1164"/>
      <c r="D42" s="1165"/>
      <c r="E42" s="1078"/>
      <c r="F42" s="1078"/>
      <c r="G42" s="1071"/>
      <c r="H42" s="1071"/>
      <c r="I42" s="1071"/>
      <c r="J42" s="1071"/>
      <c r="K42" s="1071"/>
      <c r="L42" s="1071"/>
      <c r="M42" s="1078"/>
      <c r="N42" s="1159"/>
    </row>
    <row r="43" spans="2:14" ht="13.5" customHeight="1" x14ac:dyDescent="0.2">
      <c r="B43" s="1103" t="s">
        <v>1715</v>
      </c>
      <c r="C43" s="1164"/>
      <c r="D43" s="1165"/>
      <c r="E43" s="1078"/>
      <c r="F43" s="1078"/>
      <c r="G43" s="1071"/>
      <c r="H43" s="1071"/>
      <c r="I43" s="1071"/>
      <c r="J43" s="1071"/>
      <c r="K43" s="1071"/>
      <c r="L43" s="1071"/>
      <c r="M43" s="1078"/>
      <c r="N43" s="1159"/>
    </row>
    <row r="44" spans="2:14" ht="8.25" customHeight="1" x14ac:dyDescent="0.2">
      <c r="B44" s="1103"/>
      <c r="C44" s="1164"/>
      <c r="D44" s="1165"/>
      <c r="E44" s="1078"/>
      <c r="F44" s="1078"/>
      <c r="G44" s="1071"/>
      <c r="H44" s="1071"/>
      <c r="I44" s="1071"/>
      <c r="J44" s="1071"/>
      <c r="K44" s="1071"/>
      <c r="L44" s="1071"/>
      <c r="M44" s="1078"/>
      <c r="N44" s="1159"/>
    </row>
    <row r="45" spans="2:14" x14ac:dyDescent="0.2">
      <c r="B45" s="1166" t="s">
        <v>1813</v>
      </c>
      <c r="C45" s="1167"/>
      <c r="D45" s="1168"/>
      <c r="E45" s="1169"/>
      <c r="F45" s="1169"/>
      <c r="G45" s="1169"/>
      <c r="H45" s="1169"/>
      <c r="I45" s="295"/>
      <c r="J45" s="295"/>
    </row>
    <row r="46" spans="2:14" x14ac:dyDescent="0.2">
      <c r="B46" s="1098"/>
      <c r="C46" s="1170"/>
      <c r="D46" s="1171"/>
      <c r="E46" s="1099"/>
      <c r="F46" s="1099"/>
      <c r="G46" s="295"/>
      <c r="H46" s="295"/>
      <c r="I46" s="295"/>
      <c r="J46" s="295"/>
    </row>
    <row r="47" spans="2:14" ht="13.5" customHeight="1" x14ac:dyDescent="0.2">
      <c r="B47" s="1097" t="s">
        <v>1237</v>
      </c>
      <c r="G47" s="295"/>
      <c r="H47" s="295"/>
      <c r="I47" s="295"/>
      <c r="J47" s="295"/>
    </row>
    <row r="48" spans="2:14" ht="13.5" customHeight="1" x14ac:dyDescent="0.2">
      <c r="B48" s="1174"/>
      <c r="C48" s="1175"/>
      <c r="D48" s="1176"/>
      <c r="E48" s="1118"/>
      <c r="F48" s="1118"/>
      <c r="G48" s="1118"/>
      <c r="H48" s="1118"/>
      <c r="I48" s="1118"/>
      <c r="J48" s="1118"/>
      <c r="K48" s="1177"/>
      <c r="L48" s="1177"/>
      <c r="M48" s="1118"/>
    </row>
    <row r="49" spans="2:13" ht="9.6" customHeight="1" x14ac:dyDescent="0.2">
      <c r="B49" s="1178"/>
      <c r="G49" s="295"/>
      <c r="H49" s="295"/>
      <c r="I49" s="295"/>
      <c r="J49" s="295"/>
    </row>
    <row r="50" spans="2:13" ht="11.25" customHeight="1" x14ac:dyDescent="0.2">
      <c r="B50" s="1179" t="s">
        <v>1716</v>
      </c>
      <c r="C50" s="1180"/>
      <c r="D50" s="1180"/>
      <c r="E50" s="1180"/>
      <c r="F50" s="1180"/>
      <c r="G50" s="1180"/>
      <c r="H50" s="1180"/>
      <c r="I50" s="1181"/>
      <c r="J50" s="1181"/>
      <c r="K50" s="1181"/>
      <c r="L50" s="1181"/>
      <c r="M50" s="1181"/>
    </row>
    <row r="51" spans="2:13" ht="11.25" customHeight="1" x14ac:dyDescent="0.2">
      <c r="B51" s="1182" t="s">
        <v>1570</v>
      </c>
      <c r="C51" s="1181"/>
      <c r="D51" s="1181"/>
      <c r="E51" s="1181"/>
      <c r="F51" s="1181"/>
      <c r="G51" s="1181"/>
      <c r="H51" s="1181"/>
      <c r="I51" s="1181"/>
      <c r="J51" s="1181"/>
      <c r="K51" s="1181"/>
      <c r="L51" s="1181"/>
      <c r="M51" s="1181"/>
    </row>
    <row r="52" spans="2:13" ht="3.95" customHeight="1" x14ac:dyDescent="0.2">
      <c r="B52" s="1182"/>
      <c r="C52" s="1181"/>
      <c r="D52" s="1181"/>
      <c r="E52" s="1181"/>
      <c r="F52" s="1181"/>
      <c r="G52" s="1181"/>
      <c r="H52" s="1181"/>
      <c r="I52" s="1181"/>
      <c r="J52" s="1181"/>
      <c r="K52" s="1181"/>
      <c r="L52" s="1181"/>
      <c r="M52" s="1181"/>
    </row>
    <row r="53" spans="2:13" ht="11.25" customHeight="1" x14ac:dyDescent="0.2">
      <c r="B53" s="1179" t="s">
        <v>1717</v>
      </c>
      <c r="C53" s="1181"/>
      <c r="D53" s="1181"/>
      <c r="E53" s="1181"/>
      <c r="F53" s="1181"/>
      <c r="G53" s="1181"/>
      <c r="H53" s="1181"/>
      <c r="I53" s="1181"/>
      <c r="J53" s="1181"/>
      <c r="K53" s="1181"/>
      <c r="L53" s="1181"/>
      <c r="M53" s="1181"/>
    </row>
    <row r="54" spans="2:13" ht="11.25" customHeight="1" x14ac:dyDescent="0.2">
      <c r="B54" s="1121" t="s">
        <v>1571</v>
      </c>
      <c r="C54" s="1183"/>
      <c r="D54" s="1184"/>
      <c r="E54" s="1121"/>
      <c r="F54" s="1121"/>
      <c r="G54" s="1121"/>
      <c r="H54" s="1121"/>
      <c r="I54" s="1121"/>
      <c r="J54" s="1121"/>
      <c r="K54" s="1185"/>
      <c r="L54" s="1185"/>
      <c r="M54" s="1121"/>
    </row>
    <row r="55" spans="2:13" ht="3.95" customHeight="1" x14ac:dyDescent="0.2">
      <c r="B55" s="1121"/>
      <c r="C55" s="1183"/>
      <c r="D55" s="1184"/>
      <c r="E55" s="1121"/>
      <c r="F55" s="1121"/>
      <c r="G55" s="1121"/>
      <c r="H55" s="1121"/>
      <c r="I55" s="1121"/>
      <c r="J55" s="1121"/>
      <c r="K55" s="1185"/>
      <c r="L55" s="1185"/>
      <c r="M55" s="1121"/>
    </row>
    <row r="56" spans="2:13" ht="11.25" customHeight="1" x14ac:dyDescent="0.2">
      <c r="B56" s="1186" t="s">
        <v>1718</v>
      </c>
      <c r="C56" s="1183"/>
      <c r="D56" s="1184"/>
      <c r="E56" s="1121"/>
      <c r="F56" s="1121"/>
      <c r="G56" s="1121"/>
      <c r="H56" s="1121"/>
      <c r="I56" s="1121"/>
      <c r="J56" s="1121"/>
      <c r="K56" s="1185"/>
      <c r="L56" s="1185"/>
      <c r="M56" s="1121"/>
    </row>
    <row r="57" spans="2:13" ht="3.95" customHeight="1" x14ac:dyDescent="0.2">
      <c r="B57" s="1186"/>
      <c r="C57" s="1183"/>
      <c r="D57" s="1184"/>
      <c r="E57" s="1121"/>
      <c r="F57" s="1121"/>
      <c r="G57" s="1121"/>
      <c r="H57" s="1121"/>
      <c r="I57" s="1121"/>
      <c r="J57" s="1121"/>
      <c r="K57" s="1185"/>
      <c r="L57" s="1185"/>
      <c r="M57" s="1121"/>
    </row>
    <row r="58" spans="2:13" ht="11.25" customHeight="1" x14ac:dyDescent="0.2">
      <c r="B58" s="1187" t="s">
        <v>1719</v>
      </c>
      <c r="C58" s="1183"/>
      <c r="D58" s="1184"/>
      <c r="E58" s="1121"/>
      <c r="F58" s="1121"/>
      <c r="G58" s="1121"/>
      <c r="H58" s="1121"/>
      <c r="I58" s="1121"/>
      <c r="J58" s="1121"/>
      <c r="K58" s="1185"/>
      <c r="L58" s="1185"/>
      <c r="M58" s="1121"/>
    </row>
    <row r="59" spans="2:13" ht="11.25" customHeight="1" x14ac:dyDescent="0.2">
      <c r="B59" s="1121" t="s">
        <v>1572</v>
      </c>
      <c r="G59" s="295"/>
      <c r="H59" s="295"/>
      <c r="I59" s="295"/>
      <c r="J59" s="295"/>
    </row>
    <row r="60" spans="2:13" ht="11.1" customHeight="1" x14ac:dyDescent="0.2">
      <c r="B60" s="1121"/>
      <c r="G60" s="295"/>
      <c r="H60" s="295"/>
      <c r="I60" s="295"/>
      <c r="J60" s="295"/>
    </row>
    <row r="61" spans="2:13" ht="11.1" customHeight="1" x14ac:dyDescent="0.2">
      <c r="B61" s="1121"/>
      <c r="G61" s="295"/>
      <c r="H61" s="295"/>
      <c r="I61" s="295"/>
      <c r="J61" s="295"/>
    </row>
    <row r="62" spans="2:13" ht="13.5" customHeight="1" x14ac:dyDescent="0.2">
      <c r="M62" s="1188"/>
    </row>
    <row r="63" spans="2:13" ht="13.5" customHeight="1" x14ac:dyDescent="0.2">
      <c r="M63" s="1188"/>
    </row>
    <row r="64" spans="2:13" ht="13.5" customHeight="1" x14ac:dyDescent="0.2">
      <c r="M64" s="1188"/>
    </row>
    <row r="65" spans="7:10" ht="13.5" customHeight="1" x14ac:dyDescent="0.2">
      <c r="G65" s="295"/>
      <c r="H65" s="295"/>
      <c r="I65" s="295"/>
      <c r="J65" s="295"/>
    </row>
    <row r="66" spans="7:10" ht="13.5" customHeight="1" x14ac:dyDescent="0.2">
      <c r="G66" s="295"/>
      <c r="H66" s="295"/>
      <c r="I66" s="295"/>
      <c r="J66" s="295"/>
    </row>
    <row r="67" spans="7:10" ht="13.5" customHeight="1" x14ac:dyDescent="0.2">
      <c r="G67" s="295"/>
      <c r="H67" s="295"/>
      <c r="I67" s="295"/>
      <c r="J67" s="295"/>
    </row>
    <row r="68" spans="7:10" ht="13.5" customHeight="1" x14ac:dyDescent="0.2">
      <c r="G68" s="295"/>
      <c r="H68" s="295"/>
      <c r="I68" s="295"/>
      <c r="J68" s="295"/>
    </row>
    <row r="69" spans="7:10" ht="13.5" customHeight="1" x14ac:dyDescent="0.2">
      <c r="G69" s="295"/>
      <c r="H69" s="295"/>
      <c r="I69" s="295"/>
      <c r="J69" s="295"/>
    </row>
    <row r="70" spans="7:10" ht="13.5" customHeight="1" x14ac:dyDescent="0.2">
      <c r="G70" s="295"/>
      <c r="H70" s="295"/>
      <c r="I70" s="295"/>
      <c r="J70" s="295"/>
    </row>
    <row r="71" spans="7:10" ht="13.5" customHeight="1" x14ac:dyDescent="0.2">
      <c r="G71" s="295"/>
      <c r="H71" s="295"/>
      <c r="I71" s="295"/>
      <c r="J71" s="295"/>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59" firstPageNumber="38" orientation="landscape" useFirstPageNumber="1" r:id="rId1"/>
  <headerFooter alignWithMargins="0">
    <oddHeader>&amp;L&amp;8Page 40&amp;R&amp;8Page 40</oddHeader>
  </headerFooter>
  <ignoredErrors>
    <ignoredError sqref="F14:G14 F17 G16 F19 G18 F40:K40 G20 F13 I13 F15 I15 I17 I19 I14 L16 L18 L20 L13 F22:I23 L15 L17 L19 L14 L24:L29 E21:L21 F38:G38 E38 L32:L37 F31:I31 E39:G39 E31 J30:L31 J32:K37 E33 F33:G33 F32 I32 E35 E37 F26 G25 F28 G27 G29 G37 F24 I24 I26 I28 F30 F36 F34 I34 F35 I36 I33 I37 I38:L38 I39:L3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1160</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0" t="s">
        <v>1619</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2071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1314</v>
      </c>
      <c r="B70" s="2243"/>
      <c r="C70" s="2243"/>
      <c r="D70" s="2243"/>
      <c r="E70" s="2244"/>
      <c r="F70" s="2244"/>
      <c r="G70" s="2244"/>
      <c r="H70" s="2244"/>
      <c r="I70" s="22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1311</v>
      </c>
      <c r="B83" s="2245"/>
      <c r="C83" s="2245"/>
      <c r="D83" s="22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6" t="s">
        <v>1990</v>
      </c>
      <c r="B85" s="2256"/>
      <c r="C85" s="2256"/>
      <c r="D85" s="2257"/>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8" t="s">
        <v>1990</v>
      </c>
      <c r="B88" s="2259"/>
      <c r="C88" s="2259"/>
      <c r="D88" s="2260"/>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2019</v>
      </c>
      <c r="D114" s="22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1321</v>
      </c>
      <c r="D117" s="2238"/>
      <c r="E117" s="2239"/>
      <c r="F117" s="2239"/>
      <c r="G117" s="2239"/>
      <c r="H117" s="223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5" sqref="C35"/>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 xml:space="preserve"> Elwood CCSD 203</v>
      </c>
      <c r="B1" s="2678"/>
      <c r="C1" s="2678"/>
      <c r="D1" s="2678"/>
      <c r="E1" s="2678"/>
      <c r="F1" s="2678"/>
    </row>
    <row r="2" spans="1:7" ht="13.5" customHeight="1" x14ac:dyDescent="0.2">
      <c r="A2" s="2666">
        <f>'Single Audit Cover'!E7</f>
        <v>56099203004</v>
      </c>
      <c r="B2" s="2666"/>
      <c r="C2" s="2666"/>
      <c r="D2" s="2666"/>
      <c r="E2" s="2666"/>
      <c r="F2" s="2666"/>
      <c r="G2" s="1096"/>
    </row>
    <row r="3" spans="1:7" ht="15.75" customHeight="1" x14ac:dyDescent="0.2">
      <c r="A3" s="2679" t="s">
        <v>1262</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97" t="s">
        <v>1708</v>
      </c>
      <c r="C6" s="295"/>
      <c r="D6" s="295"/>
    </row>
    <row r="7" spans="1:7" ht="60.95" customHeight="1" x14ac:dyDescent="0.2">
      <c r="A7" s="2677" t="s">
        <v>2112</v>
      </c>
      <c r="B7" s="2677"/>
      <c r="C7" s="2677"/>
      <c r="D7" s="2677"/>
      <c r="E7" s="2677"/>
      <c r="F7" s="2677"/>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2071</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7" t="s">
        <v>2113</v>
      </c>
      <c r="B13" s="2677"/>
      <c r="C13" s="2677"/>
      <c r="D13" s="2677"/>
      <c r="E13" s="2677"/>
      <c r="F13" s="2677"/>
    </row>
    <row r="14" spans="1:7" ht="9.75" customHeight="1" x14ac:dyDescent="0.2">
      <c r="C14" s="1081"/>
      <c r="D14" s="1081"/>
    </row>
    <row r="15" spans="1:7" ht="13.5" customHeight="1" x14ac:dyDescent="0.2">
      <c r="C15" s="1525" t="s">
        <v>1261</v>
      </c>
      <c r="D15" s="2675" t="s">
        <v>1260</v>
      </c>
      <c r="E15" s="2675"/>
      <c r="F15" s="2675"/>
    </row>
    <row r="16" spans="1:7" ht="13.5" customHeight="1" x14ac:dyDescent="0.2">
      <c r="A16" s="1103"/>
      <c r="B16" s="1097" t="s">
        <v>1259</v>
      </c>
      <c r="C16" s="1525" t="s">
        <v>1258</v>
      </c>
      <c r="D16" s="2676" t="s">
        <v>1574</v>
      </c>
      <c r="E16" s="2676"/>
      <c r="F16" s="2676"/>
    </row>
    <row r="17" spans="1:6" ht="20.45" customHeight="1" x14ac:dyDescent="0.2">
      <c r="A17" s="1104"/>
      <c r="B17" s="1105" t="s">
        <v>2114</v>
      </c>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1" t="s">
        <v>1710</v>
      </c>
      <c r="B32" s="2671"/>
      <c r="C32" s="2671"/>
      <c r="D32" s="2671"/>
      <c r="E32" s="2671"/>
      <c r="F32" s="2671"/>
    </row>
    <row r="33" spans="1:6" ht="13.5" customHeight="1" x14ac:dyDescent="0.2">
      <c r="A33" s="306" t="s">
        <v>1420</v>
      </c>
      <c r="B33" s="306"/>
      <c r="C33" s="1109">
        <v>4210</v>
      </c>
      <c r="D33" s="1576"/>
      <c r="E33" s="1107"/>
    </row>
    <row r="34" spans="1:6" ht="13.5" customHeight="1" x14ac:dyDescent="0.2">
      <c r="A34" s="306" t="s">
        <v>1812</v>
      </c>
      <c r="B34" s="306"/>
      <c r="C34" s="1110">
        <v>3000</v>
      </c>
      <c r="D34" s="1576" t="s">
        <v>1575</v>
      </c>
      <c r="E34" s="2672">
        <f>+C33+C34</f>
        <v>7210</v>
      </c>
      <c r="F34" s="267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4" t="s">
        <v>1576</v>
      </c>
      <c r="C49" s="2674"/>
      <c r="D49" s="2674"/>
      <c r="E49" s="1213"/>
    </row>
    <row r="50" spans="1:5" s="1121" customFormat="1" ht="3.75" customHeight="1" x14ac:dyDescent="0.2">
      <c r="A50" s="1120"/>
      <c r="B50" s="1524"/>
      <c r="C50" s="1524"/>
      <c r="D50" s="1524"/>
      <c r="E50" s="1213"/>
    </row>
    <row r="51" spans="1:5" s="1121" customFormat="1" ht="20.25" customHeight="1" x14ac:dyDescent="0.2">
      <c r="A51" s="1122">
        <v>6</v>
      </c>
      <c r="B51" s="2669" t="s">
        <v>1537</v>
      </c>
      <c r="C51" s="2669"/>
      <c r="D51" s="2669"/>
    </row>
    <row r="52" spans="1:5" ht="14.25" customHeight="1" x14ac:dyDescent="0.2">
      <c r="A52" s="1122"/>
      <c r="B52" s="2669"/>
      <c r="C52" s="2669"/>
      <c r="D52" s="26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2" t="str">
        <f>'Single Audit Cover'!A7</f>
        <v xml:space="preserve"> Elwood CCSD 203</v>
      </c>
      <c r="C1" s="2693"/>
      <c r="D1" s="2693"/>
      <c r="E1" s="2693"/>
      <c r="F1" s="2693"/>
      <c r="G1" s="2693"/>
      <c r="H1" s="2693"/>
      <c r="I1" s="2693"/>
      <c r="J1" s="1223"/>
    </row>
    <row r="2" spans="2:10" s="295" customFormat="1" ht="12.75" customHeight="1" x14ac:dyDescent="0.2">
      <c r="B2" s="2694">
        <f>'Single Audit Cover'!E7</f>
        <v>56099203004</v>
      </c>
      <c r="C2" s="2695"/>
      <c r="D2" s="2695"/>
      <c r="E2" s="2695"/>
      <c r="F2" s="2695"/>
      <c r="G2" s="2695"/>
      <c r="H2" s="2695"/>
      <c r="I2" s="2695"/>
      <c r="J2" s="1223"/>
    </row>
    <row r="3" spans="2:10" s="295" customFormat="1" ht="12.75" customHeight="1" x14ac:dyDescent="0.2">
      <c r="B3" s="2696" t="s">
        <v>1276</v>
      </c>
      <c r="C3" s="2697"/>
      <c r="D3" s="2697"/>
      <c r="E3" s="2697"/>
      <c r="F3" s="2697"/>
      <c r="G3" s="2697"/>
      <c r="H3" s="2697"/>
      <c r="I3" s="2697"/>
      <c r="J3" s="1224"/>
    </row>
    <row r="4" spans="2:10" s="295" customFormat="1" ht="12.75" customHeight="1" x14ac:dyDescent="0.2">
      <c r="B4" s="2696" t="str">
        <f>'Single Audit Cover'!A4</f>
        <v>Year Ending June 30, 2020</v>
      </c>
      <c r="C4" s="2697"/>
      <c r="D4" s="2697"/>
      <c r="E4" s="2697"/>
      <c r="F4" s="2697"/>
      <c r="G4" s="2697"/>
      <c r="H4" s="2697"/>
      <c r="I4" s="269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6" t="s">
        <v>1275</v>
      </c>
      <c r="C7" s="2697"/>
      <c r="D7" s="2697"/>
      <c r="E7" s="2697"/>
      <c r="F7" s="2697"/>
      <c r="G7" s="2697"/>
      <c r="H7" s="2697"/>
      <c r="I7" s="269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8" t="s">
        <v>1156</v>
      </c>
      <c r="D11" s="269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2071</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2071</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2071</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2071</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2071</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9" t="s">
        <v>2115</v>
      </c>
      <c r="E29" s="2699"/>
      <c r="F29" s="2699"/>
      <c r="G29" s="2699"/>
      <c r="H29" s="2699"/>
      <c r="I29" s="2699"/>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2071</v>
      </c>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700" t="s">
        <v>1729</v>
      </c>
      <c r="D37" s="2701"/>
      <c r="E37" s="2701"/>
      <c r="F37" s="2702"/>
      <c r="G37" s="2700" t="s">
        <v>1578</v>
      </c>
      <c r="H37" s="2701"/>
      <c r="I37" s="2702"/>
    </row>
    <row r="38" spans="2:9" ht="16.5" customHeight="1" x14ac:dyDescent="0.2">
      <c r="B38" s="1245">
        <v>84.040999999999997</v>
      </c>
      <c r="C38" s="2688" t="s">
        <v>2116</v>
      </c>
      <c r="D38" s="2689"/>
      <c r="E38" s="2689"/>
      <c r="F38" s="2690"/>
      <c r="G38" s="2703">
        <v>718387</v>
      </c>
      <c r="H38" s="2704"/>
      <c r="I38" s="2705"/>
    </row>
    <row r="39" spans="2:9" ht="16.5" customHeight="1" x14ac:dyDescent="0.2">
      <c r="B39" s="1245"/>
      <c r="C39" s="2688"/>
      <c r="D39" s="2689"/>
      <c r="E39" s="2689"/>
      <c r="F39" s="2690"/>
      <c r="G39" s="2691"/>
      <c r="H39" s="2691"/>
      <c r="I39" s="2691"/>
    </row>
    <row r="40" spans="2:9" ht="16.5" customHeight="1" x14ac:dyDescent="0.2">
      <c r="B40" s="1245"/>
      <c r="C40" s="2688"/>
      <c r="D40" s="2689"/>
      <c r="E40" s="2689"/>
      <c r="F40" s="2690"/>
      <c r="G40" s="2691"/>
      <c r="H40" s="2691"/>
      <c r="I40" s="2691"/>
    </row>
    <row r="41" spans="2:9" ht="16.5" customHeight="1" x14ac:dyDescent="0.2">
      <c r="B41" s="1245"/>
      <c r="C41" s="2688"/>
      <c r="D41" s="2689"/>
      <c r="E41" s="2689"/>
      <c r="F41" s="2690"/>
      <c r="G41" s="2691"/>
      <c r="H41" s="2691"/>
      <c r="I41" s="2691"/>
    </row>
    <row r="42" spans="2:9" ht="16.5" customHeight="1" x14ac:dyDescent="0.2">
      <c r="B42" s="1245"/>
      <c r="C42" s="2688"/>
      <c r="D42" s="2689"/>
      <c r="E42" s="2689"/>
      <c r="F42" s="2690"/>
      <c r="G42" s="2691"/>
      <c r="H42" s="2691"/>
      <c r="I42" s="2691"/>
    </row>
    <row r="43" spans="2:9" ht="16.5" customHeight="1" x14ac:dyDescent="0.2">
      <c r="B43" s="1245"/>
      <c r="C43" s="2681" t="s">
        <v>1579</v>
      </c>
      <c r="D43" s="2682"/>
      <c r="E43" s="2682"/>
      <c r="F43" s="2683"/>
      <c r="G43" s="2684">
        <f>SUM(G38:I42)</f>
        <v>718387</v>
      </c>
      <c r="H43" s="2684"/>
      <c r="I43" s="2684"/>
    </row>
    <row r="44" spans="2:9" ht="12.75" customHeight="1" x14ac:dyDescent="0.2"/>
    <row r="45" spans="2:9" ht="12.75" customHeight="1" x14ac:dyDescent="0.2">
      <c r="B45" s="1985" t="str">
        <f>"Total Federal Expenditures for 7/1/"&amp;MID('AFR20'!E2,3,2)-1&amp;"-6/30/"&amp;MID('AFR20'!E2,3,2)</f>
        <v>Total Federal Expenditures for 7/1/19-6/30/20</v>
      </c>
      <c r="C45" s="1986"/>
      <c r="D45" s="2685">
        <f>+' SEFA'!I39</f>
        <v>903643</v>
      </c>
      <c r="E45" s="2686"/>
    </row>
    <row r="46" spans="2:9" ht="5.25" customHeight="1" x14ac:dyDescent="0.2">
      <c r="B46" s="1246"/>
      <c r="D46" s="1247"/>
      <c r="E46" s="1248"/>
    </row>
    <row r="47" spans="2:9" ht="12.75" customHeight="1" x14ac:dyDescent="0.2">
      <c r="B47" s="1121" t="s">
        <v>1580</v>
      </c>
      <c r="C47" s="1121"/>
      <c r="D47" s="1249">
        <f>+G43/D45</f>
        <v>0.79498983558772662</v>
      </c>
      <c r="E47" s="1250"/>
      <c r="F47" s="1251"/>
      <c r="I47" s="1252"/>
    </row>
    <row r="48" spans="2:9" ht="9.9499999999999993" customHeight="1" x14ac:dyDescent="0.2"/>
    <row r="49" spans="1:9" x14ac:dyDescent="0.2">
      <c r="B49" s="1183" t="s">
        <v>1264</v>
      </c>
      <c r="C49" s="1103"/>
      <c r="D49" s="1103"/>
      <c r="E49" s="2687">
        <v>750000</v>
      </c>
      <c r="F49" s="2687"/>
      <c r="G49" s="2687"/>
      <c r="H49" s="300"/>
    </row>
    <row r="51" spans="1:9" ht="13.5" customHeight="1" x14ac:dyDescent="0.2">
      <c r="B51" s="1183" t="s">
        <v>1263</v>
      </c>
      <c r="C51" s="1103"/>
      <c r="E51" s="1239"/>
      <c r="F51" s="1121" t="s">
        <v>879</v>
      </c>
      <c r="G51" s="1239" t="s">
        <v>2071</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2" t="str">
        <f>'Single Audit Cover'!A7</f>
        <v xml:space="preserve"> Elwood CCSD 203</v>
      </c>
      <c r="C1" s="2692"/>
      <c r="D1" s="2692"/>
      <c r="E1" s="2692"/>
      <c r="F1" s="2692"/>
      <c r="G1" s="2692"/>
      <c r="H1" s="2692"/>
      <c r="I1" s="2692"/>
      <c r="J1" s="2692"/>
      <c r="K1" s="2692"/>
      <c r="L1" s="1189"/>
      <c r="M1" s="1189"/>
    </row>
    <row r="2" spans="1:13" ht="12" customHeight="1" x14ac:dyDescent="0.2">
      <c r="B2" s="2694">
        <f>'Single Audit Cover'!E7</f>
        <v>56099203004</v>
      </c>
      <c r="C2" s="2694"/>
      <c r="D2" s="2694"/>
      <c r="E2" s="2694"/>
      <c r="F2" s="2694"/>
      <c r="G2" s="2694"/>
      <c r="H2" s="2694"/>
      <c r="I2" s="2694"/>
      <c r="J2" s="2694"/>
      <c r="K2" s="2694"/>
      <c r="L2" s="1190"/>
      <c r="M2" s="1191"/>
    </row>
    <row r="3" spans="1:13" ht="10.35" customHeight="1" x14ac:dyDescent="0.2">
      <c r="B3" s="2708" t="s">
        <v>1276</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1"/>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6"/>
      <c r="C29" s="2706"/>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6"/>
      <c r="C32" s="2706"/>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1277</v>
      </c>
      <c r="C39" s="1121"/>
      <c r="M39" s="1222"/>
    </row>
    <row r="40" spans="1:13" ht="12.6" customHeight="1" x14ac:dyDescent="0.2">
      <c r="B40" s="1221" t="s">
        <v>1725</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 xml:space="preserve"> Elwood CCSD 203</v>
      </c>
      <c r="C1" s="2715"/>
      <c r="D1" s="2715"/>
      <c r="E1" s="2715"/>
      <c r="F1" s="2715"/>
      <c r="G1" s="2715"/>
      <c r="H1" s="2715"/>
      <c r="I1" s="2715"/>
      <c r="J1" s="2715"/>
      <c r="K1" s="2715"/>
      <c r="L1" s="1266"/>
    </row>
    <row r="2" spans="1:12" ht="12.75" customHeight="1" x14ac:dyDescent="0.2">
      <c r="B2" s="2716">
        <f>'Single Audit Cover'!E7</f>
        <v>56099203004</v>
      </c>
      <c r="C2" s="2716"/>
      <c r="D2" s="2716"/>
      <c r="E2" s="2716"/>
      <c r="F2" s="2716"/>
      <c r="G2" s="2716"/>
      <c r="H2" s="2716"/>
      <c r="I2" s="2716"/>
      <c r="J2" s="2716"/>
      <c r="K2" s="2716"/>
      <c r="L2" s="1267"/>
    </row>
    <row r="3" spans="1:12" ht="12.75" customHeight="1" x14ac:dyDescent="0.2">
      <c r="B3" s="2708" t="s">
        <v>1276</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1161</v>
      </c>
      <c r="C5" s="1081"/>
      <c r="L5" s="300"/>
    </row>
    <row r="6" spans="1:12" ht="30.75" customHeight="1" x14ac:dyDescent="0.2">
      <c r="A6" s="300"/>
      <c r="B6" s="2717" t="s">
        <v>1299</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9"/>
      <c r="G12" s="2699"/>
      <c r="H12" s="2699"/>
      <c r="I12" s="2699"/>
      <c r="J12" s="2699"/>
      <c r="K12" s="269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2" t="str">
        <f>'Single Audit Cover'!A7</f>
        <v xml:space="preserve"> Elwood CCSD 203</v>
      </c>
      <c r="C1" s="2692"/>
      <c r="D1" s="2692"/>
      <c r="E1" s="1285"/>
    </row>
    <row r="2" spans="2:5" s="1103" customFormat="1" ht="12.75" customHeight="1" x14ac:dyDescent="0.2">
      <c r="B2" s="2694">
        <f>'Single Audit Cover'!E7</f>
        <v>56099203004</v>
      </c>
      <c r="C2" s="2694"/>
      <c r="D2" s="2694"/>
      <c r="E2" s="1286"/>
    </row>
    <row r="3" spans="2:5" ht="12.75" customHeight="1" x14ac:dyDescent="0.2">
      <c r="B3" s="2708" t="s">
        <v>1744</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1745</v>
      </c>
      <c r="C5" s="306"/>
      <c r="D5" s="306"/>
      <c r="E5" s="306"/>
    </row>
    <row r="6" spans="2:5" s="1103" customFormat="1" ht="13.5" customHeight="1" x14ac:dyDescent="0.2">
      <c r="B6" s="1289" t="s">
        <v>1306</v>
      </c>
      <c r="C6" s="1289" t="s">
        <v>1305</v>
      </c>
      <c r="D6" s="1289" t="s">
        <v>1746</v>
      </c>
    </row>
    <row r="7" spans="2:5" ht="13.5" customHeight="1" x14ac:dyDescent="0.2">
      <c r="B7" s="1290" t="s">
        <v>2114</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1747</v>
      </c>
    </row>
    <row r="46" spans="2:5" ht="12.2" customHeight="1" x14ac:dyDescent="0.2">
      <c r="B46" s="1299" t="s">
        <v>1748</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109621698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1.6993000000000001E-2</v>
      </c>
      <c r="E10" s="333" t="s">
        <v>998</v>
      </c>
      <c r="F10" s="332">
        <v>1.817E-3</v>
      </c>
      <c r="G10" s="333" t="s">
        <v>998</v>
      </c>
      <c r="H10" s="332">
        <v>3.1389999999999999E-3</v>
      </c>
      <c r="I10" s="333" t="s">
        <v>999</v>
      </c>
      <c r="J10" s="1473">
        <f>ROUND(D10+F10+H10,5)</f>
        <v>2.1950000000000001E-2</v>
      </c>
      <c r="K10" s="217"/>
      <c r="L10" s="332">
        <v>1.8000000000000001E-4</v>
      </c>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4062061</v>
      </c>
      <c r="E16" s="1597"/>
      <c r="F16" s="1596">
        <f>SUM('Acct Summary 7-8'!C17,'Acct Summary 7-8'!D17,'Acct Summary 7-8'!F17)</f>
        <v>4284929</v>
      </c>
      <c r="G16" s="1597"/>
      <c r="H16" s="1596">
        <f>SUM(D16-F16)</f>
        <v>-222868</v>
      </c>
      <c r="I16" s="1598"/>
      <c r="J16" s="1596">
        <f>SUM('Acct Summary 7-8'!C81,'Acct Summary 7-8'!D81,'Acct Summary 7-8'!F81,'Acct Summary 7-8'!I81)</f>
        <v>3095420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582</v>
      </c>
      <c r="D31" s="232" t="s">
        <v>1065</v>
      </c>
      <c r="E31" s="217"/>
      <c r="F31" s="217"/>
      <c r="G31" s="340"/>
      <c r="H31" s="1474">
        <f>IF(B31="X",(J7*0.069),IF(B32="X",(J7*0.138),"Enter x in a.or b."))</f>
        <v>7563897.1620000005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18827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1399</v>
      </c>
      <c r="B3" s="2281"/>
      <c r="C3" s="2281"/>
      <c r="D3" s="2281"/>
      <c r="E3" s="2281"/>
      <c r="F3" s="2281"/>
      <c r="G3" s="2281"/>
      <c r="H3" s="2281"/>
      <c r="I3" s="2281"/>
      <c r="J3" s="2281"/>
      <c r="K3" s="2281"/>
      <c r="L3" s="2281"/>
      <c r="M3" s="2281"/>
      <c r="N3" s="2281"/>
      <c r="O3" s="2281"/>
      <c r="P3" s="2281"/>
      <c r="Q3" s="2281"/>
      <c r="R3" s="2281"/>
    </row>
    <row r="4" spans="1:18" x14ac:dyDescent="0.2">
      <c r="A4" s="2282" t="s">
        <v>1540</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Elwood CCSD 203</v>
      </c>
      <c r="E7" s="368"/>
      <c r="G7" s="247"/>
      <c r="H7" s="364"/>
      <c r="I7" s="364"/>
      <c r="J7" s="364"/>
      <c r="K7" s="364"/>
      <c r="L7" s="307"/>
      <c r="M7" s="307"/>
      <c r="N7" s="307"/>
      <c r="O7" s="307"/>
      <c r="P7" s="307"/>
    </row>
    <row r="8" spans="1:18" ht="12.75" x14ac:dyDescent="0.2">
      <c r="A8" s="307"/>
      <c r="B8" s="307"/>
      <c r="C8" s="366" t="s">
        <v>1117</v>
      </c>
      <c r="D8" s="369">
        <f>COVER!A13</f>
        <v>56099203004</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3095420</v>
      </c>
      <c r="I12" s="380"/>
      <c r="J12" s="380"/>
      <c r="K12" s="1609">
        <f>TRUNC((H12/H13*100000),5)/100000</f>
        <v>0.76203188469999994</v>
      </c>
      <c r="L12" s="381"/>
      <c r="M12" s="337" t="s">
        <v>1136</v>
      </c>
      <c r="N12" s="337"/>
      <c r="O12" s="1612">
        <v>0.35</v>
      </c>
      <c r="P12" s="213"/>
      <c r="Q12" s="213"/>
    </row>
    <row r="13" spans="1:18" s="382" customFormat="1" ht="12.75" x14ac:dyDescent="0.2">
      <c r="A13" s="213"/>
      <c r="B13" s="377"/>
      <c r="C13" s="2278" t="s">
        <v>1315</v>
      </c>
      <c r="D13" s="2279"/>
      <c r="E13" s="213"/>
      <c r="F13" s="383" t="s">
        <v>788</v>
      </c>
      <c r="G13" s="378"/>
      <c r="H13" s="1601">
        <f>SUM('Acct Summary 7-8'!C8+'Acct Summary 7-8'!D8+'Acct Summary 7-8'!F8+'Acct Summary 7-8'!I8)+H14</f>
        <v>4062061</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4284929</v>
      </c>
      <c r="I17" s="380"/>
      <c r="J17" s="389"/>
      <c r="K17" s="1609">
        <f>TRUNC((H17/H18*100000),5)/100000</f>
        <v>1.0548657442</v>
      </c>
      <c r="L17" s="381"/>
      <c r="M17" s="390" t="s">
        <v>1163</v>
      </c>
      <c r="O17" s="1615" t="str">
        <f>IF(AND(O16="2", J20 &gt; 2),"1",IF(AND(O16 = "1", J20 &gt; 2),"2",IF(AND(O16="1", J20 &gt;1),"1","0")))</f>
        <v>0</v>
      </c>
      <c r="P17" s="213"/>
    </row>
    <row r="18" spans="1:18" s="382" customFormat="1" ht="11.25" x14ac:dyDescent="0.2">
      <c r="A18" s="213"/>
      <c r="B18" s="377"/>
      <c r="C18" s="2278" t="s">
        <v>1308</v>
      </c>
      <c r="D18" s="2279"/>
      <c r="E18" s="213"/>
      <c r="F18" s="391" t="s">
        <v>789</v>
      </c>
      <c r="G18" s="378"/>
      <c r="H18" s="1601">
        <f>SUM('Acct Summary 7-8'!C8+'Acct Summary 7-8'!D8+'Acct Summary 7-8'!F8+'Acct Summary 7-8'!I8)+H19</f>
        <v>4062061</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12.0663976</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5" t="s">
        <v>1398</v>
      </c>
      <c r="D24" s="2275"/>
      <c r="E24" s="213"/>
      <c r="F24" s="213" t="s">
        <v>442</v>
      </c>
      <c r="G24" s="378"/>
      <c r="H24" s="1601">
        <f>SUM('Assets-Liab 5-6'!C4+'Assets-Liab 5-6'!D4+'Assets-Liab 5-6'!F4+'Assets-Liab 5-6'!I4+'Assets-Liab 5-6'!C5+'Assets-Liab 5-6'!D5+'Assets-Liab 5-6'!F5+'Assets-Liab 5-6'!I5)</f>
        <v>3095420</v>
      </c>
      <c r="I24" s="394"/>
      <c r="J24" s="394"/>
      <c r="K24" s="1605">
        <f>TRUNC(((H24/H25*100000)/100000),2)</f>
        <v>260.06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11902.58056</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1894</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2045266.8304399999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18827</v>
      </c>
      <c r="I32" s="392"/>
      <c r="J32" s="392"/>
      <c r="K32" s="1605">
        <f>TRUNC(100-((((H32/H33*100))*100)/100),2)</f>
        <v>99.75</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7563897.1620000005</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5" t="s">
        <v>967</v>
      </c>
      <c r="B3" s="2286"/>
      <c r="C3" s="1351"/>
      <c r="D3" s="1352"/>
      <c r="E3" s="1352"/>
      <c r="F3" s="1352"/>
      <c r="G3" s="1352"/>
      <c r="H3" s="1352"/>
      <c r="I3" s="1352"/>
      <c r="J3" s="1352"/>
      <c r="K3" s="1352"/>
      <c r="L3" s="1352"/>
      <c r="M3" s="1353"/>
      <c r="N3" s="1354"/>
    </row>
    <row r="4" spans="1:14" ht="13.5" customHeight="1" x14ac:dyDescent="0.2">
      <c r="A4" s="427" t="s">
        <v>1635</v>
      </c>
      <c r="B4" s="428"/>
      <c r="C4" s="1622">
        <v>1724796</v>
      </c>
      <c r="D4" s="1623">
        <v>982564</v>
      </c>
      <c r="E4" s="1623">
        <v>0</v>
      </c>
      <c r="F4" s="1623">
        <v>349802</v>
      </c>
      <c r="G4" s="1623">
        <v>102925</v>
      </c>
      <c r="H4" s="1623">
        <v>0</v>
      </c>
      <c r="I4" s="1623">
        <v>38258</v>
      </c>
      <c r="J4" s="1624">
        <v>94724</v>
      </c>
      <c r="K4" s="1623">
        <v>31308</v>
      </c>
      <c r="L4" s="1623">
        <v>19535</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1724796</v>
      </c>
      <c r="D13" s="1637">
        <f t="shared" ref="D13:L13" si="0">SUM(D4:D12)</f>
        <v>982564</v>
      </c>
      <c r="E13" s="1637">
        <f t="shared" si="0"/>
        <v>0</v>
      </c>
      <c r="F13" s="1637">
        <f t="shared" si="0"/>
        <v>349802</v>
      </c>
      <c r="G13" s="1637">
        <f t="shared" si="0"/>
        <v>102925</v>
      </c>
      <c r="H13" s="1637">
        <f t="shared" si="0"/>
        <v>0</v>
      </c>
      <c r="I13" s="1637">
        <f t="shared" si="0"/>
        <v>38258</v>
      </c>
      <c r="J13" s="1637">
        <f t="shared" si="0"/>
        <v>94724</v>
      </c>
      <c r="K13" s="1637">
        <f t="shared" si="0"/>
        <v>31308</v>
      </c>
      <c r="L13" s="1637">
        <f t="shared" si="0"/>
        <v>19535</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9629017</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3217+967820+126368</f>
        <v>1097405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0</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18827</v>
      </c>
    </row>
    <row r="23" spans="1:14" ht="13.5" customHeight="1" thickBot="1" x14ac:dyDescent="0.25">
      <c r="A23" s="1475" t="s">
        <v>638</v>
      </c>
      <c r="B23" s="1478"/>
      <c r="C23" s="1625"/>
      <c r="D23" s="1625"/>
      <c r="E23" s="1625"/>
      <c r="F23" s="1625"/>
      <c r="G23" s="1625"/>
      <c r="H23" s="1625"/>
      <c r="I23" s="1625"/>
      <c r="J23" s="1625"/>
      <c r="K23" s="1625"/>
      <c r="L23" s="1625"/>
      <c r="M23" s="1644">
        <f>SUM(M15:M22)</f>
        <v>10726422</v>
      </c>
      <c r="N23" s="1644">
        <f>SUM(N21:N22)</f>
        <v>18827</v>
      </c>
    </row>
    <row r="24" spans="1:14" ht="18" customHeight="1" thickTop="1" x14ac:dyDescent="0.2">
      <c r="A24" s="2289" t="s">
        <v>594</v>
      </c>
      <c r="B24" s="2290"/>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19535</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19535</v>
      </c>
      <c r="M34" s="1625"/>
      <c r="N34" s="1635"/>
    </row>
    <row r="35" spans="1:14" ht="18" customHeight="1" thickTop="1" x14ac:dyDescent="0.2">
      <c r="A35" s="2291" t="s">
        <v>526</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18827</v>
      </c>
    </row>
    <row r="37" spans="1:14" ht="13.5" thickBot="1" x14ac:dyDescent="0.25">
      <c r="A37" s="1475" t="s">
        <v>648</v>
      </c>
      <c r="B37" s="1478"/>
      <c r="C37" s="1632"/>
      <c r="D37" s="1632"/>
      <c r="E37" s="1632"/>
      <c r="F37" s="1632"/>
      <c r="G37" s="1632"/>
      <c r="H37" s="1632"/>
      <c r="I37" s="1632"/>
      <c r="J37" s="1632"/>
      <c r="K37" s="1632"/>
      <c r="L37" s="1635"/>
      <c r="M37" s="1625"/>
      <c r="N37" s="1644">
        <f>SUM(N36:N36)</f>
        <v>18827</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1724796</v>
      </c>
      <c r="D39" s="1623">
        <v>982564</v>
      </c>
      <c r="E39" s="1623">
        <v>0</v>
      </c>
      <c r="F39" s="1623">
        <v>349802</v>
      </c>
      <c r="G39" s="1623">
        <v>102925</v>
      </c>
      <c r="H39" s="1623">
        <v>0</v>
      </c>
      <c r="I39" s="1623">
        <v>38258</v>
      </c>
      <c r="J39" s="1624">
        <v>94724</v>
      </c>
      <c r="K39" s="1623">
        <v>31308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10726422</v>
      </c>
      <c r="N40" s="1654"/>
    </row>
    <row r="41" spans="1:14" ht="13.5" customHeight="1" thickBot="1" x14ac:dyDescent="0.25">
      <c r="A41" s="1475" t="s">
        <v>650</v>
      </c>
      <c r="B41" s="1454"/>
      <c r="C41" s="1644">
        <f>(SUM(C34,C37,C38,C39))</f>
        <v>1724796</v>
      </c>
      <c r="D41" s="1644">
        <f t="shared" ref="D41:L41" si="2">SUM(D34,D37,D38:D39)</f>
        <v>982564</v>
      </c>
      <c r="E41" s="1644">
        <f t="shared" si="2"/>
        <v>0</v>
      </c>
      <c r="F41" s="1644">
        <f t="shared" si="2"/>
        <v>349802</v>
      </c>
      <c r="G41" s="1644">
        <f t="shared" si="2"/>
        <v>102925</v>
      </c>
      <c r="H41" s="1644">
        <f t="shared" si="2"/>
        <v>0</v>
      </c>
      <c r="I41" s="1644">
        <f t="shared" si="2"/>
        <v>38258</v>
      </c>
      <c r="J41" s="1644">
        <f t="shared" si="2"/>
        <v>94724</v>
      </c>
      <c r="K41" s="1644">
        <f t="shared" si="2"/>
        <v>31308</v>
      </c>
      <c r="L41" s="1644">
        <f t="shared" si="2"/>
        <v>19535</v>
      </c>
      <c r="M41" s="1644">
        <f>SUM(M40)</f>
        <v>10726422</v>
      </c>
      <c r="N41" s="1644">
        <f>SUM(N37)</f>
        <v>18827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3" t="s">
        <v>1167</v>
      </c>
      <c r="B3" s="2314"/>
      <c r="C3" s="1356"/>
      <c r="D3" s="1357"/>
      <c r="E3" s="1357"/>
      <c r="F3" s="1357"/>
      <c r="G3" s="1357"/>
      <c r="H3" s="1357"/>
      <c r="I3" s="1357"/>
      <c r="J3" s="1357"/>
      <c r="K3" s="1358"/>
      <c r="L3" s="446"/>
    </row>
    <row r="4" spans="1:13" ht="15.75" customHeight="1" x14ac:dyDescent="0.2">
      <c r="A4" s="1587" t="s">
        <v>1485</v>
      </c>
      <c r="B4" s="1588">
        <v>1000</v>
      </c>
      <c r="C4" s="1656">
        <f>'Revenues 9-14'!C109</f>
        <v>2025726</v>
      </c>
      <c r="D4" s="1656">
        <f>'Revenues 9-14'!D109</f>
        <v>229628</v>
      </c>
      <c r="E4" s="1656">
        <f>'Revenues 9-14'!E109</f>
        <v>0</v>
      </c>
      <c r="F4" s="1656">
        <f>'Revenues 9-14'!F109</f>
        <v>332921</v>
      </c>
      <c r="G4" s="1656">
        <f>'Revenues 9-14'!G109</f>
        <v>191016</v>
      </c>
      <c r="H4" s="1656">
        <f>'Revenues 9-14'!H109</f>
        <v>0</v>
      </c>
      <c r="I4" s="1656">
        <f>'Revenues 9-14'!I109</f>
        <v>19069</v>
      </c>
      <c r="J4" s="1656">
        <f>'Revenues 9-14'!J109</f>
        <v>162662</v>
      </c>
      <c r="K4" s="1656">
        <f>'Revenues 9-14'!K109</f>
        <v>20352</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310040</v>
      </c>
      <c r="D6" s="1657">
        <f>'Revenues 9-14'!D170</f>
        <v>0</v>
      </c>
      <c r="E6" s="1657">
        <f>'Revenues 9-14'!E170</f>
        <v>0</v>
      </c>
      <c r="F6" s="1657">
        <f>'Revenues 9-14'!F170</f>
        <v>245756</v>
      </c>
      <c r="G6" s="1657">
        <f>'Revenues 9-14'!G170</f>
        <v>0</v>
      </c>
      <c r="H6" s="1657">
        <f>'Revenues 9-14'!H170</f>
        <v>0</v>
      </c>
      <c r="I6" s="1657">
        <f>'Revenues 9-14'!I170</f>
        <v>0</v>
      </c>
      <c r="J6" s="1657">
        <f>'Revenues 9-14'!J170</f>
        <v>0</v>
      </c>
      <c r="K6" s="1657">
        <f>'Revenues 9-14'!K170</f>
        <v>29450</v>
      </c>
      <c r="L6" s="325"/>
      <c r="M6" s="448"/>
    </row>
    <row r="7" spans="1:13" ht="15.75" customHeight="1" x14ac:dyDescent="0.2">
      <c r="A7" s="1359" t="s">
        <v>1488</v>
      </c>
      <c r="B7" s="1361">
        <v>4000</v>
      </c>
      <c r="C7" s="1657">
        <f>'Revenues 9-14'!C267</f>
        <v>884455</v>
      </c>
      <c r="D7" s="1657">
        <f>'Revenues 9-14'!D267</f>
        <v>14466</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3220221</v>
      </c>
      <c r="D8" s="1644">
        <f t="shared" ref="D8:K8" si="0">SUM(D4:D7)</f>
        <v>244094</v>
      </c>
      <c r="E8" s="1644">
        <f t="shared" si="0"/>
        <v>0</v>
      </c>
      <c r="F8" s="1644">
        <f t="shared" si="0"/>
        <v>578677</v>
      </c>
      <c r="G8" s="1644">
        <f t="shared" si="0"/>
        <v>191016</v>
      </c>
      <c r="H8" s="1644">
        <f t="shared" si="0"/>
        <v>0</v>
      </c>
      <c r="I8" s="1644">
        <f t="shared" si="0"/>
        <v>19069</v>
      </c>
      <c r="J8" s="1644">
        <f t="shared" si="0"/>
        <v>162662</v>
      </c>
      <c r="K8" s="1644">
        <f t="shared" si="0"/>
        <v>49802</v>
      </c>
      <c r="L8" s="325"/>
    </row>
    <row r="9" spans="1:13" ht="15.75" thickTop="1" x14ac:dyDescent="0.2">
      <c r="A9" s="449" t="s">
        <v>1637</v>
      </c>
      <c r="B9" s="450">
        <v>3998</v>
      </c>
      <c r="C9" s="1636">
        <v>1708353</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4928574</v>
      </c>
      <c r="D10" s="1644">
        <f t="shared" ref="D10:K10" si="1">SUM(D8:D9)</f>
        <v>244094</v>
      </c>
      <c r="E10" s="1644">
        <f t="shared" si="1"/>
        <v>0</v>
      </c>
      <c r="F10" s="1644">
        <f t="shared" si="1"/>
        <v>578677</v>
      </c>
      <c r="G10" s="1644">
        <f t="shared" si="1"/>
        <v>191016</v>
      </c>
      <c r="H10" s="1644">
        <f t="shared" si="1"/>
        <v>0</v>
      </c>
      <c r="I10" s="1644">
        <f t="shared" si="1"/>
        <v>19069</v>
      </c>
      <c r="J10" s="1644">
        <f t="shared" si="1"/>
        <v>162662</v>
      </c>
      <c r="K10" s="1644">
        <f t="shared" si="1"/>
        <v>49802</v>
      </c>
      <c r="L10" s="451"/>
    </row>
    <row r="11" spans="1:13" s="452" customFormat="1" ht="16.7" customHeight="1" thickTop="1" x14ac:dyDescent="0.2">
      <c r="A11" s="2287" t="s">
        <v>1168</v>
      </c>
      <c r="B11" s="2288"/>
      <c r="C11" s="1652"/>
      <c r="D11" s="1653"/>
      <c r="E11" s="1653"/>
      <c r="F11" s="1653"/>
      <c r="G11" s="1653"/>
      <c r="H11" s="1653"/>
      <c r="I11" s="1653"/>
      <c r="J11" s="1653"/>
      <c r="K11" s="1665"/>
      <c r="L11" s="451"/>
    </row>
    <row r="12" spans="1:13" ht="15.75" customHeight="1" x14ac:dyDescent="0.2">
      <c r="A12" s="1359" t="s">
        <v>453</v>
      </c>
      <c r="B12" s="1361">
        <v>1000</v>
      </c>
      <c r="C12" s="1656">
        <f>'Expenditures 15-22'!K33</f>
        <v>2072687</v>
      </c>
      <c r="D12" s="1666" t="s">
        <v>1161</v>
      </c>
      <c r="E12" s="1625" t="s">
        <v>1161</v>
      </c>
      <c r="F12" s="1625" t="s">
        <v>1161</v>
      </c>
      <c r="G12" s="1656">
        <f>'Expenditures 15-22'!K229</f>
        <v>27878</v>
      </c>
      <c r="H12" s="1667"/>
      <c r="I12" s="1625" t="s">
        <v>1161</v>
      </c>
      <c r="J12" s="1625" t="s">
        <v>1161</v>
      </c>
      <c r="K12" s="1667" t="s">
        <v>1161</v>
      </c>
      <c r="L12" s="325"/>
    </row>
    <row r="13" spans="1:13" ht="15.75" customHeight="1" x14ac:dyDescent="0.2">
      <c r="A13" s="1359" t="s">
        <v>454</v>
      </c>
      <c r="B13" s="1361">
        <v>2000</v>
      </c>
      <c r="C13" s="1657">
        <f>'Expenditures 15-22'!K74</f>
        <v>798543</v>
      </c>
      <c r="D13" s="1657">
        <f>'Expenditures 15-22'!K129</f>
        <v>431039</v>
      </c>
      <c r="E13" s="1626" t="s">
        <v>1161</v>
      </c>
      <c r="F13" s="1657">
        <f>'Expenditures 15-22'!K184</f>
        <v>437518</v>
      </c>
      <c r="G13" s="1657">
        <f>'Expenditures 15-22'!K279</f>
        <v>66465</v>
      </c>
      <c r="H13" s="1657">
        <f>'Expenditures 15-22'!K303</f>
        <v>0</v>
      </c>
      <c r="I13" s="1625" t="s">
        <v>1161</v>
      </c>
      <c r="J13" s="1657">
        <f>'Expenditures 15-22'!K330</f>
        <v>101665</v>
      </c>
      <c r="K13" s="1668">
        <f>'Expenditures 15-22'!K352</f>
        <v>40990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544832</v>
      </c>
      <c r="D15" s="1657">
        <f>'Expenditures 15-22'!K139</f>
        <v>310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10161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3416062</v>
      </c>
      <c r="D17" s="1644">
        <f t="shared" si="2"/>
        <v>431349</v>
      </c>
      <c r="E17" s="1644">
        <f t="shared" si="2"/>
        <v>10161</v>
      </c>
      <c r="F17" s="1644">
        <f t="shared" si="2"/>
        <v>437518</v>
      </c>
      <c r="G17" s="1644">
        <f t="shared" si="2"/>
        <v>94343</v>
      </c>
      <c r="H17" s="1644">
        <f t="shared" si="2"/>
        <v>0</v>
      </c>
      <c r="I17" s="1625"/>
      <c r="J17" s="1644">
        <f>SUM(J12:J16)</f>
        <v>101665</v>
      </c>
      <c r="K17" s="1644">
        <f>SUM(K12:K16)</f>
        <v>40990</v>
      </c>
      <c r="L17" s="325"/>
    </row>
    <row r="18" spans="1:12" ht="15" customHeight="1" thickTop="1" x14ac:dyDescent="0.2">
      <c r="A18" s="1479" t="s">
        <v>1638</v>
      </c>
      <c r="B18" s="1480">
        <v>4180</v>
      </c>
      <c r="C18" s="1656">
        <f t="shared" ref="C18:H18" si="3">C9</f>
        <v>1708353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5124415</v>
      </c>
      <c r="D19" s="1644">
        <f t="shared" si="4"/>
        <v>431349</v>
      </c>
      <c r="E19" s="1644">
        <f t="shared" si="4"/>
        <v>10161</v>
      </c>
      <c r="F19" s="1644">
        <f t="shared" si="4"/>
        <v>437518</v>
      </c>
      <c r="G19" s="1644">
        <f t="shared" si="4"/>
        <v>94343</v>
      </c>
      <c r="H19" s="1644">
        <f t="shared" si="4"/>
        <v>0</v>
      </c>
      <c r="I19" s="1625"/>
      <c r="J19" s="1644">
        <f>SUM(J17:J18)</f>
        <v>101665</v>
      </c>
      <c r="K19" s="1644">
        <f>SUM(K17:K18)</f>
        <v>40990</v>
      </c>
      <c r="L19" s="325"/>
    </row>
    <row r="20" spans="1:12" ht="16.5" thickTop="1" thickBot="1" x14ac:dyDescent="0.25">
      <c r="A20" s="2303" t="s">
        <v>1639</v>
      </c>
      <c r="B20" s="2304"/>
      <c r="C20" s="1672">
        <f>C8-C17</f>
        <v>-195841</v>
      </c>
      <c r="D20" s="1672">
        <f t="shared" ref="D20:K20" si="5">D8-D17</f>
        <v>-187255</v>
      </c>
      <c r="E20" s="1672">
        <f t="shared" si="5"/>
        <v>-10161</v>
      </c>
      <c r="F20" s="1672">
        <f t="shared" si="5"/>
        <v>141159</v>
      </c>
      <c r="G20" s="1672">
        <f t="shared" si="5"/>
        <v>96673</v>
      </c>
      <c r="H20" s="1672">
        <f t="shared" si="5"/>
        <v>0</v>
      </c>
      <c r="I20" s="1672">
        <f t="shared" si="5"/>
        <v>19069</v>
      </c>
      <c r="J20" s="1672">
        <f t="shared" si="5"/>
        <v>60997</v>
      </c>
      <c r="K20" s="1672">
        <f t="shared" si="5"/>
        <v>8812</v>
      </c>
      <c r="L20" s="325"/>
    </row>
    <row r="21" spans="1:12" ht="16.7" customHeight="1" thickTop="1" x14ac:dyDescent="0.2">
      <c r="A21" s="2315" t="s">
        <v>591</v>
      </c>
      <c r="B21" s="2316"/>
      <c r="C21" s="1652"/>
      <c r="D21" s="1653"/>
      <c r="E21" s="1653"/>
      <c r="F21" s="1653"/>
      <c r="G21" s="1653"/>
      <c r="H21" s="1653"/>
      <c r="I21" s="1653"/>
      <c r="J21" s="1653"/>
      <c r="K21" s="1665"/>
      <c r="L21" s="453"/>
    </row>
    <row r="22" spans="1:12" ht="15.75" customHeight="1" collapsed="1" x14ac:dyDescent="0.2">
      <c r="A22" s="2311" t="s">
        <v>592</v>
      </c>
      <c r="B22" s="2312"/>
      <c r="C22" s="1632"/>
      <c r="D22" s="1632"/>
      <c r="E22" s="1632"/>
      <c r="F22" s="1632"/>
      <c r="G22" s="1632"/>
      <c r="H22" s="1632"/>
      <c r="I22" s="1632"/>
      <c r="J22" s="1632"/>
      <c r="K22" s="1632"/>
      <c r="L22" s="325"/>
    </row>
    <row r="23" spans="1:12" s="433" customFormat="1" ht="15.75" customHeight="1" x14ac:dyDescent="0.2">
      <c r="A23" s="2307" t="s">
        <v>290</v>
      </c>
      <c r="B23" s="2308"/>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1772</v>
      </c>
      <c r="B30" s="455">
        <v>7160</v>
      </c>
      <c r="C30" s="1632"/>
      <c r="D30" s="1624">
        <v>0</v>
      </c>
      <c r="E30" s="1632"/>
      <c r="F30" s="1632"/>
      <c r="G30" s="1632"/>
      <c r="H30" s="1632"/>
      <c r="I30" s="1632"/>
      <c r="J30" s="1632"/>
      <c r="K30" s="1632"/>
      <c r="L30" s="453"/>
    </row>
    <row r="31" spans="1:12" s="433" customFormat="1" ht="26.25" x14ac:dyDescent="0.2">
      <c r="A31" s="1305" t="s">
        <v>1776</v>
      </c>
      <c r="B31" s="455">
        <v>7170</v>
      </c>
      <c r="C31" s="1632"/>
      <c r="D31" s="1632"/>
      <c r="E31" s="1629">
        <v>0</v>
      </c>
      <c r="F31" s="1632"/>
      <c r="G31" s="1632"/>
      <c r="H31" s="1632"/>
      <c r="I31" s="1632"/>
      <c r="J31" s="1632"/>
      <c r="K31" s="1632"/>
      <c r="L31" s="453"/>
    </row>
    <row r="32" spans="1:12" s="433" customFormat="1" ht="15.75" customHeight="1" x14ac:dyDescent="0.2">
      <c r="A32" s="2309" t="s">
        <v>974</v>
      </c>
      <c r="B32" s="2310"/>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8716</v>
      </c>
      <c r="F37" s="1630"/>
      <c r="G37" s="1630"/>
      <c r="H37" s="1630"/>
      <c r="I37" s="1632"/>
      <c r="J37" s="1630"/>
      <c r="K37" s="1630"/>
      <c r="L37" s="453"/>
    </row>
    <row r="38" spans="1:12" s="433" customFormat="1" x14ac:dyDescent="0.2">
      <c r="A38" s="1305" t="s">
        <v>439</v>
      </c>
      <c r="B38" s="454">
        <v>7500</v>
      </c>
      <c r="C38" s="1632"/>
      <c r="D38" s="1632"/>
      <c r="E38" s="1657">
        <f>SUM(C58:D61,H58:H61)</f>
        <v>1445</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7" t="s">
        <v>371</v>
      </c>
      <c r="B44" s="2318"/>
      <c r="C44" s="1674">
        <f>SUM(C24:C43)</f>
        <v>0</v>
      </c>
      <c r="D44" s="1674">
        <f t="shared" ref="D44:K44" si="6">SUM(D24:D43)</f>
        <v>0</v>
      </c>
      <c r="E44" s="1674">
        <f t="shared" si="6"/>
        <v>10161</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8716</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1445</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3" t="s">
        <v>437</v>
      </c>
      <c r="B76" s="2294"/>
      <c r="C76" s="1674">
        <f t="shared" ref="C76:K76" si="7">SUM(C47:C75)</f>
        <v>10161</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5" t="s">
        <v>1169</v>
      </c>
      <c r="B77" s="2296"/>
      <c r="C77" s="1674">
        <f t="shared" ref="C77:K77" si="8">C44-C76</f>
        <v>-10161</v>
      </c>
      <c r="D77" s="1674">
        <f t="shared" si="8"/>
        <v>0</v>
      </c>
      <c r="E77" s="1674">
        <f t="shared" si="8"/>
        <v>10161</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593</v>
      </c>
      <c r="B78" s="2300"/>
      <c r="C78" s="1679">
        <f t="shared" ref="C78:K78" si="9">C20+C77</f>
        <v>-206002</v>
      </c>
      <c r="D78" s="1679">
        <f t="shared" si="9"/>
        <v>-187255</v>
      </c>
      <c r="E78" s="1679">
        <f t="shared" si="9"/>
        <v>0</v>
      </c>
      <c r="F78" s="1679">
        <f t="shared" si="9"/>
        <v>141159</v>
      </c>
      <c r="G78" s="1679">
        <f t="shared" si="9"/>
        <v>96673</v>
      </c>
      <c r="H78" s="1679">
        <f t="shared" si="9"/>
        <v>0</v>
      </c>
      <c r="I78" s="1679">
        <f t="shared" si="9"/>
        <v>19069</v>
      </c>
      <c r="J78" s="1679">
        <f t="shared" si="9"/>
        <v>60997</v>
      </c>
      <c r="K78" s="1679">
        <f t="shared" si="9"/>
        <v>8812</v>
      </c>
      <c r="L78" s="457"/>
    </row>
    <row r="79" spans="1:12" ht="13.5" thickTop="1" x14ac:dyDescent="0.2">
      <c r="A79" s="1902" t="str">
        <f>"Fund Balances - July 1, "&amp;'AFR20'!E2-1</f>
        <v>Fund Balances - July 1, 2019</v>
      </c>
      <c r="B79" s="458"/>
      <c r="C79" s="1633">
        <v>1930798</v>
      </c>
      <c r="D79" s="1680">
        <v>1169819</v>
      </c>
      <c r="E79" s="1680">
        <v>0</v>
      </c>
      <c r="F79" s="1680">
        <v>208643</v>
      </c>
      <c r="G79" s="1680">
        <v>6252</v>
      </c>
      <c r="H79" s="1680">
        <v>0</v>
      </c>
      <c r="I79" s="1680">
        <v>19189</v>
      </c>
      <c r="J79" s="1680">
        <v>33727</v>
      </c>
      <c r="K79" s="1680">
        <v>22496</v>
      </c>
      <c r="L79" s="325"/>
    </row>
    <row r="80" spans="1:12" x14ac:dyDescent="0.2">
      <c r="A80" s="2305" t="s">
        <v>1773</v>
      </c>
      <c r="B80" s="2306"/>
      <c r="C80" s="1624">
        <v>0</v>
      </c>
      <c r="D80" s="1624">
        <v>0</v>
      </c>
      <c r="E80" s="1624">
        <v>0</v>
      </c>
      <c r="F80" s="1624">
        <v>0</v>
      </c>
      <c r="G80" s="1624">
        <v>0</v>
      </c>
      <c r="H80" s="1624">
        <v>0</v>
      </c>
      <c r="I80" s="1624">
        <v>0</v>
      </c>
      <c r="J80" s="1624">
        <v>0</v>
      </c>
      <c r="K80" s="1624">
        <v>0</v>
      </c>
      <c r="L80" s="325"/>
    </row>
    <row r="81" spans="1:12" ht="13.5" thickBot="1" x14ac:dyDescent="0.25">
      <c r="A81" s="2297" t="str">
        <f>"Fund Balances - June 30, "&amp;'AFR20'!E2</f>
        <v>Fund Balances - June 30, 2020</v>
      </c>
      <c r="B81" s="2298"/>
      <c r="C81" s="1644">
        <f>(SUM(C78:C80))</f>
        <v>1724796</v>
      </c>
      <c r="D81" s="1644">
        <f>SUM(D78:D80)</f>
        <v>982564</v>
      </c>
      <c r="E81" s="1644">
        <f t="shared" ref="E81:K81" si="10">SUM(E78:E80)</f>
        <v>0</v>
      </c>
      <c r="F81" s="1644">
        <f t="shared" si="10"/>
        <v>349802</v>
      </c>
      <c r="G81" s="1644">
        <f t="shared" si="10"/>
        <v>102925</v>
      </c>
      <c r="H81" s="1644">
        <f t="shared" si="10"/>
        <v>0</v>
      </c>
      <c r="I81" s="1644">
        <f t="shared" si="10"/>
        <v>38258</v>
      </c>
      <c r="J81" s="1644">
        <f t="shared" si="10"/>
        <v>94724</v>
      </c>
      <c r="K81" s="1644">
        <f t="shared" si="10"/>
        <v>31308</v>
      </c>
      <c r="L81" s="325"/>
    </row>
    <row r="82" spans="1:12" ht="0.75" customHeight="1" thickTop="1" thickBot="1" x14ac:dyDescent="0.25">
      <c r="A82" s="459" t="s">
        <v>340</v>
      </c>
      <c r="B82" s="460"/>
      <c r="C82" s="461">
        <f>(C81-C79)</f>
        <v>-206002</v>
      </c>
      <c r="D82" s="461">
        <f t="shared" ref="D82:K82" si="11">(D81-D79)</f>
        <v>-187255</v>
      </c>
      <c r="E82" s="461">
        <f t="shared" si="11"/>
        <v>0</v>
      </c>
      <c r="F82" s="461">
        <f t="shared" si="11"/>
        <v>141159</v>
      </c>
      <c r="G82" s="461">
        <f t="shared" si="11"/>
        <v>96673</v>
      </c>
      <c r="H82" s="461">
        <f t="shared" si="11"/>
        <v>0</v>
      </c>
      <c r="I82" s="461">
        <f t="shared" si="11"/>
        <v>19069</v>
      </c>
      <c r="J82" s="461">
        <f t="shared" si="11"/>
        <v>60997</v>
      </c>
      <c r="K82" s="461">
        <f t="shared" si="11"/>
        <v>8812</v>
      </c>
    </row>
    <row r="83" spans="1:12" ht="14.25" hidden="1" thickTop="1" thickBot="1" x14ac:dyDescent="0.25">
      <c r="A83" s="462" t="s">
        <v>341</v>
      </c>
      <c r="B83" s="428"/>
      <c r="C83" s="463">
        <f>C82/C81</f>
        <v>-0.1194355738301805</v>
      </c>
      <c r="D83" s="463">
        <f t="shared" ref="D83:K83" si="12">D82/D81</f>
        <v>-0.19057791655301842</v>
      </c>
      <c r="E83" s="463" t="e">
        <f t="shared" si="12"/>
        <v>#DIV/0!</v>
      </c>
      <c r="F83" s="463">
        <f t="shared" si="12"/>
        <v>0.40353971675404943</v>
      </c>
      <c r="G83" s="463">
        <f t="shared" si="12"/>
        <v>0.93925674034491136</v>
      </c>
      <c r="H83" s="463" t="e">
        <f t="shared" si="12"/>
        <v>#DIV/0!</v>
      </c>
      <c r="I83" s="463">
        <f t="shared" si="12"/>
        <v>0.49843170055936015</v>
      </c>
      <c r="J83" s="463">
        <f t="shared" si="12"/>
        <v>0.64394451247835816</v>
      </c>
      <c r="K83" s="463">
        <f t="shared" si="12"/>
        <v>0.28146160725693115</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49"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1780</v>
      </c>
      <c r="B1" s="416"/>
      <c r="C1" s="417" t="s">
        <v>422</v>
      </c>
      <c r="D1" s="417" t="s">
        <v>423</v>
      </c>
      <c r="E1" s="417" t="s">
        <v>424</v>
      </c>
      <c r="F1" s="417" t="s">
        <v>425</v>
      </c>
      <c r="G1" s="417" t="s">
        <v>426</v>
      </c>
      <c r="H1" s="417" t="s">
        <v>427</v>
      </c>
      <c r="I1" s="417" t="s">
        <v>428</v>
      </c>
      <c r="J1" s="417" t="s">
        <v>429</v>
      </c>
      <c r="K1" s="417" t="s">
        <v>751</v>
      </c>
    </row>
    <row r="2" spans="1:12" ht="36" x14ac:dyDescent="0.2">
      <c r="A2" s="23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1802512</v>
      </c>
      <c r="D5" s="1636">
        <v>223431</v>
      </c>
      <c r="E5" s="1623">
        <v>0</v>
      </c>
      <c r="F5" s="1681">
        <v>332921</v>
      </c>
      <c r="G5" s="1623">
        <v>39336</v>
      </c>
      <c r="H5" s="1623">
        <v>0</v>
      </c>
      <c r="I5" s="1623">
        <v>19069</v>
      </c>
      <c r="J5" s="1624">
        <v>162662</v>
      </c>
      <c r="K5" s="1623">
        <v>20352</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54168</v>
      </c>
      <c r="D7" s="1623">
        <v>0</v>
      </c>
      <c r="E7" s="1625"/>
      <c r="F7" s="1624">
        <v>0</v>
      </c>
      <c r="G7" s="1624">
        <v>0</v>
      </c>
      <c r="H7" s="1624">
        <v>0</v>
      </c>
      <c r="I7" s="1625"/>
      <c r="J7" s="1625"/>
      <c r="K7" s="1625"/>
    </row>
    <row r="8" spans="1:12" x14ac:dyDescent="0.2">
      <c r="A8" s="427" t="s">
        <v>410</v>
      </c>
      <c r="B8" s="429">
        <v>1150</v>
      </c>
      <c r="C8" s="1630"/>
      <c r="D8" s="1630"/>
      <c r="E8" s="1632"/>
      <c r="F8" s="1632"/>
      <c r="G8" s="1636">
        <v>53190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1856680</v>
      </c>
      <c r="D12" s="1683">
        <f t="shared" si="0"/>
        <v>223431</v>
      </c>
      <c r="E12" s="1683">
        <f t="shared" si="0"/>
        <v>0</v>
      </c>
      <c r="F12" s="1683">
        <f t="shared" si="0"/>
        <v>332921</v>
      </c>
      <c r="G12" s="1683">
        <f t="shared" si="0"/>
        <v>92526</v>
      </c>
      <c r="H12" s="1683">
        <f t="shared" si="0"/>
        <v>0</v>
      </c>
      <c r="I12" s="1683">
        <f t="shared" si="0"/>
        <v>19069</v>
      </c>
      <c r="J12" s="1683">
        <f t="shared" si="0"/>
        <v>162662</v>
      </c>
      <c r="K12" s="1644">
        <f t="shared" si="0"/>
        <v>20352</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0</v>
      </c>
      <c r="D16" s="1623">
        <v>0</v>
      </c>
      <c r="E16" s="1623">
        <v>0</v>
      </c>
      <c r="F16" s="1623">
        <v>0</v>
      </c>
      <c r="G16" s="1623">
        <v>98490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98490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40105</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40105</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46283</v>
      </c>
      <c r="D65" s="1623">
        <v>2360</v>
      </c>
      <c r="E65" s="1623">
        <v>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46283</v>
      </c>
      <c r="D67" s="1644">
        <f t="shared" ref="D67:K67" si="2">SUM(D65:D66)</f>
        <v>2360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14879</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2300</v>
      </c>
      <c r="D71" s="1625"/>
      <c r="E71" s="1625"/>
      <c r="F71" s="1625"/>
      <c r="G71" s="1625"/>
      <c r="H71" s="1625"/>
      <c r="I71" s="1625"/>
      <c r="J71" s="1625"/>
      <c r="K71" s="1625"/>
    </row>
    <row r="72" spans="1:11" ht="12.75" customHeight="1" x14ac:dyDescent="0.2">
      <c r="A72" s="427" t="s">
        <v>24</v>
      </c>
      <c r="B72" s="429">
        <v>1614</v>
      </c>
      <c r="C72" s="1682">
        <v>432</v>
      </c>
      <c r="D72" s="1625"/>
      <c r="E72" s="1625"/>
      <c r="F72" s="1625"/>
      <c r="G72" s="1625"/>
      <c r="H72" s="1625"/>
      <c r="I72" s="1625"/>
      <c r="J72" s="1625"/>
      <c r="K72" s="1625"/>
    </row>
    <row r="73" spans="1:11" ht="12.75" customHeight="1" x14ac:dyDescent="0.2">
      <c r="A73" s="427" t="s">
        <v>991</v>
      </c>
      <c r="B73" s="429">
        <v>1620</v>
      </c>
      <c r="C73" s="1682">
        <v>434</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18045</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14714</v>
      </c>
      <c r="D77" s="1623">
        <v>0</v>
      </c>
      <c r="E77" s="1625"/>
      <c r="F77" s="1625"/>
      <c r="G77" s="1625"/>
      <c r="H77" s="1625"/>
      <c r="I77" s="1625"/>
      <c r="J77" s="1625"/>
      <c r="K77" s="1625"/>
    </row>
    <row r="78" spans="1:11" ht="12.75" customHeight="1" x14ac:dyDescent="0.2">
      <c r="A78" s="427" t="s">
        <v>76</v>
      </c>
      <c r="B78" s="429">
        <v>1719</v>
      </c>
      <c r="C78" s="1682">
        <v>264</v>
      </c>
      <c r="D78" s="1623">
        <v>0</v>
      </c>
      <c r="E78" s="1625"/>
      <c r="F78" s="1625"/>
      <c r="G78" s="1625"/>
      <c r="H78" s="1625"/>
      <c r="I78" s="1625"/>
      <c r="J78" s="1625"/>
      <c r="K78" s="1625"/>
    </row>
    <row r="79" spans="1:11" ht="12.75" customHeight="1" x14ac:dyDescent="0.2">
      <c r="A79" s="427" t="s">
        <v>546</v>
      </c>
      <c r="B79" s="429">
        <v>1720</v>
      </c>
      <c r="C79" s="1682">
        <v>5975</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1238</v>
      </c>
      <c r="D81" s="1623">
        <v>0</v>
      </c>
      <c r="E81" s="1625"/>
      <c r="F81" s="1625"/>
      <c r="G81" s="1625"/>
      <c r="H81" s="1625"/>
      <c r="I81" s="1625"/>
      <c r="J81" s="1625"/>
      <c r="K81" s="1625"/>
    </row>
    <row r="82" spans="1:11" ht="12.75" customHeight="1" thickBot="1" x14ac:dyDescent="0.25">
      <c r="A82" s="1455" t="s">
        <v>239</v>
      </c>
      <c r="B82" s="1456"/>
      <c r="C82" s="1683">
        <f>SUM(C77:C81)</f>
        <v>22191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17514</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17514</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0</v>
      </c>
      <c r="E95" s="1667"/>
      <c r="F95" s="1667"/>
      <c r="G95" s="1667"/>
      <c r="H95" s="1667"/>
      <c r="I95" s="1667"/>
      <c r="J95" s="1667"/>
      <c r="K95" s="1667"/>
    </row>
    <row r="96" spans="1:11" ht="12.75" customHeight="1" x14ac:dyDescent="0.2">
      <c r="A96" s="427" t="s">
        <v>388</v>
      </c>
      <c r="B96" s="429">
        <v>1920</v>
      </c>
      <c r="C96" s="1682">
        <v>7494</v>
      </c>
      <c r="D96" s="1682">
        <v>3619</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5338</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1122</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10954</v>
      </c>
      <c r="D107" s="1623">
        <v>218</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24908</v>
      </c>
      <c r="D108" s="1683">
        <f t="shared" ref="D108:K108" si="3">SUM(D95:D107)</f>
        <v>3837</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2025726</v>
      </c>
      <c r="D109" s="1691">
        <f t="shared" si="4"/>
        <v>229628</v>
      </c>
      <c r="E109" s="1691">
        <f t="shared" si="4"/>
        <v>0</v>
      </c>
      <c r="F109" s="1691">
        <f t="shared" si="4"/>
        <v>332921</v>
      </c>
      <c r="G109" s="1691">
        <f t="shared" si="4"/>
        <v>191016</v>
      </c>
      <c r="H109" s="1691">
        <f t="shared" si="4"/>
        <v>0</v>
      </c>
      <c r="I109" s="1691">
        <f t="shared" si="4"/>
        <v>19069</v>
      </c>
      <c r="J109" s="1691">
        <f t="shared" si="4"/>
        <v>162662</v>
      </c>
      <c r="K109" s="1679">
        <f t="shared" si="4"/>
        <v>20352</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308829</v>
      </c>
      <c r="D117" s="1636">
        <v>0</v>
      </c>
      <c r="E117" s="1623">
        <v>0</v>
      </c>
      <c r="F117" s="1636">
        <v>0</v>
      </c>
      <c r="G117" s="1636">
        <v>0</v>
      </c>
      <c r="H117" s="1623">
        <v>0</v>
      </c>
      <c r="I117" s="1625"/>
      <c r="J117" s="1624">
        <v>0</v>
      </c>
      <c r="K117" s="1623">
        <v>0</v>
      </c>
    </row>
    <row r="118" spans="1:11" ht="12.75" customHeight="1" x14ac:dyDescent="0.2">
      <c r="A118" s="427" t="s">
        <v>1777</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1778</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1896</v>
      </c>
      <c r="B120" s="478">
        <v>3030</v>
      </c>
      <c r="C120" s="1682">
        <v>0</v>
      </c>
      <c r="D120" s="1623">
        <v>0</v>
      </c>
      <c r="E120" s="1623">
        <v>0</v>
      </c>
      <c r="F120" s="1623">
        <v>0</v>
      </c>
      <c r="G120" s="1623">
        <v>0</v>
      </c>
      <c r="H120" s="1623">
        <v>0</v>
      </c>
      <c r="I120" s="1625"/>
      <c r="J120" s="1624">
        <v>0</v>
      </c>
      <c r="K120" s="1623">
        <v>0</v>
      </c>
    </row>
    <row r="121" spans="1:11" x14ac:dyDescent="0.2">
      <c r="A121" s="1311" t="s">
        <v>1779</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308829</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461</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53509</v>
      </c>
      <c r="G152" s="1624">
        <v>0</v>
      </c>
      <c r="H152" s="1625"/>
      <c r="I152" s="1625"/>
      <c r="J152" s="1625"/>
      <c r="K152" s="1625"/>
    </row>
    <row r="153" spans="1:11" ht="12.75" customHeight="1" x14ac:dyDescent="0.2">
      <c r="A153" s="427" t="s">
        <v>1050</v>
      </c>
      <c r="B153" s="478">
        <v>3510</v>
      </c>
      <c r="C153" s="1682">
        <v>0</v>
      </c>
      <c r="D153" s="1623">
        <v>0</v>
      </c>
      <c r="E153" s="1690"/>
      <c r="F153" s="1623">
        <v>192247</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245756</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0</v>
      </c>
      <c r="I167" s="1625"/>
      <c r="J167" s="1625"/>
      <c r="K167" s="1676">
        <v>29450</v>
      </c>
    </row>
    <row r="168" spans="1:11" ht="14.25" thickTop="1" thickBot="1" x14ac:dyDescent="0.25">
      <c r="A168" s="1315" t="s">
        <v>70</v>
      </c>
      <c r="B168" s="484">
        <v>3999</v>
      </c>
      <c r="C168" s="1704">
        <v>750</v>
      </c>
      <c r="D168" s="1705">
        <v>0</v>
      </c>
      <c r="E168" s="1705">
        <v>0</v>
      </c>
      <c r="F168" s="1705">
        <v>0</v>
      </c>
      <c r="G168" s="1706">
        <v>0</v>
      </c>
      <c r="H168" s="1707">
        <v>0</v>
      </c>
      <c r="I168" s="1706">
        <v>0</v>
      </c>
      <c r="J168" s="1706">
        <v>0</v>
      </c>
      <c r="K168" s="1707">
        <v>0</v>
      </c>
    </row>
    <row r="169" spans="1:11" ht="12.75" customHeight="1" thickTop="1" thickBot="1" x14ac:dyDescent="0.25">
      <c r="A169" s="2321" t="s">
        <v>395</v>
      </c>
      <c r="B169" s="2322"/>
      <c r="C169" s="1708">
        <f t="shared" ref="C169:K169" si="6">SUM(C132,C141,C145,C146:C150,C155,C156:C167,C168)</f>
        <v>1211</v>
      </c>
      <c r="D169" s="1708">
        <f t="shared" si="6"/>
        <v>0</v>
      </c>
      <c r="E169" s="1708">
        <f t="shared" si="6"/>
        <v>0</v>
      </c>
      <c r="F169" s="1708">
        <f t="shared" si="6"/>
        <v>245756</v>
      </c>
      <c r="G169" s="1708">
        <f t="shared" si="6"/>
        <v>0</v>
      </c>
      <c r="H169" s="1708">
        <f t="shared" si="6"/>
        <v>0</v>
      </c>
      <c r="I169" s="1708">
        <f t="shared" si="6"/>
        <v>0</v>
      </c>
      <c r="J169" s="1708">
        <f t="shared" si="6"/>
        <v>0</v>
      </c>
      <c r="K169" s="1674">
        <f t="shared" si="6"/>
        <v>29450</v>
      </c>
    </row>
    <row r="170" spans="1:11" ht="12.75" customHeight="1" thickTop="1" thickBot="1" x14ac:dyDescent="0.25">
      <c r="A170" s="1455" t="s">
        <v>396</v>
      </c>
      <c r="B170" s="1459" t="s">
        <v>571</v>
      </c>
      <c r="C170" s="1691">
        <f t="shared" ref="C170:K170" si="7">SUM(C122,C169)</f>
        <v>310040</v>
      </c>
      <c r="D170" s="1691">
        <f t="shared" si="7"/>
        <v>0</v>
      </c>
      <c r="E170" s="1691">
        <f t="shared" si="7"/>
        <v>0</v>
      </c>
      <c r="F170" s="1691">
        <f t="shared" si="7"/>
        <v>245756</v>
      </c>
      <c r="G170" s="1691">
        <f t="shared" si="7"/>
        <v>0</v>
      </c>
      <c r="H170" s="1691">
        <f t="shared" si="7"/>
        <v>0</v>
      </c>
      <c r="I170" s="1691">
        <f t="shared" si="7"/>
        <v>0</v>
      </c>
      <c r="J170" s="1691">
        <f t="shared" si="7"/>
        <v>0</v>
      </c>
      <c r="K170" s="1679">
        <f t="shared" si="7"/>
        <v>29450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3" t="s">
        <v>1478</v>
      </c>
      <c r="B172" s="2324"/>
      <c r="C172" s="1666"/>
      <c r="D172" s="1666"/>
      <c r="E172" s="1659"/>
      <c r="F172" s="1625"/>
      <c r="G172" s="1625"/>
      <c r="H172" s="1625"/>
      <c r="I172" s="1625"/>
      <c r="J172" s="1625"/>
      <c r="K172" s="1625"/>
    </row>
    <row r="173" spans="1:11" ht="12.6" customHeight="1" x14ac:dyDescent="0.2">
      <c r="A173" s="436" t="s">
        <v>1037</v>
      </c>
      <c r="B173" s="435">
        <v>4001</v>
      </c>
      <c r="C173" s="1663">
        <v>703921</v>
      </c>
      <c r="D173" s="1636">
        <v>14466</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7" t="s">
        <v>1649</v>
      </c>
      <c r="B175" s="2328"/>
      <c r="C175" s="1683">
        <f>SUM(C173:C174)</f>
        <v>703921</v>
      </c>
      <c r="D175" s="1683">
        <f t="shared" ref="D175:K175" si="8">SUM(D173:D174)</f>
        <v>14466</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1648</v>
      </c>
      <c r="B176" s="2332"/>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9" t="s">
        <v>780</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1781</v>
      </c>
      <c r="B182" s="232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31302</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31302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69996</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69996</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9217</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9217</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1310</v>
      </c>
      <c r="D213" s="1623">
        <v>0</v>
      </c>
      <c r="E213" s="1625"/>
      <c r="F213" s="1623">
        <v>0</v>
      </c>
      <c r="G213" s="1623">
        <v>0</v>
      </c>
      <c r="H213" s="1625"/>
      <c r="I213" s="1625"/>
      <c r="J213" s="1625"/>
      <c r="K213" s="1625"/>
    </row>
    <row r="214" spans="1:11" ht="12.75" customHeight="1" x14ac:dyDescent="0.2">
      <c r="A214" s="427" t="s">
        <v>1047</v>
      </c>
      <c r="B214" s="429">
        <v>4625</v>
      </c>
      <c r="C214" s="1682">
        <v>1244</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2554</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4127</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1897</v>
      </c>
      <c r="B261" s="429">
        <v>4981</v>
      </c>
      <c r="C261" s="1700">
        <v>0</v>
      </c>
      <c r="D261" s="1701">
        <v>0</v>
      </c>
      <c r="E261" s="1625"/>
      <c r="F261" s="1701">
        <v>0</v>
      </c>
      <c r="G261" s="1701">
        <v>0</v>
      </c>
      <c r="H261" s="1625"/>
      <c r="I261" s="1625"/>
      <c r="J261" s="1625"/>
      <c r="K261" s="1625"/>
    </row>
    <row r="262" spans="1:11" ht="12.75" customHeight="1" thickTop="1" thickBot="1" x14ac:dyDescent="0.25">
      <c r="A262" s="1590" t="s">
        <v>1898</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63338</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180534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884455</v>
      </c>
      <c r="D267" s="1691">
        <f>SUM(D175,D181,D266)</f>
        <v>14466</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3220221</v>
      </c>
      <c r="D268" s="1691">
        <f t="shared" si="12"/>
        <v>244094</v>
      </c>
      <c r="E268" s="1691">
        <f t="shared" si="12"/>
        <v>0</v>
      </c>
      <c r="F268" s="1691">
        <f t="shared" si="12"/>
        <v>578677</v>
      </c>
      <c r="G268" s="1691">
        <f t="shared" si="12"/>
        <v>191016</v>
      </c>
      <c r="H268" s="1691">
        <f t="shared" si="12"/>
        <v>0</v>
      </c>
      <c r="I268" s="1691">
        <f t="shared" si="12"/>
        <v>19069</v>
      </c>
      <c r="J268" s="1691">
        <f t="shared" si="12"/>
        <v>162662</v>
      </c>
      <c r="K268" s="1679">
        <f t="shared" si="12"/>
        <v>49802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D8" sqref="D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9" t="s">
        <v>294</v>
      </c>
      <c r="B3" s="234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1636532</v>
      </c>
      <c r="D5" s="1623">
        <v>223765</v>
      </c>
      <c r="E5" s="1623">
        <v>59946</v>
      </c>
      <c r="F5" s="1623">
        <v>92957</v>
      </c>
      <c r="G5" s="1623">
        <v>1035</v>
      </c>
      <c r="H5" s="1623">
        <v>0</v>
      </c>
      <c r="I5" s="1624">
        <v>6867</v>
      </c>
      <c r="J5" s="1624">
        <v>0</v>
      </c>
      <c r="K5" s="1722">
        <f>SUM(C5:J5)</f>
        <v>2021102</v>
      </c>
      <c r="L5" s="1623">
        <v>2028580</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0</v>
      </c>
      <c r="D8" s="1623">
        <v>0</v>
      </c>
      <c r="E8" s="1623">
        <v>0</v>
      </c>
      <c r="F8" s="1623">
        <v>0</v>
      </c>
      <c r="G8" s="1623">
        <v>0</v>
      </c>
      <c r="H8" s="1623">
        <v>0</v>
      </c>
      <c r="I8" s="1624">
        <v>0</v>
      </c>
      <c r="J8" s="1624">
        <v>0</v>
      </c>
      <c r="K8" s="1722">
        <f t="shared" si="0"/>
        <v>0</v>
      </c>
      <c r="L8" s="1623"/>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21012</v>
      </c>
      <c r="D14" s="1623">
        <v>0</v>
      </c>
      <c r="E14" s="1623">
        <v>19502</v>
      </c>
      <c r="F14" s="1623">
        <v>8275</v>
      </c>
      <c r="G14" s="1623">
        <v>2796</v>
      </c>
      <c r="H14" s="1623">
        <v>0</v>
      </c>
      <c r="I14" s="1624">
        <v>0</v>
      </c>
      <c r="J14" s="1624">
        <v>0</v>
      </c>
      <c r="K14" s="1722">
        <f t="shared" si="0"/>
        <v>51585</v>
      </c>
      <c r="L14" s="1623">
        <v>48968</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1657544</v>
      </c>
      <c r="D33" s="1724">
        <f t="shared" ref="D33:L33" si="1">SUM(D5:D32)</f>
        <v>223765</v>
      </c>
      <c r="E33" s="1724">
        <f t="shared" si="1"/>
        <v>79448</v>
      </c>
      <c r="F33" s="1724">
        <f t="shared" si="1"/>
        <v>101232</v>
      </c>
      <c r="G33" s="1724">
        <f t="shared" si="1"/>
        <v>3831</v>
      </c>
      <c r="H33" s="1724">
        <f t="shared" si="1"/>
        <v>0</v>
      </c>
      <c r="I33" s="1724">
        <f t="shared" si="1"/>
        <v>6867</v>
      </c>
      <c r="J33" s="1724">
        <f t="shared" si="1"/>
        <v>0</v>
      </c>
      <c r="K33" s="1724">
        <f t="shared" si="1"/>
        <v>2072687</v>
      </c>
      <c r="L33" s="1724">
        <f t="shared" si="1"/>
        <v>2077548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42125</v>
      </c>
      <c r="D38" s="1623">
        <v>0</v>
      </c>
      <c r="E38" s="1623">
        <v>0</v>
      </c>
      <c r="F38" s="1623">
        <v>1823</v>
      </c>
      <c r="G38" s="1623">
        <v>0</v>
      </c>
      <c r="H38" s="1623">
        <v>0</v>
      </c>
      <c r="I38" s="1624">
        <v>0</v>
      </c>
      <c r="J38" s="1624">
        <v>0</v>
      </c>
      <c r="K38" s="1722">
        <f t="shared" si="2"/>
        <v>43948</v>
      </c>
      <c r="L38" s="1623">
        <v>46632</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556</v>
      </c>
      <c r="B42" s="1430" t="s">
        <v>711</v>
      </c>
      <c r="C42" s="1724">
        <f>SUM(C36:C41)</f>
        <v>42125</v>
      </c>
      <c r="D42" s="1724">
        <f t="shared" ref="D42:L42" si="3">SUM(D36:D41)</f>
        <v>0</v>
      </c>
      <c r="E42" s="1724">
        <f t="shared" si="3"/>
        <v>0</v>
      </c>
      <c r="F42" s="1724">
        <f t="shared" si="3"/>
        <v>1823</v>
      </c>
      <c r="G42" s="1724">
        <f t="shared" si="3"/>
        <v>0</v>
      </c>
      <c r="H42" s="1724">
        <f t="shared" si="3"/>
        <v>0</v>
      </c>
      <c r="I42" s="1724">
        <f t="shared" si="3"/>
        <v>0</v>
      </c>
      <c r="J42" s="1724">
        <f t="shared" si="3"/>
        <v>0</v>
      </c>
      <c r="K42" s="1724">
        <f t="shared" si="3"/>
        <v>43948</v>
      </c>
      <c r="L42" s="1724">
        <f t="shared" si="3"/>
        <v>46632</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65431</v>
      </c>
      <c r="D44" s="1636">
        <v>0</v>
      </c>
      <c r="E44" s="1636">
        <v>6771</v>
      </c>
      <c r="F44" s="1636">
        <v>6076</v>
      </c>
      <c r="G44" s="1636">
        <v>0</v>
      </c>
      <c r="H44" s="1636">
        <v>0</v>
      </c>
      <c r="I44" s="1624">
        <v>3817</v>
      </c>
      <c r="J44" s="1624">
        <v>0</v>
      </c>
      <c r="K44" s="1728">
        <f>SUM(C44:J44)</f>
        <v>82095</v>
      </c>
      <c r="L44" s="1636">
        <v>86056</v>
      </c>
    </row>
    <row r="45" spans="1:14" x14ac:dyDescent="0.2">
      <c r="A45" s="1319" t="s">
        <v>810</v>
      </c>
      <c r="B45" s="503">
        <v>2220</v>
      </c>
      <c r="C45" s="1623">
        <v>78700</v>
      </c>
      <c r="D45" s="1623">
        <v>7753</v>
      </c>
      <c r="E45" s="1623">
        <v>0</v>
      </c>
      <c r="F45" s="1623">
        <v>3514</v>
      </c>
      <c r="G45" s="1623">
        <v>0</v>
      </c>
      <c r="H45" s="1623">
        <v>0</v>
      </c>
      <c r="I45" s="1624">
        <v>0</v>
      </c>
      <c r="J45" s="1624">
        <v>0</v>
      </c>
      <c r="K45" s="1728">
        <f>SUM(C45:J45)</f>
        <v>89967</v>
      </c>
      <c r="L45" s="1623">
        <v>90018</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row>
    <row r="47" spans="1:14" ht="12.75" customHeight="1" thickBot="1" x14ac:dyDescent="0.25">
      <c r="A47" s="1429" t="s">
        <v>557</v>
      </c>
      <c r="B47" s="1430" t="s">
        <v>32</v>
      </c>
      <c r="C47" s="1724">
        <f>SUM(C44:C46)</f>
        <v>144131</v>
      </c>
      <c r="D47" s="1724">
        <f t="shared" ref="D47:K47" si="4">SUM(D44:D46)</f>
        <v>7753</v>
      </c>
      <c r="E47" s="1724">
        <f t="shared" si="4"/>
        <v>6771</v>
      </c>
      <c r="F47" s="1724">
        <f t="shared" si="4"/>
        <v>9590</v>
      </c>
      <c r="G47" s="1724">
        <f t="shared" si="4"/>
        <v>0</v>
      </c>
      <c r="H47" s="1724">
        <f t="shared" si="4"/>
        <v>0</v>
      </c>
      <c r="I47" s="1724">
        <f t="shared" si="4"/>
        <v>3817</v>
      </c>
      <c r="J47" s="1724">
        <f t="shared" si="4"/>
        <v>0</v>
      </c>
      <c r="K47" s="1724">
        <f t="shared" si="4"/>
        <v>172062</v>
      </c>
      <c r="L47" s="1724">
        <f>SUM(L44:L46)</f>
        <v>176074</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73573</v>
      </c>
      <c r="F49" s="1636">
        <v>1014</v>
      </c>
      <c r="G49" s="1636">
        <v>0</v>
      </c>
      <c r="H49" s="1636">
        <v>3976</v>
      </c>
      <c r="I49" s="1624">
        <v>0</v>
      </c>
      <c r="J49" s="1624">
        <v>0</v>
      </c>
      <c r="K49" s="1728">
        <f>SUM(C49:J49)</f>
        <v>78563</v>
      </c>
      <c r="L49" s="1636">
        <v>79257</v>
      </c>
    </row>
    <row r="50" spans="1:14" x14ac:dyDescent="0.2">
      <c r="A50" s="1319" t="s">
        <v>813</v>
      </c>
      <c r="B50" s="503">
        <v>2320</v>
      </c>
      <c r="C50" s="1623">
        <v>190281</v>
      </c>
      <c r="D50" s="1623">
        <v>33976</v>
      </c>
      <c r="E50" s="1623">
        <v>14428</v>
      </c>
      <c r="F50" s="1623">
        <v>1354</v>
      </c>
      <c r="G50" s="1623">
        <v>0</v>
      </c>
      <c r="H50" s="1623">
        <v>3268</v>
      </c>
      <c r="I50" s="1624">
        <v>0</v>
      </c>
      <c r="J50" s="1624">
        <v>0</v>
      </c>
      <c r="K50" s="1728">
        <f>SUM(C50:J50)</f>
        <v>243307</v>
      </c>
      <c r="L50" s="1623">
        <v>243488</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190281</v>
      </c>
      <c r="D53" s="1724">
        <f t="shared" ref="D53:L53" si="5">SUM(D49:D52)</f>
        <v>33976</v>
      </c>
      <c r="E53" s="1724">
        <f t="shared" si="5"/>
        <v>88001</v>
      </c>
      <c r="F53" s="1724">
        <f t="shared" si="5"/>
        <v>2368</v>
      </c>
      <c r="G53" s="1724">
        <f t="shared" si="5"/>
        <v>0</v>
      </c>
      <c r="H53" s="1724">
        <f t="shared" si="5"/>
        <v>7244</v>
      </c>
      <c r="I53" s="1724">
        <f t="shared" si="5"/>
        <v>0</v>
      </c>
      <c r="J53" s="1724">
        <f t="shared" si="5"/>
        <v>0</v>
      </c>
      <c r="K53" s="1724">
        <f t="shared" si="5"/>
        <v>321870</v>
      </c>
      <c r="L53" s="1724">
        <f t="shared" si="5"/>
        <v>322745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152168</v>
      </c>
      <c r="D55" s="1636">
        <v>33356</v>
      </c>
      <c r="E55" s="1636">
        <v>38</v>
      </c>
      <c r="F55" s="1636">
        <v>442</v>
      </c>
      <c r="G55" s="1636">
        <v>0</v>
      </c>
      <c r="H55" s="1636">
        <v>779</v>
      </c>
      <c r="I55" s="1624">
        <v>0</v>
      </c>
      <c r="J55" s="1624">
        <v>0</v>
      </c>
      <c r="K55" s="1728">
        <f>SUM(C55:J55)</f>
        <v>186783</v>
      </c>
      <c r="L55" s="1636">
        <v>186534</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152168</v>
      </c>
      <c r="D57" s="1729">
        <f t="shared" ref="D57:K57" si="6">SUM(D55:D56)</f>
        <v>33356</v>
      </c>
      <c r="E57" s="1729">
        <f t="shared" si="6"/>
        <v>38</v>
      </c>
      <c r="F57" s="1729">
        <f t="shared" si="6"/>
        <v>442</v>
      </c>
      <c r="G57" s="1729">
        <f t="shared" si="6"/>
        <v>0</v>
      </c>
      <c r="H57" s="1729">
        <f t="shared" si="6"/>
        <v>779</v>
      </c>
      <c r="I57" s="1729">
        <f t="shared" si="6"/>
        <v>0</v>
      </c>
      <c r="J57" s="1729">
        <f t="shared" si="6"/>
        <v>0</v>
      </c>
      <c r="K57" s="1729">
        <f t="shared" si="6"/>
        <v>186783</v>
      </c>
      <c r="L57" s="1724">
        <f>SUM(L55:L56)</f>
        <v>186534</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19705</v>
      </c>
      <c r="D60" s="1623">
        <v>0</v>
      </c>
      <c r="E60" s="1623">
        <v>0</v>
      </c>
      <c r="F60" s="1623">
        <v>0</v>
      </c>
      <c r="G60" s="1623">
        <v>0</v>
      </c>
      <c r="H60" s="1623">
        <v>0</v>
      </c>
      <c r="I60" s="1624">
        <v>0</v>
      </c>
      <c r="J60" s="1624">
        <v>0</v>
      </c>
      <c r="K60" s="1728">
        <f t="shared" si="7"/>
        <v>19705</v>
      </c>
      <c r="L60" s="1623">
        <v>19200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0</v>
      </c>
      <c r="D63" s="1623">
        <v>0</v>
      </c>
      <c r="E63" s="1623">
        <v>54021</v>
      </c>
      <c r="F63" s="1623">
        <v>154</v>
      </c>
      <c r="G63" s="1623">
        <v>0</v>
      </c>
      <c r="H63" s="1623">
        <v>0</v>
      </c>
      <c r="I63" s="1624">
        <v>0</v>
      </c>
      <c r="J63" s="1624">
        <v>0</v>
      </c>
      <c r="K63" s="1728">
        <f t="shared" si="7"/>
        <v>54175</v>
      </c>
      <c r="L63" s="1623">
        <v>54300</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19705</v>
      </c>
      <c r="D65" s="1724">
        <f t="shared" ref="D65:L65" si="8">SUM(D59:D64)</f>
        <v>0</v>
      </c>
      <c r="E65" s="1724">
        <f t="shared" si="8"/>
        <v>54021</v>
      </c>
      <c r="F65" s="1724">
        <f t="shared" si="8"/>
        <v>154</v>
      </c>
      <c r="G65" s="1724">
        <f t="shared" si="8"/>
        <v>0</v>
      </c>
      <c r="H65" s="1724">
        <f t="shared" si="8"/>
        <v>0</v>
      </c>
      <c r="I65" s="1724">
        <f t="shared" si="8"/>
        <v>0</v>
      </c>
      <c r="J65" s="1724">
        <f t="shared" si="8"/>
        <v>0</v>
      </c>
      <c r="K65" s="1724">
        <f t="shared" si="8"/>
        <v>73880</v>
      </c>
      <c r="L65" s="1724">
        <f t="shared" si="8"/>
        <v>73500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548410</v>
      </c>
      <c r="D74" s="1731">
        <f t="shared" ref="D74:K74" si="10">SUM(D42,D47,D53,D57,D65,D72,D73)</f>
        <v>75085</v>
      </c>
      <c r="E74" s="1731">
        <f t="shared" si="10"/>
        <v>148831</v>
      </c>
      <c r="F74" s="1731">
        <f t="shared" si="10"/>
        <v>14377</v>
      </c>
      <c r="G74" s="1731">
        <f t="shared" si="10"/>
        <v>0</v>
      </c>
      <c r="H74" s="1731">
        <f t="shared" si="10"/>
        <v>8023</v>
      </c>
      <c r="I74" s="1731">
        <f t="shared" si="10"/>
        <v>3817</v>
      </c>
      <c r="J74" s="1731">
        <f t="shared" si="10"/>
        <v>0</v>
      </c>
      <c r="K74" s="1731">
        <f t="shared" si="10"/>
        <v>798543</v>
      </c>
      <c r="L74" s="1731">
        <f>SUM(L42,L47,L53,L57,L65,L72,L73)</f>
        <v>805485</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544832</v>
      </c>
      <c r="F79" s="1723"/>
      <c r="G79" s="1723"/>
      <c r="H79" s="1623">
        <v>0</v>
      </c>
      <c r="I79" s="1632"/>
      <c r="J79" s="1632"/>
      <c r="K79" s="1722">
        <f t="shared" si="11"/>
        <v>544832</v>
      </c>
      <c r="L79" s="1623">
        <v>552000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544832</v>
      </c>
      <c r="F84" s="1723"/>
      <c r="G84" s="1723"/>
      <c r="H84" s="1724">
        <f>SUM(H78:H83)</f>
        <v>0</v>
      </c>
      <c r="I84" s="1632"/>
      <c r="J84" s="1632"/>
      <c r="K84" s="1724">
        <f>SUM(K78:K83)</f>
        <v>544832</v>
      </c>
      <c r="L84" s="1724">
        <f>SUM(L78:L83)</f>
        <v>552000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544832</v>
      </c>
      <c r="F102" s="1723"/>
      <c r="G102" s="1723"/>
      <c r="H102" s="1731">
        <f>SUM(H84,H92,H100,H101)</f>
        <v>0</v>
      </c>
      <c r="I102" s="1632"/>
      <c r="J102" s="1632"/>
      <c r="K102" s="1731">
        <f>SUM(K84,K92,K100,K101)</f>
        <v>544832</v>
      </c>
      <c r="L102" s="1731">
        <f>SUM(L84,L92,L100,L101)</f>
        <v>552000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2205954</v>
      </c>
      <c r="D114" s="1724">
        <f t="shared" ref="D114:K114" si="13">SUM(D33,D74,D75,D102,D112,D113)</f>
        <v>298850</v>
      </c>
      <c r="E114" s="1724">
        <f t="shared" si="13"/>
        <v>773111</v>
      </c>
      <c r="F114" s="1724">
        <f t="shared" si="13"/>
        <v>115609</v>
      </c>
      <c r="G114" s="1724">
        <f t="shared" si="13"/>
        <v>3831</v>
      </c>
      <c r="H114" s="1724">
        <f>SUM(H33,H74,H75,H102,H112,H113)</f>
        <v>8023</v>
      </c>
      <c r="I114" s="1724">
        <f t="shared" si="13"/>
        <v>10684</v>
      </c>
      <c r="J114" s="1724">
        <f t="shared" si="13"/>
        <v>0</v>
      </c>
      <c r="K114" s="1724">
        <f t="shared" si="13"/>
        <v>3416062</v>
      </c>
      <c r="L114" s="1724">
        <f>SUM(L33,L74,L75,L102,L112,L113)</f>
        <v>3435033</v>
      </c>
    </row>
    <row r="115" spans="1:14" ht="13.5" thickTop="1" x14ac:dyDescent="0.2">
      <c r="A115" s="2358" t="s">
        <v>989</v>
      </c>
      <c r="B115" s="2359"/>
      <c r="C115" s="1725"/>
      <c r="D115" s="1725"/>
      <c r="E115" s="1725"/>
      <c r="F115" s="1725"/>
      <c r="G115" s="1725"/>
      <c r="H115" s="1725"/>
      <c r="I115" s="1725"/>
      <c r="J115" s="1725"/>
      <c r="K115" s="1739">
        <f>'Revenues 9-14'!C268-'Expenditures 15-22'!K114</f>
        <v>-195841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293</v>
      </c>
      <c r="B117" s="233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1964</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145346</v>
      </c>
      <c r="D124" s="1623">
        <v>7753</v>
      </c>
      <c r="E124" s="1623">
        <v>130829</v>
      </c>
      <c r="F124" s="1623">
        <v>122963</v>
      </c>
      <c r="G124" s="1623">
        <v>23313</v>
      </c>
      <c r="H124" s="1623">
        <v>0</v>
      </c>
      <c r="I124" s="1624">
        <v>835</v>
      </c>
      <c r="J124" s="1624">
        <v>0</v>
      </c>
      <c r="K124" s="1724">
        <f>SUM(C124:J124)</f>
        <v>431039</v>
      </c>
      <c r="L124" s="1623">
        <v>444069</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145346</v>
      </c>
      <c r="D127" s="1724">
        <f t="shared" ref="D127:L127" si="14">SUM(D122:D126)</f>
        <v>7753</v>
      </c>
      <c r="E127" s="1724">
        <f t="shared" si="14"/>
        <v>130829</v>
      </c>
      <c r="F127" s="1724">
        <f t="shared" si="14"/>
        <v>122963</v>
      </c>
      <c r="G127" s="1724">
        <f t="shared" si="14"/>
        <v>23313</v>
      </c>
      <c r="H127" s="1724">
        <f t="shared" si="14"/>
        <v>0</v>
      </c>
      <c r="I127" s="1724">
        <f t="shared" si="14"/>
        <v>835</v>
      </c>
      <c r="J127" s="1724">
        <f t="shared" si="14"/>
        <v>0</v>
      </c>
      <c r="K127" s="1724">
        <f t="shared" si="14"/>
        <v>431039</v>
      </c>
      <c r="L127" s="1724">
        <f t="shared" si="14"/>
        <v>444069</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145346</v>
      </c>
      <c r="D129" s="1731">
        <f t="shared" ref="D129:L129" si="15">SUM(D120,D127,D128)</f>
        <v>7753</v>
      </c>
      <c r="E129" s="1731">
        <f t="shared" si="15"/>
        <v>130829</v>
      </c>
      <c r="F129" s="1731">
        <f t="shared" si="15"/>
        <v>122963</v>
      </c>
      <c r="G129" s="1731">
        <f t="shared" si="15"/>
        <v>23313</v>
      </c>
      <c r="H129" s="1731">
        <f t="shared" si="15"/>
        <v>0</v>
      </c>
      <c r="I129" s="1731">
        <f t="shared" si="15"/>
        <v>835</v>
      </c>
      <c r="J129" s="1731">
        <f t="shared" si="15"/>
        <v>0</v>
      </c>
      <c r="K129" s="1731">
        <f t="shared" si="15"/>
        <v>431039</v>
      </c>
      <c r="L129" s="1731">
        <f t="shared" si="15"/>
        <v>444069</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1817</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310</v>
      </c>
      <c r="I136" s="1632"/>
      <c r="J136" s="1723"/>
      <c r="K136" s="1728">
        <f>SUM(E136,H136)</f>
        <v>310</v>
      </c>
      <c r="L136" s="1623">
        <v>310</v>
      </c>
    </row>
    <row r="137" spans="1:14" ht="12.75" customHeight="1" thickBot="1" x14ac:dyDescent="0.25">
      <c r="A137" s="1429" t="s">
        <v>477</v>
      </c>
      <c r="B137" s="1434">
        <v>4100</v>
      </c>
      <c r="C137" s="1723"/>
      <c r="D137" s="1723"/>
      <c r="E137" s="1724">
        <f>SUM(E133:E136)</f>
        <v>0</v>
      </c>
      <c r="F137" s="1723"/>
      <c r="G137" s="1723"/>
      <c r="H137" s="1724">
        <f>SUM(H133:H136)</f>
        <v>310</v>
      </c>
      <c r="I137" s="1632"/>
      <c r="J137" s="1723"/>
      <c r="K137" s="1724">
        <f>SUM(K133:K136)</f>
        <v>310</v>
      </c>
      <c r="L137" s="1724">
        <f>SUM(L133:L136)</f>
        <v>310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310</v>
      </c>
      <c r="I139" s="1632"/>
      <c r="J139" s="1723"/>
      <c r="K139" s="1728">
        <f>SUM(K137,K138)</f>
        <v>310</v>
      </c>
      <c r="L139" s="1737">
        <f>SUM(L137,L138)</f>
        <v>310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8" t="s">
        <v>616</v>
      </c>
      <c r="B151" s="2330"/>
      <c r="C151" s="1724">
        <f>SUM(C129,C130,C139,C149,C150)</f>
        <v>145346</v>
      </c>
      <c r="D151" s="1724">
        <f t="shared" ref="D151:K151" si="16">SUM(D129,D130,D139,D149,D150)</f>
        <v>7753</v>
      </c>
      <c r="E151" s="1724">
        <f t="shared" si="16"/>
        <v>130829</v>
      </c>
      <c r="F151" s="1724">
        <f t="shared" si="16"/>
        <v>122963</v>
      </c>
      <c r="G151" s="1724">
        <f t="shared" si="16"/>
        <v>23313</v>
      </c>
      <c r="H151" s="1724">
        <f t="shared" si="16"/>
        <v>310</v>
      </c>
      <c r="I151" s="1724">
        <f t="shared" si="16"/>
        <v>835</v>
      </c>
      <c r="J151" s="1724">
        <f t="shared" si="16"/>
        <v>0</v>
      </c>
      <c r="K151" s="1724">
        <f t="shared" si="16"/>
        <v>431349</v>
      </c>
      <c r="L151" s="1724">
        <f>SUM(L129,L130,L139,L149,L150)</f>
        <v>444379</v>
      </c>
    </row>
    <row r="152" spans="1:14" ht="12.75" customHeight="1" thickTop="1" x14ac:dyDescent="0.2">
      <c r="A152" s="2351" t="s">
        <v>1170</v>
      </c>
      <c r="B152" s="2352"/>
      <c r="C152" s="1725"/>
      <c r="D152" s="1725"/>
      <c r="E152" s="1725"/>
      <c r="F152" s="1725"/>
      <c r="G152" s="1725"/>
      <c r="H152" s="1725"/>
      <c r="I152" s="1725"/>
      <c r="J152" s="1723"/>
      <c r="K152" s="1739">
        <f>'Revenues 9-14'!D268-'Expenditures 15-22'!K151</f>
        <v>-187255</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617</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1817</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1819</v>
      </c>
      <c r="C158" s="1723"/>
      <c r="D158" s="1723"/>
      <c r="E158" s="1723"/>
      <c r="F158" s="1723"/>
      <c r="G158" s="1723"/>
      <c r="H158" s="1624">
        <v>0</v>
      </c>
      <c r="I158" s="1723"/>
      <c r="J158" s="1723"/>
      <c r="K158" s="1722">
        <f>H158</f>
        <v>0</v>
      </c>
      <c r="L158" s="1624"/>
      <c r="M158" s="505"/>
      <c r="N158" s="505"/>
    </row>
    <row r="159" spans="1:14" s="506" customFormat="1" ht="12" x14ac:dyDescent="0.2">
      <c r="A159" s="1511" t="s">
        <v>1820</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1821</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1445</v>
      </c>
      <c r="I169" s="1723"/>
      <c r="J169" s="1723"/>
      <c r="K169" s="1722">
        <f>SUM(C169:H169)</f>
        <v>1445</v>
      </c>
      <c r="L169" s="1745">
        <v>1445</v>
      </c>
    </row>
    <row r="170" spans="1:14" ht="33.75" customHeight="1" x14ac:dyDescent="0.2">
      <c r="A170" s="543" t="s">
        <v>1654</v>
      </c>
      <c r="B170" s="545" t="s">
        <v>31</v>
      </c>
      <c r="C170" s="1723"/>
      <c r="D170" s="1723"/>
      <c r="E170" s="1723"/>
      <c r="F170" s="1723"/>
      <c r="G170" s="1723"/>
      <c r="H170" s="1696">
        <v>8716</v>
      </c>
      <c r="I170" s="1723"/>
      <c r="J170" s="1723"/>
      <c r="K170" s="1722">
        <f>SUM(C170:J170)</f>
        <v>8716</v>
      </c>
      <c r="L170" s="1696">
        <v>8716</v>
      </c>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10161</v>
      </c>
      <c r="I172" s="1734"/>
      <c r="J172" s="1723"/>
      <c r="K172" s="1731">
        <f>SUM(K168,K169,K170,K171)</f>
        <v>10161</v>
      </c>
      <c r="L172" s="1731">
        <f>SUM(L168,L169,L170,L171)</f>
        <v>10161</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10161</v>
      </c>
      <c r="I174" s="1734"/>
      <c r="J174" s="1723"/>
      <c r="K174" s="1731">
        <f>SUM(K160,K172,K173)</f>
        <v>10161</v>
      </c>
      <c r="L174" s="1731">
        <f>SUM(L160,L172,L173)</f>
        <v>10161</v>
      </c>
    </row>
    <row r="175" spans="1:14" ht="13.5" thickTop="1" x14ac:dyDescent="0.2">
      <c r="A175" s="2358" t="s">
        <v>989</v>
      </c>
      <c r="B175" s="2359"/>
      <c r="C175" s="1723"/>
      <c r="D175" s="1723"/>
      <c r="E175" s="1723"/>
      <c r="F175" s="1723"/>
      <c r="G175" s="1723"/>
      <c r="H175" s="1725"/>
      <c r="I175" s="1723"/>
      <c r="J175" s="1723"/>
      <c r="K175" s="1739">
        <f>'Revenues 9-14'!E268-'Expenditures 15-22'!K174</f>
        <v>-10161</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0</v>
      </c>
      <c r="D182" s="1623">
        <v>0</v>
      </c>
      <c r="E182" s="1623">
        <v>437518</v>
      </c>
      <c r="F182" s="1623">
        <v>0</v>
      </c>
      <c r="G182" s="1623">
        <v>0</v>
      </c>
      <c r="H182" s="1623">
        <v>0</v>
      </c>
      <c r="I182" s="1624">
        <v>0</v>
      </c>
      <c r="J182" s="1624">
        <v>0</v>
      </c>
      <c r="K182" s="1722">
        <f>SUM(C182:J182)</f>
        <v>437518</v>
      </c>
      <c r="L182" s="1623">
        <v>438220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437518</v>
      </c>
      <c r="F184" s="1731">
        <f t="shared" si="17"/>
        <v>0</v>
      </c>
      <c r="G184" s="1731">
        <f t="shared" si="17"/>
        <v>0</v>
      </c>
      <c r="H184" s="1731">
        <f t="shared" si="17"/>
        <v>0</v>
      </c>
      <c r="I184" s="1731">
        <f t="shared" si="17"/>
        <v>0</v>
      </c>
      <c r="J184" s="1731">
        <f t="shared" si="17"/>
        <v>0</v>
      </c>
      <c r="K184" s="1731">
        <f>SUM(K180,K182,K183)</f>
        <v>437518</v>
      </c>
      <c r="L184" s="1731">
        <f>SUM(L180, L182:L183)</f>
        <v>438220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437518</v>
      </c>
      <c r="F210" s="1724">
        <f>SUM(F184,F185)</f>
        <v>0</v>
      </c>
      <c r="G210" s="1724">
        <f>SUM(G184,G185)</f>
        <v>0</v>
      </c>
      <c r="H210" s="1724">
        <f>SUM(H184,H185,H196,H208,H209)</f>
        <v>0</v>
      </c>
      <c r="I210" s="1724">
        <f>SUM(I184,I185)</f>
        <v>0</v>
      </c>
      <c r="J210" s="1724">
        <f>SUM(J184,J185)</f>
        <v>0</v>
      </c>
      <c r="K210" s="1722">
        <f>SUM(K184,K185,K196,K208,K209)</f>
        <v>437518</v>
      </c>
      <c r="L210" s="1724">
        <f>SUM(L184,L185,L196,L208,L209)</f>
        <v>438220</v>
      </c>
    </row>
    <row r="211" spans="1:14" ht="13.5" thickTop="1" x14ac:dyDescent="0.2">
      <c r="A211" s="2358" t="s">
        <v>989</v>
      </c>
      <c r="B211" s="2359"/>
      <c r="C211" s="1725"/>
      <c r="D211" s="1725"/>
      <c r="E211" s="1725"/>
      <c r="F211" s="1725"/>
      <c r="G211" s="1725"/>
      <c r="H211" s="1725"/>
      <c r="I211" s="1723"/>
      <c r="J211" s="1723"/>
      <c r="K211" s="1739">
        <f>'Revenues 9-14'!F268-'Expenditures 15-22'!K210</f>
        <v>141159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959</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27573</v>
      </c>
      <c r="E215" s="1723"/>
      <c r="F215" s="1723"/>
      <c r="G215" s="1723"/>
      <c r="H215" s="1723"/>
      <c r="I215" s="1723"/>
      <c r="J215" s="1723"/>
      <c r="K215" s="1722">
        <f>D215</f>
        <v>27573</v>
      </c>
      <c r="L215" s="1623">
        <v>32760</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0</v>
      </c>
      <c r="E217" s="1723"/>
      <c r="F217" s="1723"/>
      <c r="G217" s="1723"/>
      <c r="H217" s="1723"/>
      <c r="I217" s="1723"/>
      <c r="J217" s="1723"/>
      <c r="K217" s="1722">
        <f t="shared" si="19"/>
        <v>0</v>
      </c>
      <c r="L217" s="1623"/>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0</v>
      </c>
      <c r="E219" s="1723"/>
      <c r="F219" s="1723"/>
      <c r="G219" s="1723"/>
      <c r="H219" s="1723"/>
      <c r="I219" s="1723"/>
      <c r="J219" s="1723"/>
      <c r="K219" s="1722">
        <f t="shared" si="19"/>
        <v>0</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305</v>
      </c>
      <c r="E223" s="1723"/>
      <c r="F223" s="1723"/>
      <c r="G223" s="1723"/>
      <c r="H223" s="1723"/>
      <c r="I223" s="1723"/>
      <c r="J223" s="1723"/>
      <c r="K223" s="1722">
        <f t="shared" si="19"/>
        <v>305</v>
      </c>
      <c r="L223" s="1623">
        <v>310</v>
      </c>
    </row>
    <row r="224" spans="1:14" x14ac:dyDescent="0.2">
      <c r="A224" s="1319" t="s">
        <v>958</v>
      </c>
      <c r="B224" s="503">
        <v>1600</v>
      </c>
      <c r="C224" s="1723"/>
      <c r="D224" s="1623">
        <v>0</v>
      </c>
      <c r="E224" s="1723"/>
      <c r="F224" s="1723"/>
      <c r="G224" s="1723"/>
      <c r="H224" s="1723"/>
      <c r="I224" s="1723"/>
      <c r="J224" s="1723"/>
      <c r="K224" s="1722">
        <f t="shared" si="19"/>
        <v>0</v>
      </c>
      <c r="L224" s="1623"/>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27878</v>
      </c>
      <c r="E229" s="1723"/>
      <c r="F229" s="1723"/>
      <c r="G229" s="1723"/>
      <c r="H229" s="1723"/>
      <c r="I229" s="1723"/>
      <c r="J229" s="1723"/>
      <c r="K229" s="1724">
        <f>SUM(K215:K228)</f>
        <v>27878</v>
      </c>
      <c r="L229" s="1724">
        <f>SUM(L215:L228)</f>
        <v>33070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7152</v>
      </c>
      <c r="E234" s="1723"/>
      <c r="F234" s="1723"/>
      <c r="G234" s="1723"/>
      <c r="H234" s="1723"/>
      <c r="I234" s="1723"/>
      <c r="J234" s="1723"/>
      <c r="K234" s="1722">
        <f t="shared" si="20"/>
        <v>7152</v>
      </c>
      <c r="L234" s="1623">
        <v>7900</v>
      </c>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7152</v>
      </c>
      <c r="E238" s="1723"/>
      <c r="F238" s="1723"/>
      <c r="G238" s="1723"/>
      <c r="H238" s="1723"/>
      <c r="I238" s="1723"/>
      <c r="J238" s="1723"/>
      <c r="K238" s="1724">
        <f>SUM(K232:K237)</f>
        <v>7152</v>
      </c>
      <c r="L238" s="1724">
        <f>SUM(L232:L237)</f>
        <v>7900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949</v>
      </c>
      <c r="E240" s="1723"/>
      <c r="F240" s="1723"/>
      <c r="G240" s="1723"/>
      <c r="H240" s="1723"/>
      <c r="I240" s="1723"/>
      <c r="J240" s="1723"/>
      <c r="K240" s="1728">
        <f>D240</f>
        <v>949</v>
      </c>
      <c r="L240" s="1636">
        <v>967</v>
      </c>
    </row>
    <row r="241" spans="1:12" x14ac:dyDescent="0.2">
      <c r="A241" s="1319" t="s">
        <v>810</v>
      </c>
      <c r="B241" s="503">
        <v>2220</v>
      </c>
      <c r="C241" s="1723"/>
      <c r="D241" s="1623">
        <v>17552</v>
      </c>
      <c r="E241" s="1723"/>
      <c r="F241" s="1723"/>
      <c r="G241" s="1723"/>
      <c r="H241" s="1723"/>
      <c r="I241" s="1723"/>
      <c r="J241" s="1723"/>
      <c r="K241" s="1728">
        <f>D241</f>
        <v>17552</v>
      </c>
      <c r="L241" s="1623">
        <v>17400</v>
      </c>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18501</v>
      </c>
      <c r="E243" s="1723"/>
      <c r="F243" s="1723"/>
      <c r="G243" s="1723"/>
      <c r="H243" s="1723"/>
      <c r="I243" s="1723"/>
      <c r="J243" s="1723"/>
      <c r="K243" s="1724">
        <f>SUM(K240:K242)</f>
        <v>18501</v>
      </c>
      <c r="L243" s="1724">
        <f>SUM(L240:L242)</f>
        <v>18367</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row>
    <row r="246" spans="1:12" x14ac:dyDescent="0.2">
      <c r="A246" s="1319" t="s">
        <v>813</v>
      </c>
      <c r="B246" s="503">
        <v>2320</v>
      </c>
      <c r="C246" s="1723"/>
      <c r="D246" s="1623">
        <v>2759</v>
      </c>
      <c r="E246" s="1723"/>
      <c r="F246" s="1723"/>
      <c r="G246" s="1723"/>
      <c r="H246" s="1723"/>
      <c r="I246" s="1723"/>
      <c r="J246" s="1723"/>
      <c r="K246" s="1728">
        <f t="shared" ref="K246:K256" si="21">D246</f>
        <v>2759</v>
      </c>
      <c r="L246" s="1623">
        <v>2800</v>
      </c>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1783</v>
      </c>
      <c r="B249" s="557" t="s">
        <v>280</v>
      </c>
      <c r="C249" s="1723"/>
      <c r="D249" s="1629">
        <v>0</v>
      </c>
      <c r="E249" s="1723"/>
      <c r="F249" s="1723"/>
      <c r="G249" s="1723"/>
      <c r="H249" s="1723"/>
      <c r="I249" s="1723"/>
      <c r="J249" s="1723"/>
      <c r="K249" s="1728">
        <f t="shared" si="21"/>
        <v>0</v>
      </c>
      <c r="L249" s="1623"/>
    </row>
    <row r="250" spans="1:12" x14ac:dyDescent="0.2">
      <c r="A250" s="1320" t="s">
        <v>1784</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2759</v>
      </c>
      <c r="E257" s="1723"/>
      <c r="F257" s="1723"/>
      <c r="G257" s="1723"/>
      <c r="H257" s="1723"/>
      <c r="I257" s="1723"/>
      <c r="J257" s="1723"/>
      <c r="K257" s="1724">
        <f>SUM(K245:K256)</f>
        <v>2759</v>
      </c>
      <c r="L257" s="1724">
        <f>SUM(L245:L256)</f>
        <v>2800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12121</v>
      </c>
      <c r="E259" s="1723"/>
      <c r="F259" s="1723"/>
      <c r="G259" s="1723"/>
      <c r="H259" s="1723"/>
      <c r="I259" s="1723"/>
      <c r="J259" s="1723"/>
      <c r="K259" s="1728">
        <f>D259</f>
        <v>12121</v>
      </c>
      <c r="L259" s="1636">
        <v>12665</v>
      </c>
    </row>
    <row r="260" spans="1:14" s="493" customFormat="1" x14ac:dyDescent="0.2">
      <c r="A260" s="1337" t="s">
        <v>1782</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12121</v>
      </c>
      <c r="E261" s="1723"/>
      <c r="F261" s="1723"/>
      <c r="G261" s="1723"/>
      <c r="H261" s="1723"/>
      <c r="I261" s="1723"/>
      <c r="J261" s="1723"/>
      <c r="K261" s="1724">
        <f>SUM(K259:K260)</f>
        <v>12121</v>
      </c>
      <c r="L261" s="1724">
        <f>SUM(L259:L260)</f>
        <v>12665</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3407</v>
      </c>
      <c r="E264" s="1723"/>
      <c r="F264" s="1723"/>
      <c r="G264" s="1723"/>
      <c r="H264" s="1723"/>
      <c r="I264" s="1723"/>
      <c r="J264" s="1723"/>
      <c r="K264" s="1728">
        <f t="shared" ref="K264:K269" si="22">D264</f>
        <v>3407</v>
      </c>
      <c r="L264" s="1623">
        <v>3600</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22525</v>
      </c>
      <c r="E266" s="1723"/>
      <c r="F266" s="1723"/>
      <c r="G266" s="1723"/>
      <c r="H266" s="1723"/>
      <c r="I266" s="1723"/>
      <c r="J266" s="1723"/>
      <c r="K266" s="1728">
        <f t="shared" si="22"/>
        <v>22525</v>
      </c>
      <c r="L266" s="1623">
        <v>22850</v>
      </c>
    </row>
    <row r="267" spans="1:14" x14ac:dyDescent="0.2">
      <c r="A267" s="1319" t="s">
        <v>947</v>
      </c>
      <c r="B267" s="503">
        <v>2550</v>
      </c>
      <c r="C267" s="1723"/>
      <c r="D267" s="1623">
        <v>0</v>
      </c>
      <c r="E267" s="1723"/>
      <c r="F267" s="1723"/>
      <c r="G267" s="1723"/>
      <c r="H267" s="1723"/>
      <c r="I267" s="1723"/>
      <c r="J267" s="1723"/>
      <c r="K267" s="1728">
        <f t="shared" si="22"/>
        <v>0</v>
      </c>
      <c r="L267" s="1623"/>
    </row>
    <row r="268" spans="1:14" x14ac:dyDescent="0.2">
      <c r="A268" s="1319" t="s">
        <v>100</v>
      </c>
      <c r="B268" s="503">
        <v>2560</v>
      </c>
      <c r="C268" s="1723"/>
      <c r="D268" s="1623">
        <v>0</v>
      </c>
      <c r="E268" s="1723"/>
      <c r="F268" s="1723"/>
      <c r="G268" s="1723"/>
      <c r="H268" s="1723"/>
      <c r="I268" s="1723"/>
      <c r="J268" s="1723"/>
      <c r="K268" s="1728">
        <f t="shared" si="22"/>
        <v>0</v>
      </c>
      <c r="L268" s="1623"/>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25932</v>
      </c>
      <c r="E270" s="1723"/>
      <c r="F270" s="1723"/>
      <c r="G270" s="1723"/>
      <c r="H270" s="1723"/>
      <c r="I270" s="1723"/>
      <c r="J270" s="1723"/>
      <c r="K270" s="1724">
        <f>SUM(K263:K269)</f>
        <v>25932</v>
      </c>
      <c r="L270" s="1724">
        <f>SUM(L263:L269)</f>
        <v>26450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66465</v>
      </c>
      <c r="E279" s="1723"/>
      <c r="F279" s="1723"/>
      <c r="G279" s="1723"/>
      <c r="H279" s="1723"/>
      <c r="I279" s="1723"/>
      <c r="J279" s="1723"/>
      <c r="K279" s="1731">
        <f>SUM(K238,K243,K257,K261,K270,K277,K278)</f>
        <v>66465</v>
      </c>
      <c r="L279" s="1731">
        <f>SUM(L238,L243,L257,L261,L270,L277,L278)</f>
        <v>68182</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1817</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9" t="s">
        <v>502</v>
      </c>
      <c r="B295" s="2350"/>
      <c r="C295" s="1723"/>
      <c r="D295" s="1724">
        <f>SUM(D229,D279,D280,D285)</f>
        <v>94343</v>
      </c>
      <c r="E295" s="1723"/>
      <c r="F295" s="1723"/>
      <c r="G295" s="1723"/>
      <c r="H295" s="1724">
        <f>H293</f>
        <v>0</v>
      </c>
      <c r="I295" s="1723"/>
      <c r="J295" s="1723"/>
      <c r="K295" s="1724">
        <f>SUM(K229,K279,K280,K285,K293,K294)</f>
        <v>94343</v>
      </c>
      <c r="L295" s="1724">
        <f>SUM(L229,L279,L280,L285,L293,L294)</f>
        <v>101252</v>
      </c>
    </row>
    <row r="296" spans="1:14" ht="13.5" thickTop="1" x14ac:dyDescent="0.2">
      <c r="A296" s="2358" t="s">
        <v>989</v>
      </c>
      <c r="B296" s="2359"/>
      <c r="C296" s="1723"/>
      <c r="D296" s="1725"/>
      <c r="E296" s="1723"/>
      <c r="F296" s="1723"/>
      <c r="G296" s="1723"/>
      <c r="H296" s="1757"/>
      <c r="I296" s="1723"/>
      <c r="J296" s="1723"/>
      <c r="K296" s="1739">
        <f>'Revenues 9-14'!G268-'Expenditures 15-22'!K295</f>
        <v>96673</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6" t="s">
        <v>275</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989</v>
      </c>
      <c r="B313" s="234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892</v>
      </c>
      <c r="B317" s="235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1783</v>
      </c>
      <c r="B320" s="568" t="s">
        <v>280</v>
      </c>
      <c r="C320" s="1624">
        <v>0</v>
      </c>
      <c r="D320" s="1624">
        <v>0</v>
      </c>
      <c r="E320" s="1624">
        <v>56328</v>
      </c>
      <c r="F320" s="1624">
        <v>0</v>
      </c>
      <c r="G320" s="1624">
        <v>0</v>
      </c>
      <c r="H320" s="1624">
        <v>0</v>
      </c>
      <c r="I320" s="1624">
        <v>0</v>
      </c>
      <c r="J320" s="1624">
        <v>0</v>
      </c>
      <c r="K320" s="1722">
        <f t="shared" ref="K320:K327" si="24">SUM(C320:J320)</f>
        <v>56328</v>
      </c>
      <c r="L320" s="1624">
        <v>56387</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c r="M322" s="539"/>
      <c r="N322" s="539"/>
    </row>
    <row r="323" spans="1:14" s="548" customFormat="1" x14ac:dyDescent="0.2">
      <c r="A323" s="1334" t="s">
        <v>697</v>
      </c>
      <c r="B323" s="567" t="s">
        <v>283</v>
      </c>
      <c r="C323" s="1624">
        <v>0</v>
      </c>
      <c r="D323" s="1624">
        <v>0</v>
      </c>
      <c r="E323" s="1624">
        <v>1349</v>
      </c>
      <c r="F323" s="1624">
        <v>0</v>
      </c>
      <c r="G323" s="1624">
        <v>0</v>
      </c>
      <c r="H323" s="1624">
        <v>0</v>
      </c>
      <c r="I323" s="1624">
        <v>0</v>
      </c>
      <c r="J323" s="1624">
        <v>0</v>
      </c>
      <c r="K323" s="1722">
        <f t="shared" si="24"/>
        <v>1349</v>
      </c>
      <c r="L323" s="1624">
        <v>1350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43988</v>
      </c>
      <c r="F327" s="1624">
        <v>0</v>
      </c>
      <c r="G327" s="1624">
        <v>0</v>
      </c>
      <c r="H327" s="1624">
        <v>0</v>
      </c>
      <c r="I327" s="1624">
        <v>0</v>
      </c>
      <c r="J327" s="1624">
        <v>0</v>
      </c>
      <c r="K327" s="1722">
        <f t="shared" si="24"/>
        <v>43988</v>
      </c>
      <c r="L327" s="1624">
        <v>44000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101665</v>
      </c>
      <c r="F330" s="1724">
        <f t="shared" si="25"/>
        <v>0</v>
      </c>
      <c r="G330" s="1724">
        <f t="shared" si="25"/>
        <v>0</v>
      </c>
      <c r="H330" s="1724">
        <f t="shared" si="25"/>
        <v>0</v>
      </c>
      <c r="I330" s="1724">
        <f t="shared" si="25"/>
        <v>0</v>
      </c>
      <c r="J330" s="1724">
        <f t="shared" si="25"/>
        <v>0</v>
      </c>
      <c r="K330" s="1724">
        <f>SUM(K319:K329)</f>
        <v>101665</v>
      </c>
      <c r="L330" s="1724">
        <f>SUM(L319:L329)</f>
        <v>101737</v>
      </c>
      <c r="M330" s="539"/>
      <c r="N330" s="539"/>
    </row>
    <row r="331" spans="1:14" s="548" customFormat="1" ht="12.75" customHeight="1" thickTop="1" x14ac:dyDescent="0.2">
      <c r="A331" s="1516" t="s">
        <v>1823</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1817</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1819</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1824</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101665</v>
      </c>
      <c r="F342" s="1724">
        <f>SUM(F330)</f>
        <v>0</v>
      </c>
      <c r="G342" s="1724">
        <f>SUM(G330)</f>
        <v>0</v>
      </c>
      <c r="H342" s="1724">
        <f>SUM(H330,H334,H340)</f>
        <v>0</v>
      </c>
      <c r="I342" s="1724">
        <f>SUM(I330)</f>
        <v>0</v>
      </c>
      <c r="J342" s="1724">
        <f>SUM(J330)</f>
        <v>0</v>
      </c>
      <c r="K342" s="1724">
        <f>SUM(K330,K334,K340)</f>
        <v>101665</v>
      </c>
      <c r="L342" s="1731">
        <f>SUM(L330,L334,L340,L341)</f>
        <v>101737</v>
      </c>
    </row>
    <row r="343" spans="1:14" ht="12.75" customHeight="1" thickTop="1" x14ac:dyDescent="0.2">
      <c r="A343" s="2344" t="s">
        <v>989</v>
      </c>
      <c r="B343" s="2345"/>
      <c r="C343" s="1723"/>
      <c r="D343" s="1723"/>
      <c r="E343" s="1723"/>
      <c r="F343" s="1723"/>
      <c r="G343" s="1723"/>
      <c r="H343" s="1723"/>
      <c r="I343" s="1723"/>
      <c r="J343" s="1723"/>
      <c r="K343" s="1739">
        <f>'Revenues 9-14'!J268-'Expenditures 15-22'!K342</f>
        <v>60997</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960</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40990</v>
      </c>
      <c r="F349" s="1623">
        <v>0</v>
      </c>
      <c r="G349" s="1623">
        <v>0</v>
      </c>
      <c r="H349" s="1623">
        <v>0</v>
      </c>
      <c r="I349" s="1624">
        <v>0</v>
      </c>
      <c r="J349" s="1624">
        <v>0</v>
      </c>
      <c r="K349" s="1722">
        <f>SUM(C349:J349)</f>
        <v>40990</v>
      </c>
      <c r="L349" s="1623">
        <v>40990</v>
      </c>
    </row>
    <row r="350" spans="1:14" ht="12.75" customHeight="1" thickBot="1" x14ac:dyDescent="0.25">
      <c r="A350" s="1429" t="s">
        <v>714</v>
      </c>
      <c r="B350" s="1430" t="s">
        <v>35</v>
      </c>
      <c r="C350" s="1724">
        <f>SUM(C348:C349)</f>
        <v>0</v>
      </c>
      <c r="D350" s="1724">
        <f t="shared" ref="D350:L350" si="26">SUM(D348:D349)</f>
        <v>0</v>
      </c>
      <c r="E350" s="1724">
        <f t="shared" si="26"/>
        <v>40990</v>
      </c>
      <c r="F350" s="1724">
        <f t="shared" si="26"/>
        <v>0</v>
      </c>
      <c r="G350" s="1724">
        <f t="shared" si="26"/>
        <v>0</v>
      </c>
      <c r="H350" s="1724">
        <f t="shared" si="26"/>
        <v>0</v>
      </c>
      <c r="I350" s="1724">
        <f t="shared" si="26"/>
        <v>0</v>
      </c>
      <c r="J350" s="1724">
        <f t="shared" si="26"/>
        <v>0</v>
      </c>
      <c r="K350" s="1724">
        <f t="shared" si="26"/>
        <v>40990</v>
      </c>
      <c r="L350" s="1724">
        <f t="shared" si="26"/>
        <v>40990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40990</v>
      </c>
      <c r="F352" s="1724">
        <f t="shared" si="27"/>
        <v>0</v>
      </c>
      <c r="G352" s="1724">
        <f t="shared" si="27"/>
        <v>0</v>
      </c>
      <c r="H352" s="1724">
        <f t="shared" si="27"/>
        <v>0</v>
      </c>
      <c r="I352" s="1724">
        <f t="shared" si="27"/>
        <v>0</v>
      </c>
      <c r="J352" s="1724">
        <f t="shared" si="27"/>
        <v>0</v>
      </c>
      <c r="K352" s="1724">
        <f t="shared" si="27"/>
        <v>40990</v>
      </c>
      <c r="L352" s="1724">
        <f t="shared" si="27"/>
        <v>40990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v>0</v>
      </c>
      <c r="I354" s="1766"/>
      <c r="J354" s="1723"/>
      <c r="K354" s="1763">
        <f>H354</f>
        <v>0</v>
      </c>
      <c r="L354" s="1627"/>
    </row>
    <row r="355" spans="1:14" ht="12.75" customHeight="1" x14ac:dyDescent="0.2">
      <c r="A355" s="1328" t="s">
        <v>1826</v>
      </c>
      <c r="B355" s="562" t="s">
        <v>1819</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40990</v>
      </c>
      <c r="F367" s="1724">
        <f t="shared" si="28"/>
        <v>0</v>
      </c>
      <c r="G367" s="1724">
        <f t="shared" si="28"/>
        <v>0</v>
      </c>
      <c r="H367" s="1724">
        <f t="shared" si="28"/>
        <v>0</v>
      </c>
      <c r="I367" s="1724">
        <f t="shared" si="28"/>
        <v>0</v>
      </c>
      <c r="J367" s="1724">
        <f t="shared" si="28"/>
        <v>0</v>
      </c>
      <c r="K367" s="1724">
        <f t="shared" si="28"/>
        <v>40990</v>
      </c>
      <c r="L367" s="1724">
        <f t="shared" si="28"/>
        <v>40990</v>
      </c>
    </row>
    <row r="368" spans="1:14" ht="13.5" thickTop="1" x14ac:dyDescent="0.2">
      <c r="A368" s="2358" t="s">
        <v>989</v>
      </c>
      <c r="B368" s="2359"/>
      <c r="C368" s="1744"/>
      <c r="D368" s="1744"/>
      <c r="E368" s="1727"/>
      <c r="F368" s="1727"/>
      <c r="G368" s="1727"/>
      <c r="H368" s="1727"/>
      <c r="I368" s="1727"/>
      <c r="J368" s="1726"/>
      <c r="K368" s="1722">
        <f>'Revenues 9-14'!K268-'Expenditures 15-22'!K367</f>
        <v>8812</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dcmitype/"/>
    <ds:schemaRef ds:uri="http://schemas.microsoft.com/office/2006/documentManagement/types"/>
    <ds:schemaRef ds:uri="http://purl.org/dc/elements/1.1/"/>
    <ds:schemaRef ds:uri="http://purl.org/dc/terms/"/>
    <ds:schemaRef ds:uri="http://schemas.microsoft.com/office/2006/metadata/properties"/>
    <ds:schemaRef ds:uri="d21dc803-237d-4c68-8692-8d731fd29118"/>
    <ds:schemaRef ds:uri="http://schemas.openxmlformats.org/package/2006/metadata/core-properties"/>
    <ds:schemaRef ds:uri="http://schemas.microsoft.com/office/infopath/2007/PartnerControl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2020-09-18T16:57:46Z</cp:lastPrinted>
  <dcterms:created xsi:type="dcterms:W3CDTF">2003-10-29T19:06:34Z</dcterms:created>
  <dcterms:modified xsi:type="dcterms:W3CDTF">2020-10-15T17:02:16Z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