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467D571-E1AF-4314-A99D-270640867E51}" xr6:coauthVersionLast="36" xr6:coauthVersionMax="36" xr10:uidLastSave="{00000000-0000-0000-0000-000000000000}"/>
  <bookViews>
    <workbookView xWindow="28680" yWindow="-120" windowWidth="29040" windowHeight="16440" tabRatio="89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3"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3" i="11" l="1"/>
  <c r="D13" i="11"/>
  <c r="J7" i="184" l="1"/>
  <c r="J6" i="184"/>
  <c r="M68" i="184" l="1"/>
  <c r="L68" i="184"/>
  <c r="K68" i="184"/>
  <c r="J68" i="184"/>
  <c r="G15" i="184" s="1"/>
  <c r="I68" i="184"/>
  <c r="G14" i="184" s="1"/>
  <c r="H68" i="184"/>
  <c r="G68" i="184"/>
  <c r="L52" i="184"/>
  <c r="K19" i="184"/>
  <c r="J19" i="184"/>
  <c r="I19" i="184"/>
  <c r="L18" i="184"/>
  <c r="H18" i="184"/>
  <c r="L17" i="184"/>
  <c r="G17" i="184"/>
  <c r="L16" i="184"/>
  <c r="G16" i="184"/>
  <c r="L15" i="184"/>
  <c r="L14" i="184"/>
  <c r="L13" i="184"/>
  <c r="G13" i="184"/>
  <c r="L12" i="184"/>
  <c r="G12" i="184"/>
  <c r="L53"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36" i="108" l="1"/>
  <c r="B2805" i="106"/>
  <c r="D2805" i="106" s="1"/>
  <c r="F70" i="3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E14" i="145"/>
  <c r="G14" i="145" s="1"/>
  <c r="E14" i="184"/>
  <c r="H14" i="184" s="1"/>
  <c r="F15" i="145"/>
  <c r="F19" i="145" s="1"/>
  <c r="F15" i="184"/>
  <c r="F19" i="184" s="1"/>
  <c r="E13" i="145"/>
  <c r="G13" i="145" s="1"/>
  <c r="E13" i="184"/>
  <c r="H13" i="184" s="1"/>
  <c r="B7198" i="106"/>
  <c r="D7198" i="106" s="1"/>
  <c r="E65" i="184"/>
  <c r="N65" i="184" s="1"/>
  <c r="B7162" i="106"/>
  <c r="D7162" i="106" s="1"/>
  <c r="E61" i="184"/>
  <c r="N61" i="184" s="1"/>
  <c r="B7126" i="106"/>
  <c r="D7126" i="106" s="1"/>
  <c r="E57" i="184"/>
  <c r="E15" i="145"/>
  <c r="E15" i="184"/>
  <c r="H15" i="184" s="1"/>
  <c r="G33" i="108"/>
  <c r="E17" i="184"/>
  <c r="H17" i="184" s="1"/>
  <c r="H12" i="184"/>
  <c r="B7189" i="106"/>
  <c r="D7189" i="106" s="1"/>
  <c r="E64" i="184"/>
  <c r="N64" i="184" s="1"/>
  <c r="B7153" i="106"/>
  <c r="D7153" i="106" s="1"/>
  <c r="E60" i="184"/>
  <c r="N60" i="184" s="1"/>
  <c r="D31" i="108"/>
  <c r="E16" i="184"/>
  <c r="H16" i="184" s="1"/>
  <c r="B6289" i="106"/>
  <c r="D6289" i="106" s="1"/>
  <c r="H76" i="4"/>
  <c r="B3298" i="106" s="1"/>
  <c r="D3298" i="106" s="1"/>
  <c r="B7047" i="106"/>
  <c r="D7047" i="106" s="1"/>
  <c r="F37" i="34"/>
  <c r="B7829" i="106" s="1"/>
  <c r="D7829" i="106" s="1"/>
  <c r="B7074" i="106"/>
  <c r="D7074" i="106" s="1"/>
  <c r="B2836" i="106"/>
  <c r="D2836"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G15" i="145" l="1"/>
  <c r="E19" i="184"/>
  <c r="H19" i="184"/>
  <c r="L20" i="184" s="1"/>
  <c r="F66" i="34"/>
  <c r="N57" i="184"/>
  <c r="N68" i="184" s="1"/>
  <c r="E68" i="184"/>
  <c r="H77" i="4"/>
  <c r="B3299" i="106" s="1"/>
  <c r="D3299" i="106" s="1"/>
  <c r="L16" i="11"/>
  <c r="B2061" i="106" s="1"/>
  <c r="D206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<sst xmlns="http://schemas.openxmlformats.org/spreadsheetml/2006/main" count="5192" uniqueCount="2083">
  <si>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</si>
  <si>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</si>
  <si>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</si>
  <si>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</si>
  <si>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</si>
  <si>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</si>
  <si>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</si>
  <si>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</si>
  <si>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</si>
  <si>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</si>
  <si>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</si>
  <si>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</si>
  <si>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</si>
  <si>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</si>
  <si>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</si>
  <si>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</si>
  <si>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</si>
  <si>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</si>
  <si>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</si>
  <si>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</si>
  <si>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</si>
  <si>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</si>
  <si>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</si>
  <si>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</si>
  <si>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</si>
  <si>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</si>
  <si>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</si>
  <si>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</si>
  <si>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</si>
  <si>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</si>
  <si>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</si>
  <si>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</si>
  <si>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</si>
  <si>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</si>
  <si>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</si>
  <si>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</si>
  <si>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</si>
  <si>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</si>
  <si>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</si>
  <si>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</si>
  <si>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</si>
  <si>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</si>
  <si>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</si>
  <si>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</si>
  <si>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</si>
  <si>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</si>
  <si>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</si>
  <si>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</si>
  <si>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</si>
  <si>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</si>
  <si>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</si>
  <si>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</si>
  <si>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</si>
  <si>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</si>
  <si>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</si>
  <si>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</si>
  <si>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</si>
  <si>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</si>
  <si>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</si>
  <si>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</si>
  <si>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</si>
  <si>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</si>
  <si>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</si>
  <si>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</si>
  <si>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</si>
  <si>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</si>
  <si>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</si>
  <si>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</si>
  <si>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</si>
  <si>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</si>
  <si>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</si>
  <si>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</si>
  <si>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</si>
  <si>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</si>
  <si>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</si>
  <si>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</si>
  <si>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</si>
  <si>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</si>
  <si>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</si>
  <si>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</si>
  <si>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</si>
  <si>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</si>
  <si>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</si>
  <si>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</si>
  <si>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</si>
  <si>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</si>
  <si>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</si>
  <si>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</si>
  <si>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</si>
  <si>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</si>
  <si>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</si>
  <si>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</si>
  <si>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</si>
  <si>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</si>
  <si>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</si>
  <si>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</si>
  <si>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</si>
  <si>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</si>
  <si>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</si>
  <si>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</si>
  <si>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</si>
  <si>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</si>
  <si>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</si>
  <si>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</si>
  <si>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</si>
  <si>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</si>
  <si>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</si>
  <si>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</si>
  <si>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</si>
  <si>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</si>
  <si>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</si>
  <si>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</si>
  <si>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</si>
  <si>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</si>
  <si>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</si>
  <si>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</si>
  <si>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</si>
  <si>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</si>
  <si>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</si>
  <si>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</si>
  <si>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</si>
  <si>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</si>
  <si>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</si>
  <si>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</si>
  <si>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</si>
  <si>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</si>
  <si>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</si>
  <si>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</si>
  <si>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</si>
  <si>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</si>
  <si>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</si>
  <si>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</si>
  <si>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</si>
  <si>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</si>
  <si>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</si>
  <si>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</si>
  <si>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</si>
  <si>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</si>
  <si>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</si>
  <si>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</si>
  <si>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</si>
  <si>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</si>
  <si>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</si>
  <si>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</si>
  <si>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</si>
  <si>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</si>
  <si>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</si>
  <si>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</si>
  <si>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</si>
  <si>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</si>
  <si>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</si>
  <si>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</si>
  <si>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</si>
  <si>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</si>
  <si>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</si>
  <si>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</si>
  <si>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</si>
  <si>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</si>
  <si>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</si>
  <si>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</si>
  <si>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</si>
  <si>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</si>
  <si>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</si>
  <si>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</si>
  <si>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</si>
  <si>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</si>
  <si>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</si>
  <si>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</si>
  <si>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</si>
  <si>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</si>
  <si>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</si>
  <si>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</si>
  <si>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</si>
  <si>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</si>
  <si>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</si>
  <si>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</si>
  <si>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</si>
  <si>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</si>
  <si>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</si>
  <si>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</si>
  <si>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</si>
  <si>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</si>
  <si>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</si>
  <si>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</si>
  <si>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</si>
  <si>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</si>
  <si>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</si>
  <si>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</si>
  <si>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</si>
  <si>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</si>
  <si>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</si>
  <si>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</si>
  <si>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</si>
  <si>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</si>
  <si>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</si>
  <si>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</si>
  <si>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</si>
  <si>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</si>
  <si>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</si>
  <si>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</si>
  <si>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</si>
  <si>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</si>
  <si>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</si>
  <si>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</si>
  <si>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</si>
  <si>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</si>
  <si>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</si>
  <si>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</si>
  <si>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</si>
  <si>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</si>
  <si>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</si>
  <si>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</si>
  <si>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</si>
  <si>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</si>
  <si>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</si>
  <si>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</si>
  <si>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</si>
  <si>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</si>
  <si>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</si>
  <si>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</si>
  <si>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</si>
  <si>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</si>
  <si>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</si>
  <si>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</si>
  <si>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</si>
  <si>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</si>
  <si>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</si>
  <si>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</si>
  <si>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</si>
  <si>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</si>
  <si>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</si>
  <si>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</si>
  <si>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</si>
  <si>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</si>
  <si>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</si>
  <si>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</si>
  <si>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</si>
  <si>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</si>
  <si>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</si>
  <si>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</si>
  <si>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</si>
  <si>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</si>
  <si>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</si>
  <si>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</si>
  <si>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</si>
  <si>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</si>
  <si>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</si>
  <si>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</si>
  <si>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</si>
  <si>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</si>
  <si>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</si>
  <si>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</si>
  <si>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</si>
  <si>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</si>
  <si>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</si>
  <si>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</si>
  <si>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</si>
  <si>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</si>
  <si>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</si>
  <si>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</si>
  <si>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</si>
  <si>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</si>
  <si>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</si>
  <si>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</si>
  <si>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</si>
  <si>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</si>
  <si>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</si>
  <si>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</si>
  <si>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</si>
  <si>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</si>
  <si>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</si>
  <si>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</si>
  <si>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</si>
  <si>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</si>
  <si>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</si>
  <si>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</si>
  <si>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</si>
  <si>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</si>
  <si>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</si>
  <si>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</si>
  <si>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</si>
  <si>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</si>
  <si>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</si>
  <si>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</si>
  <si>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</si>
  <si>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</si>
  <si>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</si>
  <si>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</si>
  <si>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</si>
  <si>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</si>
  <si>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</si>
  <si>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</si>
  <si>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</si>
  <si>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</si>
  <si>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</si>
  <si>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</si>
  <si>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</si>
  <si>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</si>
  <si>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</si>
  <si>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</si>
  <si>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</si>
  <si>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</si>
  <si>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</si>
  <si>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</si>
  <si>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</si>
  <si>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</si>
  <si>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</si>
  <si>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</si>
  <si>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</si>
  <si>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</si>
  <si>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</si>
  <si>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</si>
  <si>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</si>
  <si>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</si>
  <si>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</si>
  <si>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</si>
  <si>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</si>
  <si>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</si>
  <si>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</si>
  <si>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</si>
  <si>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</si>
  <si>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</si>
  <si>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</si>
  <si>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</si>
  <si>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</si>
  <si>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</si>
  <si>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</si>
  <si>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</si>
  <si>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</si>
  <si>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</si>
  <si>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</si>
  <si>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</si>
  <si>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</si>
  <si>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</si>
  <si>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</si>
  <si>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</si>
  <si>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</si>
  <si>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</si>
  <si>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</si>
  <si>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</si>
  <si>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</si>
  <si>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</si>
  <si>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</si>
  <si>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</si>
  <si>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</si>
  <si>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</si>
  <si>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</si>
  <si>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</si>
  <si>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</si>
  <si>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</si>
  <si>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</si>
  <si>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</si>
  <si>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</si>
  <si>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</si>
  <si>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</si>
  <si>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</si>
  <si>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</si>
  <si>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</si>
  <si>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</si>
  <si>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</si>
  <si>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</si>
  <si>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</si>
  <si>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</si>
  <si>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</si>
  <si>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</si>
  <si>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</si>
  <si>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</si>
  <si>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</si>
  <si>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</si>
  <si>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</si>
  <si>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</si>
  <si>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</si>
  <si>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</si>
  <si>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</si>
  <si>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</si>
  <si>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</si>
  <si>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</si>
  <si>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</si>
  <si>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</si>
  <si>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</si>
  <si>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</si>
  <si>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</si>
  <si>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</si>
  <si>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</si>
  <si>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</si>
  <si>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</si>
  <si>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</si>
  <si>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</si>
  <si>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</si>
  <si>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</si>
  <si>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</si>
  <si>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</si>
  <si>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</si>
  <si>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</si>
  <si>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</si>
  <si>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</si>
  <si>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</si>
  <si>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</si>
  <si>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</si>
  <si>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</si>
  <si>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</si>
  <si>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</si>
  <si>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</si>
  <si>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</si>
  <si>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</si>
  <si>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</si>
  <si>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</si>
  <si>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</si>
  <si>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</si>
  <si>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</si>
  <si>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</si>
  <si>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</si>
  <si>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</si>
  <si>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</si>
  <si>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</si>
  <si>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</si>
  <si>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</si>
  <si>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</si>
  <si>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</si>
  <si>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</si>
  <si>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</si>
  <si>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</si>
  <si>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</si>
  <si>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</si>
  <si>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</si>
  <si>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</si>
  <si>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</si>
  <si>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</si>
  <si>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</si>
  <si>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</si>
  <si>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</si>
  <si>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</si>
  <si>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</si>
  <si>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</si>
  <si>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</si>
  <si>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</si>
  <si>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</si>
  <si>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</si>
  <si>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</si>
  <si>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</si>
  <si>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</si>
  <si>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</si>
  <si>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</si>
  <si>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</si>
  <si>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</si>
  <si>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</si>
  <si>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</si>
  <si>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</si>
  <si>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</si>
  <si>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</si>
  <si>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</si>
  <si>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</si>
  <si>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</si>
  <si>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</si>
  <si>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</si>
  <si>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</si>
  <si>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</si>
  <si>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</si>
  <si>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</si>
  <si>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</si>
  <si>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</si>
  <si>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</si>
  <si>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</si>
  <si>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</si>
  <si>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</si>
  <si>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</si>
  <si>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</si>
  <si>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</si>
  <si>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</si>
  <si>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</si>
  <si>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</si>
  <si>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</si>
  <si>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</si>
  <si>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</si>
  <si>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</si>
  <si>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</si>
  <si>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</si>
  <si>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</si>
  <si>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</si>
  <si>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</si>
  <si>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</si>
  <si>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</si>
  <si>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</si>
  <si>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</si>
  <si>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</si>
  <si>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</si>
  <si>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</si>
  <si>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</si>
  <si>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</si>
  <si>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</si>
  <si>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</si>
  <si>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</si>
  <si>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</si>
  <si>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</si>
  <si>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</si>
  <si>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</si>
  <si>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</si>
  <si>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</si>
  <si>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</si>
  <si>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</si>
  <si>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</si>
  <si>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</si>
  <si>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</si>
  <si>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</si>
  <si>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</si>
  <si>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</si>
  <si>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</si>
  <si>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</si>
  <si>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</si>
  <si>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</si>
  <si>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</si>
  <si>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</si>
  <si>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</si>
  <si>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</si>
  <si>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</si>
  <si>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</si>
  <si>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</si>
  <si>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</si>
  <si>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</si>
  <si>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</si>
  <si>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</si>
  <si>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</si>
  <si>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</si>
  <si>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</si>
  <si>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</si>
  <si>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</si>
  <si>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</si>
  <si>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</si>
  <si>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</si>
  <si>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</si>
  <si>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</si>
  <si>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</si>
  <si>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</si>
  <si>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</si>
  <si>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</si>
  <si>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</si>
  <si>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</si>
  <si>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</si>
  <si>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</si>
  <si>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</si>
  <si>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</si>
  <si>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</si>
  <si>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</si>
  <si>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</si>
  <si>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</si>
  <si>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</si>
  <si>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</si>
  <si>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</si>
  <si>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</si>
  <si>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</si>
  <si>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</si>
  <si>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</si>
  <si>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</si>
  <si>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</si>
  <si>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</si>
  <si>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</si>
  <si>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</si>
  <si>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</si>
  <si>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</si>
  <si>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</si>
  <si>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</si>
  <si>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</si>
  <si>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</si>
  <si>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</si>
  <si>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</si>
  <si>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</si>
  <si>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</si>
  <si>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</si>
  <si>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</si>
  <si>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</si>
  <si>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</si>
  <si>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</si>
  <si>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</si>
  <si>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</si>
  <si>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</si>
  <si>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</si>
  <si>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</si>
  <si>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</si>
  <si>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</si>
  <si>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</si>
  <si>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</si>
  <si>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</si>
  <si>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</si>
  <si>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</si>
  <si>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</si>
  <si>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</si>
  <si>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</si>
  <si>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</si>
  <si>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</si>
  <si>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</si>
  <si>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</si>
  <si>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</si>
  <si>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</si>
  <si>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</si>
  <si>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</si>
  <si>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</si>
  <si>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</si>
  <si>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</si>
  <si>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</si>
  <si>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</si>
  <si>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</si>
  <si>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</si>
  <si>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</si>
  <si>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</si>
  <si>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</si>
  <si>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</si>
  <si>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</si>
  <si>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</si>
  <si>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</si>
  <si>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</si>
  <si>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</si>
  <si>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</si>
  <si>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</si>
  <si>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</si>
  <si>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</si>
  <si>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</si>
  <si>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</si>
  <si>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</si>
  <si>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</si>
  <si>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</si>
  <si>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</si>
  <si>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</si>
  <si>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</si>
  <si>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</si>
  <si>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</si>
  <si>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</si>
  <si>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</si>
  <si>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</si>
  <si>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</si>
  <si>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</si>
  <si>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</si>
  <si>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</si>
  <si>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</si>
  <si>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</si>
  <si>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</si>
  <si>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</si>
  <si>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</si>
  <si>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</si>
  <si>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</si>
  <si>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</si>
  <si>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</si>
  <si>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</si>
  <si>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</si>
  <si>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</si>
  <si>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</si>
  <si>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</si>
  <si>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</si>
  <si>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</si>
  <si>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</si>
  <si>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</si>
  <si>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</si>
  <si>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</si>
  <si>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</si>
  <si>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</si>
  <si>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</si>
  <si>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</si>
  <si>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</si>
  <si>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</si>
  <si>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</si>
  <si>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</si>
  <si>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</si>
  <si>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</si>
  <si>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</si>
  <si>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</si>
  <si>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</si>
  <si>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</si>
  <si>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</si>
  <si>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</si>
  <si>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</si>
  <si>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</si>
  <si>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</si>
  <si>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</si>
  <si>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</si>
  <si>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</si>
  <si>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</si>
  <si>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</si>
  <si>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</si>
  <si>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</si>
  <si>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</si>
  <si>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</si>
  <si>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</si>
  <si>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</si>
  <si>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</si>
  <si>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</si>
  <si>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</si>
  <si>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</si>
  <si>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</si>
  <si>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</si>
  <si>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</si>
  <si>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</si>
  <si>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</si>
  <si>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</si>
  <si>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</si>
  <si>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</si>
  <si>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</si>
  <si>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</si>
  <si>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</si>
  <si>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</si>
  <si>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</si>
  <si>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</si>
  <si>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</si>
  <si>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</si>
  <si>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</si>
  <si>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</si>
  <si>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</si>
  <si>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</si>
  <si>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</si>
  <si>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</si>
  <si>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</si>
  <si>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</si>
  <si>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</si>
  <si>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</si>
  <si>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</si>
  <si>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</si>
  <si>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</si>
  <si>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</si>
  <si>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</si>
  <si>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</si>
  <si>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</si>
  <si>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</si>
  <si>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</si>
  <si>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</si>
  <si>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</si>
  <si>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</si>
  <si>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</si>
  <si>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</si>
  <si>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</si>
  <si>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</si>
  <si>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</si>
  <si>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</si>
  <si>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</si>
  <si>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</si>
  <si>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</si>
  <si>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</si>
  <si>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</si>
  <si>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</si>
  <si>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</si>
  <si>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</si>
  <si>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</si>
  <si>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</si>
  <si>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</si>
  <si>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</si>
  <si>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</si>
  <si>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</si>
  <si>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</si>
  <si>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</si>
  <si>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</si>
  <si>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</si>
  <si>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</si>
  <si>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</si>
  <si>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</si>
  <si>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</si>
  <si>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</si>
  <si>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</si>
  <si>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</si>
  <si>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</si>
  <si>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</si>
  <si>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</si>
  <si>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</si>
  <si>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</si>
  <si>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</si>
  <si>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</si>
  <si>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</si>
  <si>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</si>
  <si>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</si>
  <si>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</si>
  <si>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</si>
  <si>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</si>
  <si>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</si>
  <si>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</si>
  <si>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</si>
  <si>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</si>
  <si>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</si>
  <si>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</si>
  <si>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</si>
  <si>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</si>
  <si>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</si>
  <si>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</si>
  <si>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</si>
  <si>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</si>
  <si>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</si>
  <si>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</si>
  <si>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</si>
  <si>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</si>
  <si>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</si>
  <si>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</si>
  <si>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</si>
  <si>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</si>
  <si>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</si>
  <si>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</si>
  <si>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</si>
  <si>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</si>
  <si>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</si>
  <si>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</si>
  <si>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</si>
  <si>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</si>
  <si>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</si>
  <si>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</si>
  <si>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</si>
  <si>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</si>
  <si>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</si>
  <si>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</si>
  <si>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</si>
  <si>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</si>
  <si>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</si>
  <si>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</si>
  <si>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</si>
  <si>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</si>
  <si>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</si>
  <si>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</si>
  <si>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</si>
  <si>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</si>
  <si>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</si>
  <si>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</si>
  <si>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</si>
  <si>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</si>
  <si>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</si>
  <si>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</si>
  <si>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</si>
  <si>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</si>
  <si>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</si>
  <si>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</si>
  <si>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</si>
  <si>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</si>
  <si>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</si>
  <si>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</si>
  <si>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</si>
  <si>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</si>
  <si>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</si>
  <si>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</si>
  <si>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</si>
  <si>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</si>
  <si>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</si>
  <si>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</si>
  <si>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</si>
  <si>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</si>
  <si>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</si>
  <si>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</si>
  <si>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</si>
  <si>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</si>
  <si>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</si>
  <si>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</si>
  <si>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</si>
  <si>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</si>
  <si>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</si>
  <si>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</si>
  <si>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</si>
  <si>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</si>
  <si>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</si>
  <si>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</si>
  <si>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</si>
  <si>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</si>
  <si>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</si>
  <si>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</si>
  <si>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</si>
  <si>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</si>
  <si>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</si>
  <si>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</si>
  <si>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</si>
  <si>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</si>
  <si>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</si>
  <si>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</si>
  <si>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</si>
  <si>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</si>
  <si>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</si>
  <si>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</si>
  <si>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</si>
  <si>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</si>
  <si>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</si>
  <si>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</si>
  <si>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</si>
  <si>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</si>
  <si>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</si>
  <si>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</si>
  <si>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</si>
  <si>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</si>
  <si>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</si>
  <si>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</si>
  <si>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</si>
  <si>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</si>
  <si>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</si>
  <si>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</si>
  <si>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</si>
  <si>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</si>
  <si>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</si>
  <si>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</si>
  <si>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</si>
  <si>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</si>
  <si>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</si>
  <si>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</si>
  <si>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</si>
  <si>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</si>
  <si>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</si>
  <si>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</si>
  <si>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</si>
  <si>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</si>
  <si>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</si>
  <si>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</si>
  <si>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</si>
  <si>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</si>
  <si>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</si>
  <si>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</si>
  <si>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</si>
  <si>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</si>
  <si>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</si>
  <si>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</si>
  <si>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</si>
  <si>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</si>
  <si>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</si>
  <si>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</si>
  <si>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</si>
  <si>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</si>
  <si>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</si>
  <si>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</si>
  <si>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</si>
  <si>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</si>
  <si>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</si>
  <si>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</si>
  <si>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</si>
  <si>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</si>
  <si>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</si>
  <si>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</si>
  <si>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</si>
  <si>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</si>
  <si>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</si>
  <si>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</si>
  <si>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</si>
  <si>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</si>
  <si>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</si>
  <si>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</si>
  <si>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</si>
  <si>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</si>
  <si>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</si>
  <si>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</si>
  <si>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</si>
  <si>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</si>
  <si>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</si>
  <si>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</si>
  <si>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</si>
  <si>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</si>
  <si>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</si>
  <si>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</si>
  <si>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</si>
  <si>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</si>
  <si>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</si>
  <si>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</si>
  <si>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</si>
  <si>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</si>
  <si>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</si>
  <si>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</si>
  <si>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</si>
  <si>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</si>
  <si>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</si>
  <si>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</si>
  <si>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</si>
  <si>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</si>
  <si>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</si>
  <si>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</si>
  <si>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</si>
  <si>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</si>
  <si>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</si>
  <si>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</si>
  <si>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</si>
  <si>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</si>
  <si>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</si>
  <si>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</si>
  <si>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</si>
  <si>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</si>
  <si>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</si>
  <si>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</si>
  <si>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</si>
  <si>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</si>
  <si>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</si>
  <si>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</si>
  <si>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</si>
  <si>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</si>
  <si>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</si>
  <si>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</si>
  <si>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</si>
  <si>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</si>
  <si>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</si>
  <si>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</si>
  <si>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</si>
  <si>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</si>
  <si>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</si>
  <si>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</si>
  <si>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</si>
  <si>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</si>
  <si>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</si>
  <si>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</si>
  <si>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</si>
  <si>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</si>
  <si>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</si>
  <si>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</si>
  <si>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</si>
  <si>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</si>
  <si>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</si>
  <si>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</si>
  <si>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</si>
  <si>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</si>
  <si>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</si>
  <si>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</si>
  <si>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</si>
  <si>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</si>
  <si>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</si>
  <si>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</si>
  <si>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</si>
  <si>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</si>
  <si>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</si>
  <si>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</si>
  <si>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</si>
  <si>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</si>
  <si>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</si>
  <si>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</si>
  <si>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</si>
  <si>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</si>
  <si>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</si>
  <si>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</si>
  <si>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</si>
  <si>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</si>
  <si>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</si>
  <si>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</si>
  <si>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</si>
  <si>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</si>
  <si>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</si>
  <si>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</si>
  <si>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</si>
  <si>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</si>
  <si>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</si>
  <si>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</si>
  <si>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</si>
  <si>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</si>
  <si>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</si>
  <si>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</si>
  <si>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</si>
  <si>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</si>
  <si>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</si>
  <si>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</si>
  <si>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</si>
  <si>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</si>
  <si>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</si>
  <si>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</si>
  <si>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</si>
  <si>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</si>
  <si>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</si>
  <si>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</si>
  <si>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</si>
  <si>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</si>
  <si>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</si>
  <si>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</si>
  <si>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</si>
  <si>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</si>
  <si>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</si>
  <si>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</si>
  <si>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</si>
  <si>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</si>
  <si>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</si>
  <si>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</si>
  <si>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</si>
  <si>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</si>
  <si>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</si>
  <si>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</si>
  <si>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</si>
  <si>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</si>
  <si>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</si>
  <si>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</si>
  <si>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</si>
  <si>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</si>
  <si>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</si>
  <si>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</si>
  <si>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</si>
  <si>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</si>
  <si>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</si>
  <si>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</si>
  <si>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</si>
  <si>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</si>
  <si>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</si>
  <si>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</si>
  <si>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</si>
  <si>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</si>
  <si>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</si>
  <si>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</si>
  <si>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</si>
  <si>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</si>
  <si>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</si>
  <si>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</si>
  <si>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</si>
  <si>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</si>
  <si>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</si>
  <si>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</si>
  <si>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</si>
  <si>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</si>
  <si>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</si>
  <si>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</si>
  <si>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</si>
  <si>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</si>
  <si>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</si>
  <si>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</si>
  <si>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</si>
  <si>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</si>
  <si>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</si>
  <si>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</si>
  <si>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</si>
  <si>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</si>
  <si>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</si>
  <si>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</si>
  <si>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</si>
  <si>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</si>
  <si>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</si>
  <si>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</si>
  <si>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</si>
  <si>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</si>
  <si>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</si>
  <si>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</si>
  <si>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</si>
  <si>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</si>
  <si>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</si>
  <si>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</si>
  <si>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</si>
  <si>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</si>
  <si>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</si>
  <si>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</si>
  <si>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</si>
  <si>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</si>
  <si>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</si>
  <si>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</si>
  <si>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</si>
  <si>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</si>
  <si>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</si>
  <si>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</si>
  <si>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</si>
  <si>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</si>
  <si>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</si>
  <si>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</si>
  <si>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</si>
  <si>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</si>
  <si>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</si>
  <si>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</si>
  <si>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</si>
  <si>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</si>
  <si>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</si>
  <si>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</si>
  <si>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</si>
  <si>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</si>
  <si>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</si>
  <si>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</si>
  <si>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</si>
  <si>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</si>
  <si>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</si>
  <si>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</si>
  <si>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</si>
  <si>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</si>
  <si>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</si>
  <si>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</si>
  <si>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</si>
  <si>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</si>
  <si>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</si>
  <si>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</si>
  <si>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</si>
  <si>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</si>
  <si>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</si>
  <si>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</si>
  <si>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</si>
  <si>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</si>
  <si>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</si>
  <si>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</si>
  <si>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</si>
  <si>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</si>
  <si>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</si>
  <si>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</si>
  <si>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</si>
  <si>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</si>
  <si>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</si>
  <si>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</si>
  <si>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</si>
  <si>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</si>
  <si>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</si>
  <si>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</si>
  <si>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</si>
  <si>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</si>
  <si>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</si>
  <si>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</si>
  <si>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</si>
  <si>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</si>
  <si>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</si>
  <si>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</si>
  <si>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</si>
  <si>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</si>
  <si>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</si>
  <si>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</si>
  <si>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</si>
  <si>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</si>
  <si>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</si>
  <si>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</si>
  <si>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</si>
  <si>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</si>
  <si>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</si>
  <si>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</si>
  <si>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</si>
  <si>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</si>
  <si>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</si>
  <si>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</si>
  <si>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</si>
  <si>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</si>
  <si>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</si>
  <si>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</si>
  <si>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</si>
  <si>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</si>
  <si>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</si>
  <si>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</si>
  <si>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</si>
  <si>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</si>
  <si>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</si>
  <si>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</si>
  <si>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</si>
  <si>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</si>
  <si>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</si>
  <si>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</si>
  <si>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</si>
  <si>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</si>
  <si>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</si>
  <si>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</si>
  <si>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</si>
  <si>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</si>
  <si>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</si>
  <si>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</si>
  <si>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</si>
  <si>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</si>
  <si>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</si>
  <si>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</si>
  <si>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</si>
  <si>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</si>
  <si>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</si>
  <si>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</si>
  <si>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</si>
  <si>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</si>
  <si>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</si>
  <si>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</si>
  <si>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</si>
  <si>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</si>
  <si>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</si>
  <si>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</si>
  <si>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</si>
  <si>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</si>
  <si>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</si>
  <si>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</si>
  <si>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</si>
  <si>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</si>
  <si>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</si>
  <si>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</si>
  <si>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</si>
  <si>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</si>
  <si>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</si>
  <si>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</si>
  <si>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</si>
  <si>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</si>
  <si>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</si>
  <si>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</si>
  <si>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</si>
  <si>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</si>
  <si>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</si>
  <si>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</si>
  <si>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</si>
  <si>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</si>
  <si>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</si>
  <si>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</si>
  <si>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</si>
  <si>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</si>
  <si>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</si>
  <si>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</si>
  <si>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</si>
  <si>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</si>
  <si>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</si>
  <si>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</si>
  <si>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</si>
  <si>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</si>
  <si>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</si>
  <si>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</si>
  <si>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</si>
  <si>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</si>
  <si>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</si>
  <si>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</si>
  <si>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</si>
  <si>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</si>
  <si>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</si>
  <si>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</si>
  <si>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</si>
  <si>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</si>
  <si>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</si>
  <si>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</si>
  <si>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</si>
  <si>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</si>
  <si>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</si>
  <si>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</si>
  <si>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</si>
  <si>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</si>
  <si>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</si>
  <si>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</si>
  <si>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</si>
  <si>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</si>
  <si>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</si>
  <si>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</si>
  <si>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</si>
  <si>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</si>
  <si>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</si>
  <si>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</si>
  <si>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</si>
  <si>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</si>
  <si>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</si>
  <si>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</si>
  <si>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</si>
  <si>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</si>
  <si>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</si>
  <si>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</si>
  <si>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</si>
  <si>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</si>
  <si>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</si>
  <si>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</si>
  <si>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</si>
  <si>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</si>
  <si>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</si>
  <si>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</si>
  <si>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</si>
  <si>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</si>
  <si>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</si>
  <si>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</si>
  <si>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</si>
  <si>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</si>
  <si>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</si>
  <si>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</si>
  <si>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</si>
  <si>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</si>
  <si>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</si>
  <si>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</si>
  <si>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</si>
  <si>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</si>
  <si>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</si>
  <si>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</si>
  <si>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</si>
  <si>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</si>
  <si>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</si>
  <si>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</si>
  <si>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</si>
  <si>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</si>
  <si>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</si>
  <si>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</si>
  <si>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</si>
  <si>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</si>
  <si>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</si>
  <si>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</si>
  <si>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</si>
  <si>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</si>
  <si>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</si>
  <si>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</si>
  <si>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</si>
  <si>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</si>
  <si>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</si>
  <si>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</si>
  <si>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</si>
  <si>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</si>
  <si>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</si>
  <si>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</si>
  <si>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</si>
  <si>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</si>
  <si>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</si>
  <si>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</si>
  <si>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</si>
  <si>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</si>
  <si>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</si>
  <si>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</si>
  <si>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</si>
  <si>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</si>
  <si>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</si>
  <si>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</si>
  <si>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</si>
  <si>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</si>
  <si>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</si>
  <si>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</si>
  <si>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</si>
  <si>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</si>
  <si>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</si>
  <si>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</si>
  <si>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</si>
  <si>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</si>
  <si>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</si>
  <si>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</si>
  <si>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</si>
  <si>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</si>
  <si>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</si>
  <si>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</si>
  <si>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</si>
  <si>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</si>
  <si>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</si>
  <si>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</si>
  <si>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</si>
  <si>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</si>
  <si>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</si>
  <si>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</si>
  <si>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</si>
  <si>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</si>
  <si>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</si>
  <si>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</si>
  <si>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</si>
  <si>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</si>
  <si>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</si>
  <si>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</si>
  <si>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</si>
  <si>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</si>
  <si>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</si>
  <si>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</si>
  <si>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</si>
  <si>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</si>
  <si>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</si>
  <si>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</si>
  <si>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</si>
  <si>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</si>
  <si>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</si>
  <si>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</si>
  <si>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</si>
  <si>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</si>
  <si>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</si>
  <si>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</si>
  <si>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</si>
  <si>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</si>
  <si>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</si>
  <si>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</si>
  <si>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</si>
  <si>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</si>
  <si>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</si>
  <si>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</si>
  <si>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</si>
  <si>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</si>
  <si>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</si>
  <si>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</si>
  <si>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</si>
  <si>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</si>
  <si>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</si>
  <si>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</si>
  <si>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</si>
  <si>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</si>
  <si>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</si>
  <si>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</si>
  <si>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</si>
  <si>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</si>
  <si>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</si>
  <si>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</si>
  <si>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</si>
  <si>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</si>
  <si>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</si>
  <si>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</si>
  <si>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</si>
  <si>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</si>
  <si>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</si>
  <si>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</si>
  <si>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</si>
  <si>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</si>
  <si>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</si>
  <si>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</si>
  <si>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</si>
  <si>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</si>
  <si>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</si>
  <si>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</si>
  <si>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</si>
  <si>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</si>
  <si>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</si>
  <si>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</si>
  <si>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</si>
  <si>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</si>
  <si>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</si>
  <si>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</si>
  <si>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</si>
  <si>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</si>
  <si>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</si>
  <si>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</si>
  <si>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</si>
  <si>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</si>
  <si>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</si>
  <si>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</si>
  <si>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</si>
  <si>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</si>
  <si>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</si>
  <si>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</si>
  <si>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</si>
  <si>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</si>
  <si>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</si>
  <si>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</si>
  <si>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</si>
  <si>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</si>
  <si>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</si>
  <si>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</si>
  <si>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</si>
  <si>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</si>
  <si>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</si>
  <si>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</si>
  <si>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</si>
  <si>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</si>
  <si>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</si>
  <si>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</si>
  <si>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</si>
  <si>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</si>
  <si>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</si>
  <si>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</si>
  <si>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</si>
  <si>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</si>
  <si>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</si>
  <si>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</si>
  <si>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</si>
  <si>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</si>
  <si>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</si>
  <si>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</si>
  <si>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</si>
  <si>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</si>
  <si>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</si>
  <si>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</si>
  <si>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</si>
  <si>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</si>
  <si>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</si>
  <si>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</si>
  <si>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</si>
  <si>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</si>
  <si>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</si>
  <si>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</si>
  <si>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</si>
  <si>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</si>
  <si>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</si>
  <si>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</si>
  <si>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</si>
  <si>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</si>
  <si>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</si>
  <si>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</si>
  <si>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</si>
  <si>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</si>
  <si>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</si>
  <si>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</si>
  <si>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</si>
  <si>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</si>
  <si>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</si>
  <si>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</si>
  <si>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</si>
  <si>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</si>
  <si>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</si>
  <si>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</si>
  <si>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</si>
  <si>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</si>
  <si>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</si>
  <si>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</si>
  <si>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</si>
  <si>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</si>
  <si>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</si>
  <si>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</si>
  <si>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</si>
  <si>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</si>
  <si>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</si>
  <si>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</si>
  <si>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</si>
  <si>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</si>
  <si>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</si>
  <si>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</si>
  <si>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</si>
  <si>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</si>
  <si>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</si>
  <si>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</si>
  <si>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</si>
  <si>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</si>
  <si>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</si>
  <si>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</si>
  <si>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</si>
  <si>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</si>
  <si>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</si>
  <si>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</si>
  <si>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</si>
  <si>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</si>
  <si>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</si>
  <si>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</si>
  <si>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</si>
  <si>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</si>
  <si>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</si>
  <si>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</si>
  <si>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</si>
  <si>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</si>
  <si>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</si>
  <si>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</si>
  <si>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</si>
  <si>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</si>
  <si>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</si>
  <si>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</si>
  <si>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</si>
  <si>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</si>
  <si>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</si>
  <si>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</si>
  <si>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</si>
  <si>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</si>
  <si>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</si>
  <si>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</si>
  <si>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</si>
  <si>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</si>
  <si>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</si>
  <si>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</si>
  <si>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</si>
  <si>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</si>
  <si>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</si>
  <si>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</si>
  <si>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</si>
  <si>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</si>
  <si>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</si>
  <si>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</si>
  <si>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</si>
  <si>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</si>
  <si>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</si>
  <si>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</si>
  <si>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</si>
  <si>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</si>
  <si>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</si>
  <si>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</si>
  <si>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</si>
  <si>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</si>
  <si>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</si>
  <si>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</si>
  <si>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</si>
  <si>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</si>
  <si>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</si>
  <si>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</si>
  <si>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</si>
  <si>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</si>
  <si>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</si>
  <si>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</si>
  <si>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</si>
  <si>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</si>
  <si>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</si>
  <si>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</si>
  <si>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</si>
  <si>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</si>
  <si>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</si>
  <si>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</si>
  <si>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</si>
  <si>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</si>
  <si>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</si>
  <si>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</si>
  <si>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</si>
  <si>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</si>
  <si>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</si>
  <si>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</si>
  <si>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</si>
  <si>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</si>
  <si>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</si>
  <si>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</si>
  <si>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</si>
  <si>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</si>
  <si>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</si>
  <si>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</si>
  <si>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</si>
  <si>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</si>
  <si>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</si>
  <si>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</si>
  <si>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</si>
  <si>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</si>
  <si>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</si>
  <si>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</si>
  <si>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</si>
  <si>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</si>
  <si>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</si>
  <si>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</si>
  <si>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</si>
  <si>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</si>
  <si>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</si>
  <si>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</si>
  <si>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</si>
  <si>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</si>
  <si>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</si>
  <si>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</si>
  <si>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</si>
  <si>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</si>
  <si>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</si>
  <si>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</si>
  <si>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</si>
  <si>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</si>
  <si>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</si>
  <si>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</si>
  <si>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</si>
  <si>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</si>
  <si>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</si>
  <si>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</si>
  <si>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</si>
  <si>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</si>
  <si>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</si>
  <si>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</si>
  <si>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</si>
  <si>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</si>
  <si>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</si>
  <si>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</si>
  <si>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</si>
  <si>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</si>
  <si>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</si>
  <si>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</si>
  <si>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</si>
  <si>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</si>
  <si>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</si>
  <si>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</si>
  <si>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</si>
  <si>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</si>
  <si>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</si>
  <si>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</si>
  <si>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</si>
  <si>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</si>
  <si>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</si>
  <si>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</si>
  <si>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</si>
  <si>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</si>
  <si>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</si>
  <si>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</si>
  <si>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</si>
  <si>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</si>
  <si>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</si>
  <si>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</si>
  <si>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</si>
  <si>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</si>
  <si>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</si>
  <si>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</si>
  <si>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</si>
  <si>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</si>
  <si>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</si>
  <si>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</si>
  <si>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</si>
  <si>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</si>
  <si>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</si>
  <si>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</si>
  <si>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</si>
  <si>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</si>
  <si>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</si>
  <si>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</si>
  <si>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</si>
  <si>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</si>
  <si>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</si>
  <si>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</si>
  <si>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</si>
  <si>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</si>
  <si>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</si>
  <si>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</si>
  <si>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</si>
  <si>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</si>
  <si>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</si>
  <si>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</si>
  <si>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</si>
  <si>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</si>
  <si>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</si>
  <si>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</si>
  <si>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</si>
  <si>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</si>
  <si>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</si>
  <si>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</si>
  <si>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</si>
  <si>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</si>
  <si>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</si>
  <si>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</si>
  <si>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</si>
  <si>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</si>
  <si>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</si>
  <si>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</si>
  <si>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</si>
  <si>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</si>
  <si>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</si>
  <si>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</si>
  <si>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</si>
  <si>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</si>
  <si>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</si>
  <si>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</si>
  <si>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</si>
  <si>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</si>
  <si>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</si>
  <si>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</si>
  <si>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</si>
  <si>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</si>
  <si>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</si>
  <si>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</si>
  <si>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</si>
  <si>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</si>
  <si>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</si>
  <si>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</si>
  <si>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</si>
  <si>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</si>
  <si>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</si>
  <si>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</si>
  <si>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</si>
  <si>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</si>
  <si>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</si>
  <si>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</si>
  <si>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</si>
  <si>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</si>
  <si>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</si>
  <si>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</si>
  <si>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</si>
  <si>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</si>
  <si>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</si>
  <si>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</si>
  <si>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</si>
  <si>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</si>
  <si>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</si>
  <si>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</si>
  <si>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</si>
  <si>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</si>
  <si>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</si>
  <si>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</si>
  <si>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</si>
  <si>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</si>
  <si>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</si>
  <si>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</si>
  <si>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</si>
  <si>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</si>
  <si>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</si>
  <si>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</si>
  <si>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</si>
  <si>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</si>
  <si>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</si>
  <si>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</si>
  <si>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</si>
  <si>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</si>
  <si>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</si>
  <si>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</si>
  <si>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</si>
  <si>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</si>
  <si>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</si>
  <si>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</si>
  <si>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</si>
  <si>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</si>
  <si>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</si>
  <si>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</si>
  <si>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</si>
  <si>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</si>
  <si>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</si>
  <si>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</si>
  <si>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</si>
  <si>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</si>
  <si>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</si>
  <si>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</si>
  <si>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</si>
  <si>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</si>
  <si>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</si>
  <si>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</si>
  <si>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</si>
  <si>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</si>
  <si>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</si>
  <si>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</si>
  <si>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</si>
  <si>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</si>
  <si>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</si>
  <si>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</si>
  <si>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</si>
  <si>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</si>
  <si>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</si>
  <si>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</si>
  <si>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</si>
  <si>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</si>
  <si>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</si>
  <si>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</si>
  <si>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</si>
  <si>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</si>
  <si>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</si>
  <si>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</si>
  <si>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</si>
  <si>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</si>
  <si>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</si>
  <si>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</si>
  <si>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</si>
  <si>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</si>
  <si>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</si>
  <si>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</si>
  <si>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</si>
  <si>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</si>
  <si>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</si>
  <si>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</si>
  <si>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</si>
  <si>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</si>
  <si>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</si>
  <si>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</si>
  <si>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</si>
  <si>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</si>
  <si>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</si>
  <si>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</si>
  <si>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</si>
  <si>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</si>
  <si>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</si>
  <si>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</si>
  <si>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</si>
  <si>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</si>
  <si>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</si>
  <si>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</si>
  <si>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</si>
  <si>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</si>
  <si>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</si>
  <si>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</si>
  <si>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</si>
  <si>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</si>
  <si>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</si>
  <si>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</si>
  <si>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</si>
  <si>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</si>
  <si>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</si>
  <si>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</si>
  <si>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</si>
  <si>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</si>
  <si>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</si>
  <si>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</si>
  <si>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</si>
  <si>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</si>
  <si>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</si>
  <si>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</si>
  <si>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</si>
  <si>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</si>
  <si>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</si>
  <si>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</si>
  <si>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</si>
  <si>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</si>
  <si>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</si>
  <si>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</si>
  <si>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</si>
  <si>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</si>
  <si>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</si>
  <si>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</si>
  <si>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</si>
  <si>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</si>
  <si>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</si>
  <si>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</si>
  <si>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</si>
  <si>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</si>
  <si>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</si>
  <si>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</si>
  <si>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</si>
  <si>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</si>
  <si>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</si>
  <si>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</si>
  <si>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</si>
  <si>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</si>
  <si>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</si>
  <si>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</si>
  <si>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</si>
  <si>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</si>
  <si>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</si>
  <si>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</si>
  <si>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</si>
  <si>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</si>
  <si>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</si>
  <si>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</si>
  <si>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</si>
  <si>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</si>
  <si>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</si>
  <si>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</si>
  <si>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</si>
  <si>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</si>
  <si>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</si>
  <si>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</si>
  <si>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</si>
  <si>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</si>
  <si>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</si>
  <si>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</si>
  <si>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</si>
  <si>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</si>
  <si>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</si>
  <si>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</si>
  <si>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</si>
  <si>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</si>
  <si>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</si>
  <si>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</si>
  <si>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</si>
  <si>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</si>
  <si>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</si>
  <si>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</si>
  <si>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</si>
  <si>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</si>
  <si>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</si>
  <si>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</si>
  <si>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</si>
  <si>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</si>
  <si>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</si>
  <si>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</si>
  <si>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</si>
  <si>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</si>
  <si>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</si>
  <si>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</si>
  <si>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</si>
  <si>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</si>
  <si>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</si>
  <si>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</si>
  <si>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</si>
  <si>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</si>
  <si>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</si>
  <si>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</si>
  <si>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</si>
  <si>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</si>
  <si>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</si>
  <si>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</si>
  <si>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</si>
  <si>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</si>
  <si>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</si>
  <si>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</si>
  <si>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</si>
  <si>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</si>
  <si>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</si>
  <si>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</si>
  <si>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</si>
  <si>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</si>
  <si>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</si>
  <si>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</si>
  <si>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</si>
  <si>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</si>
  <si>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</si>
  <si>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</si>
  <si>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</si>
  <si>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</si>
  <si>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</si>
  <si>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</si>
  <si>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</si>
  <si>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</si>
  <si>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</si>
  <si>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</si>
  <si>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</si>
  <si>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</si>
  <si>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</si>
  <si>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</si>
  <si>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</si>
  <si>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</si>
  <si>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</si>
  <si>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</si>
  <si>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</si>
  <si>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</si>
  <si>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</si>
  <si>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</si>
  <si>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</si>
  <si>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</si>
  <si>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</si>
  <si>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</si>
  <si>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</si>
  <si>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</si>
  <si>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</si>
  <si>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</si>
  <si>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</si>
  <si>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</si>
  <si>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</si>
  <si>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</si>
  <si>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</si>
  <si>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</si>
  <si>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</si>
  <si>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</si>
  <si>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</si>
  <si>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</si>
  <si>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</si>
  <si>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</si>
  <si>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</si>
  <si>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</si>
  <si>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</si>
  <si>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</si>
  <si>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</si>
  <si>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</si>
  <si>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</si>
  <si>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</si>
  <si>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</si>
  <si>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</si>
  <si>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</si>
  <si>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</si>
  <si>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</si>
  <si>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</si>
  <si>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</si>
  <si>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</si>
  <si>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</si>
  <si>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</si>
  <si>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</si>
  <si>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</si>
  <si>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</si>
  <si>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528 MILLER</t>
  </si>
  <si>
    <t xml:space="preserve">BEECHER  </t>
  </si>
  <si>
    <t>K. BRADLEY COX</t>
  </si>
  <si>
    <t>(708)946-2266</t>
  </si>
  <si>
    <t>JILL GASSENSMITH</t>
  </si>
  <si>
    <t>GO REFUNDING BONDS SERIES 2012</t>
  </si>
  <si>
    <t>CAPITAL LEASE BUS #19</t>
  </si>
  <si>
    <t>CAPITAL LEASE BUS #25</t>
  </si>
  <si>
    <t>CAPITAL LEASE BUS #26</t>
  </si>
  <si>
    <t>CAPITAL LEASE BUS #27</t>
  </si>
  <si>
    <t>ED-FISCAL SERVICES-PURCHASED</t>
  </si>
  <si>
    <t>US BANK</t>
  </si>
  <si>
    <t>SOWIC</t>
  </si>
  <si>
    <t>x</t>
  </si>
  <si>
    <t xml:space="preserve">   Beecher CUSD 200U </t>
  </si>
  <si>
    <t xml:space="preserve">56099200U26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</si>
</sst>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5B6DC8BE-DEF6-4662-AF33-2C785B70C42D}"/>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930852</xdr:colOff>
          <xdr:row>12</xdr:row>
          <xdr:rowOff>9525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9">
        <f>+'AFR20'!E4</f>
        <v>44119</v>
      </c>
      <c r="C1" s="2189"/>
      <c r="D1" s="2190"/>
      <c r="I1" s="2148" t="s">
        <v>402</v>
      </c>
      <c r="J1" s="2149"/>
      <c r="K1" s="2149"/>
      <c r="L1" s="2149"/>
      <c r="M1" s="2149"/>
      <c r="N1" s="2149"/>
      <c r="O1" s="2149"/>
      <c r="P1" s="2149"/>
      <c r="Q1" s="2149"/>
      <c r="R1" s="2149"/>
      <c r="S1" s="2149"/>
    </row>
    <row r="2" spans="1:32" ht="12" customHeight="1" x14ac:dyDescent="0.2">
      <c r="A2" s="1889" t="str">
        <f>"Due to ISBE on "</f>
        <v xml:space="preserve">Due to ISBE on </v>
      </c>
      <c r="B2" s="2191">
        <f>+'AFR20'!F4</f>
        <v>44151</v>
      </c>
      <c r="C2" s="2191"/>
      <c r="D2" s="2192"/>
      <c r="I2" s="2150" t="s">
        <v>2006</v>
      </c>
      <c r="J2" s="2149"/>
      <c r="K2" s="2149"/>
      <c r="L2" s="2149"/>
      <c r="M2" s="2149"/>
      <c r="N2" s="2149"/>
      <c r="O2" s="2149"/>
      <c r="P2" s="2149"/>
      <c r="Q2" s="2149"/>
      <c r="R2" s="2149"/>
      <c r="S2" s="2149"/>
    </row>
    <row r="3" spans="1:32" ht="12" customHeight="1" x14ac:dyDescent="0.2">
      <c r="A3" s="1892" t="str">
        <f>"SD/JA"&amp;MID('AFR20'!E2,3,2)</f>
        <v>SD/JA20</v>
      </c>
      <c r="B3" s="151"/>
      <c r="C3" s="151"/>
      <c r="D3" s="152"/>
      <c r="I3" s="2150" t="s">
        <v>52</v>
      </c>
      <c r="J3" s="2149"/>
      <c r="K3" s="2149"/>
      <c r="L3" s="2149"/>
      <c r="M3" s="2149"/>
      <c r="N3" s="2149"/>
      <c r="O3" s="2149"/>
      <c r="P3" s="2149"/>
      <c r="Q3" s="2149"/>
      <c r="R3" s="2149"/>
      <c r="S3" s="2149"/>
    </row>
    <row r="4" spans="1:32" ht="12" customHeight="1" x14ac:dyDescent="0.2">
      <c r="A4" s="37"/>
      <c r="I4" s="2150" t="s">
        <v>521</v>
      </c>
      <c r="J4" s="2149"/>
      <c r="K4" s="2149"/>
      <c r="L4" s="2149"/>
      <c r="M4" s="2149"/>
      <c r="N4" s="2149"/>
      <c r="O4" s="2149"/>
      <c r="P4" s="2149"/>
      <c r="Q4" s="2149"/>
      <c r="R4" s="2149"/>
      <c r="S4" s="2149"/>
    </row>
    <row r="5" spans="1:32" ht="14.1" customHeight="1" x14ac:dyDescent="0.2">
      <c r="B5" s="101" t="s">
        <v>2065</v>
      </c>
      <c r="C5" s="26" t="s">
        <v>904</v>
      </c>
      <c r="D5" s="81"/>
      <c r="E5" s="81"/>
      <c r="H5" s="38"/>
      <c r="I5" s="2158" t="s">
        <v>675</v>
      </c>
      <c r="J5" s="2157"/>
      <c r="K5" s="2157"/>
      <c r="L5" s="2157"/>
      <c r="M5" s="2157"/>
      <c r="N5" s="2157"/>
      <c r="O5" s="2157"/>
      <c r="P5" s="2157"/>
      <c r="Q5" s="2157"/>
      <c r="R5" s="2157"/>
      <c r="S5" s="2157"/>
      <c r="AF5" s="1885"/>
    </row>
    <row r="6" spans="1:32" ht="14.1" customHeight="1" x14ac:dyDescent="0.2">
      <c r="B6" s="101"/>
      <c r="C6" s="26" t="s">
        <v>905</v>
      </c>
      <c r="D6" s="81"/>
      <c r="E6" s="81"/>
      <c r="I6" s="2156" t="s">
        <v>877</v>
      </c>
      <c r="J6" s="2157"/>
      <c r="K6" s="2157"/>
      <c r="L6" s="2157"/>
      <c r="M6" s="2157"/>
      <c r="N6" s="2157"/>
      <c r="O6" s="2157"/>
      <c r="P6" s="2157"/>
      <c r="Q6" s="2157"/>
      <c r="R6" s="2157"/>
      <c r="S6" s="2157"/>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669</v>
      </c>
      <c r="J9" s="2154"/>
      <c r="K9" s="2154"/>
      <c r="L9" s="2154"/>
      <c r="M9" s="2154"/>
      <c r="N9" s="2154"/>
      <c r="O9" s="2154"/>
      <c r="P9" s="2154"/>
      <c r="Q9" s="2154"/>
      <c r="R9" s="2154"/>
      <c r="S9" s="2155"/>
      <c r="T9" s="2206" t="s">
        <v>530</v>
      </c>
      <c r="U9" s="2207"/>
      <c r="V9" s="2207"/>
      <c r="W9" s="2207"/>
      <c r="X9" s="2207"/>
      <c r="Y9" s="2207"/>
      <c r="Z9" s="2207"/>
      <c r="AA9" s="2208"/>
    </row>
    <row r="10" spans="1:32" ht="13.5" customHeight="1" x14ac:dyDescent="0.2">
      <c r="A10" s="2213" t="s">
        <v>670</v>
      </c>
      <c r="B10" s="2214"/>
      <c r="C10" s="2214"/>
      <c r="D10" s="2214"/>
      <c r="E10" s="2214"/>
      <c r="F10" s="2214"/>
      <c r="G10" s="2214"/>
      <c r="H10" s="2215"/>
      <c r="I10" s="29"/>
      <c r="J10" s="30"/>
      <c r="K10" s="28"/>
      <c r="R10" s="30"/>
      <c r="S10" s="30"/>
      <c r="T10" s="2209"/>
      <c r="U10" s="2157"/>
      <c r="V10" s="2157"/>
      <c r="W10" s="2157"/>
      <c r="X10" s="2157"/>
      <c r="Y10" s="2157"/>
      <c r="Z10" s="2157"/>
      <c r="AA10" s="2163"/>
    </row>
    <row r="11" spans="1:32" ht="14.25" customHeight="1" x14ac:dyDescent="0.2">
      <c r="A11" s="2216" t="s">
        <v>949</v>
      </c>
      <c r="B11" s="2217"/>
      <c r="C11" s="2217"/>
      <c r="D11" s="2217"/>
      <c r="E11" s="2217"/>
      <c r="F11" s="2217"/>
      <c r="G11" s="2217"/>
      <c r="H11" s="2218"/>
      <c r="I11" s="27"/>
      <c r="J11" s="71"/>
      <c r="K11" s="27"/>
      <c r="O11" s="144" t="s">
        <v>2065</v>
      </c>
      <c r="P11" s="97" t="s">
        <v>199</v>
      </c>
      <c r="Q11" s="30"/>
      <c r="R11" s="28"/>
      <c r="S11" s="27"/>
      <c r="T11" s="2210"/>
      <c r="U11" s="2211"/>
      <c r="V11" s="2211"/>
      <c r="W11" s="2211"/>
      <c r="X11" s="2211"/>
      <c r="Y11" s="2211"/>
      <c r="Z11" s="2211"/>
      <c r="AA11" s="221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9" t="s">
        <v>2082</v>
      </c>
      <c r="B13" s="2170"/>
      <c r="C13" s="2170"/>
      <c r="D13" s="2170"/>
      <c r="E13" s="2170"/>
      <c r="F13" s="2170"/>
      <c r="G13" s="2170"/>
      <c r="H13" s="2171"/>
      <c r="I13" s="31"/>
      <c r="J13" s="30"/>
      <c r="K13" s="28"/>
      <c r="L13" s="30"/>
      <c r="M13" s="30"/>
      <c r="N13" s="30"/>
      <c r="O13" s="30"/>
      <c r="P13" s="30"/>
      <c r="Q13" s="30"/>
      <c r="R13" s="30"/>
      <c r="S13" s="30"/>
      <c r="T13" s="2175" t="s">
        <v>2021</v>
      </c>
      <c r="U13" s="2176"/>
      <c r="V13" s="2176"/>
      <c r="W13" s="2176"/>
      <c r="X13" s="2176"/>
      <c r="Y13" s="2177"/>
      <c r="Z13" s="2177"/>
      <c r="AA13" s="217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2" t="s">
        <v>2066</v>
      </c>
      <c r="B15" s="2173"/>
      <c r="C15" s="2173"/>
      <c r="D15" s="2173"/>
      <c r="E15" s="2173"/>
      <c r="F15" s="2173"/>
      <c r="G15" s="2173"/>
      <c r="H15" s="2174"/>
      <c r="T15" s="2179" t="s">
        <v>2071</v>
      </c>
      <c r="U15" s="2136"/>
      <c r="V15" s="2136"/>
      <c r="W15" s="2136"/>
      <c r="X15" s="2136"/>
      <c r="Y15" s="2180"/>
      <c r="Z15" s="2180"/>
      <c r="AA15" s="218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2" t="s">
        <v>2081</v>
      </c>
      <c r="B17" s="2143"/>
      <c r="C17" s="2143"/>
      <c r="D17" s="2143"/>
      <c r="E17" s="2143"/>
      <c r="F17" s="2143"/>
      <c r="G17" s="2143"/>
      <c r="H17" s="2168"/>
      <c r="T17" s="2186" t="s">
        <v>2022</v>
      </c>
      <c r="U17" s="2187"/>
      <c r="V17" s="2187"/>
      <c r="W17" s="2187"/>
      <c r="X17" s="2187"/>
      <c r="Y17" s="2187"/>
      <c r="Z17" s="2187"/>
      <c r="AA17" s="2188"/>
    </row>
    <row r="18" spans="1:27" ht="13.5" customHeight="1" x14ac:dyDescent="0.2">
      <c r="A18" s="82" t="s">
        <v>527</v>
      </c>
      <c r="B18" s="73"/>
      <c r="C18" s="69"/>
      <c r="D18" s="73"/>
      <c r="E18" s="73"/>
      <c r="F18" s="73"/>
      <c r="G18" s="73"/>
      <c r="H18" s="53"/>
      <c r="I18" s="216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172" t="s">
        <v>2067</v>
      </c>
      <c r="B19" s="2128"/>
      <c r="C19" s="2128"/>
      <c r="D19" s="2128"/>
      <c r="E19" s="2128"/>
      <c r="F19" s="2128"/>
      <c r="G19" s="2128"/>
      <c r="H19" s="2108"/>
      <c r="I19" s="30"/>
      <c r="J19" s="96"/>
      <c r="K19" s="40"/>
      <c r="L19" s="38"/>
      <c r="M19" s="109" t="s">
        <v>312</v>
      </c>
      <c r="P19" s="27"/>
      <c r="Q19" s="27"/>
      <c r="R19" s="27"/>
      <c r="S19" s="31"/>
      <c r="T19" s="2172" t="s">
        <v>2023</v>
      </c>
      <c r="U19" s="2107"/>
      <c r="V19" s="2107"/>
      <c r="W19" s="2108"/>
      <c r="X19" s="2184" t="s">
        <v>2024</v>
      </c>
      <c r="Y19" s="2185"/>
      <c r="Z19" s="2182">
        <v>60435</v>
      </c>
      <c r="AA19" s="21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2068</v>
      </c>
      <c r="B21" s="2107"/>
      <c r="C21" s="2107"/>
      <c r="D21" s="2107"/>
      <c r="E21" s="2107"/>
      <c r="F21" s="2107"/>
      <c r="G21" s="2107"/>
      <c r="H21" s="2108"/>
      <c r="I21" s="2162" t="s">
        <v>673</v>
      </c>
      <c r="J21" s="2157"/>
      <c r="K21" s="2157"/>
      <c r="L21" s="2157"/>
      <c r="M21" s="2157"/>
      <c r="N21" s="2157"/>
      <c r="O21" s="2157"/>
      <c r="P21" s="2157"/>
      <c r="Q21" s="2157"/>
      <c r="R21" s="2157"/>
      <c r="S21" s="2163"/>
      <c r="T21" s="2197" t="s">
        <v>2025</v>
      </c>
      <c r="U21" s="2198"/>
      <c r="V21" s="2198"/>
      <c r="W21" s="2198"/>
      <c r="X21" s="2203" t="s">
        <v>2026</v>
      </c>
      <c r="Y21" s="2204"/>
      <c r="Z21" s="2204"/>
      <c r="AA21" s="2205"/>
    </row>
    <row r="22" spans="1:27" ht="13.5" customHeight="1" x14ac:dyDescent="0.2">
      <c r="A22" s="84" t="s">
        <v>528</v>
      </c>
      <c r="B22" s="56"/>
      <c r="C22" s="56"/>
      <c r="D22" s="56"/>
      <c r="E22" s="56"/>
      <c r="F22" s="56"/>
      <c r="G22" s="56"/>
      <c r="H22" s="57"/>
      <c r="I22" s="2164" t="s">
        <v>1415</v>
      </c>
      <c r="J22" s="2165"/>
      <c r="K22" s="2165"/>
      <c r="L22" s="2165"/>
      <c r="M22" s="2165"/>
      <c r="N22" s="2165"/>
      <c r="O22" s="2165"/>
      <c r="P22" s="2165"/>
      <c r="Q22" s="2165"/>
      <c r="R22" s="2165"/>
      <c r="S22" s="2166"/>
      <c r="T22" s="82" t="s">
        <v>1502</v>
      </c>
      <c r="U22" s="48"/>
      <c r="V22" s="69"/>
      <c r="W22" s="48"/>
      <c r="X22" s="155" t="s">
        <v>1309</v>
      </c>
      <c r="Z22" s="43"/>
      <c r="AA22" s="44"/>
    </row>
    <row r="23" spans="1:27" ht="13.5" customHeight="1" x14ac:dyDescent="0.2">
      <c r="A23" s="2159"/>
      <c r="B23" s="2160"/>
      <c r="C23" s="2160"/>
      <c r="D23" s="2160"/>
      <c r="E23" s="2160"/>
      <c r="F23" s="2160"/>
      <c r="G23" s="2160"/>
      <c r="H23" s="2161"/>
      <c r="T23" s="2142" t="s">
        <v>2027</v>
      </c>
      <c r="U23" s="2196"/>
      <c r="V23" s="2196"/>
      <c r="W23" s="2196"/>
      <c r="X23" s="2200">
        <v>44530</v>
      </c>
      <c r="Y23" s="2201"/>
      <c r="Z23" s="2201"/>
      <c r="AA23" s="2202"/>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2019-2020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106">
        <v>60401</v>
      </c>
      <c r="B25" s="2107"/>
      <c r="C25" s="2107"/>
      <c r="D25" s="2107"/>
      <c r="E25" s="2107"/>
      <c r="F25" s="2107"/>
      <c r="G25" s="2107"/>
      <c r="H25" s="2108"/>
      <c r="I25" s="110"/>
      <c r="J25" s="2131"/>
      <c r="K25" s="2131"/>
      <c r="L25" s="2131"/>
      <c r="M25" s="2131"/>
      <c r="N25" s="2131"/>
      <c r="O25" s="2131"/>
      <c r="P25" s="2131"/>
      <c r="Q25" s="2131"/>
      <c r="R25" s="2131"/>
      <c r="S25" s="2132"/>
      <c r="T25" s="2193"/>
      <c r="U25" s="2194"/>
      <c r="V25" s="2194"/>
      <c r="W25" s="2194"/>
      <c r="X25" s="2194"/>
      <c r="Y25" s="2194"/>
      <c r="Z25" s="2194"/>
      <c r="AA25" s="21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7" t="s">
        <v>1497</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2065</v>
      </c>
      <c r="M29" s="40" t="s">
        <v>99</v>
      </c>
      <c r="N29" s="32" t="s">
        <v>1509</v>
      </c>
      <c r="O29" s="32"/>
      <c r="P29" s="32"/>
      <c r="Q29" s="32"/>
      <c r="R29" s="32"/>
      <c r="S29" s="120"/>
      <c r="T29" s="6"/>
      <c r="U29" s="6"/>
      <c r="V29" s="6"/>
      <c r="W29" s="6"/>
      <c r="X29" s="6"/>
      <c r="Y29" s="6"/>
      <c r="Z29" s="6"/>
      <c r="AA29" s="129"/>
    </row>
    <row r="30" spans="1:27" ht="13.5" customHeight="1" x14ac:dyDescent="0.2">
      <c r="A30" s="149"/>
      <c r="B30" s="133" t="s">
        <v>2065</v>
      </c>
      <c r="C30" s="121" t="s">
        <v>1156</v>
      </c>
      <c r="D30" s="28"/>
      <c r="E30" s="28"/>
      <c r="F30" s="136"/>
      <c r="G30" s="111"/>
      <c r="H30" s="111"/>
      <c r="I30" s="51"/>
      <c r="J30" s="99"/>
      <c r="K30" s="28" t="s">
        <v>572</v>
      </c>
      <c r="L30" s="144" t="s">
        <v>2065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2065</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2" t="s">
        <v>2069</v>
      </c>
      <c r="B38" s="2143"/>
      <c r="C38" s="2143"/>
      <c r="D38" s="2143"/>
      <c r="E38" s="2143"/>
      <c r="F38" s="2107"/>
      <c r="G38" s="2107"/>
      <c r="H38" s="2108"/>
      <c r="I38" s="2135"/>
      <c r="J38" s="2136"/>
      <c r="K38" s="2136"/>
      <c r="L38" s="2136"/>
      <c r="M38" s="2136"/>
      <c r="N38" s="2136"/>
      <c r="O38" s="2136"/>
      <c r="P38" s="2137"/>
      <c r="Q38" s="2137"/>
      <c r="R38" s="2137"/>
      <c r="S38" s="2138"/>
      <c r="T38" s="2179"/>
      <c r="U38" s="2136"/>
      <c r="V38" s="2136"/>
      <c r="W38" s="2136"/>
      <c r="X38" s="2137"/>
      <c r="Y38" s="2137"/>
      <c r="Z38" s="2137"/>
      <c r="AA38" s="2138"/>
    </row>
    <row r="39" spans="1:27" ht="12" customHeight="1" x14ac:dyDescent="0.2">
      <c r="A39" s="2112" t="s">
        <v>528</v>
      </c>
      <c r="B39" s="2113"/>
      <c r="C39" s="69"/>
      <c r="D39" s="66"/>
      <c r="E39" s="66"/>
      <c r="F39" s="76"/>
      <c r="G39" s="66"/>
      <c r="H39" s="53"/>
      <c r="I39" s="2112" t="s">
        <v>528</v>
      </c>
      <c r="J39" s="2113"/>
      <c r="K39" s="2113"/>
      <c r="L39" s="2113"/>
      <c r="M39" s="2113"/>
      <c r="N39" s="64"/>
      <c r="O39" s="69"/>
      <c r="P39" s="69"/>
      <c r="Q39" s="75"/>
      <c r="R39" s="69"/>
      <c r="S39" s="53"/>
      <c r="T39" s="69" t="s">
        <v>528</v>
      </c>
      <c r="U39" s="48"/>
      <c r="V39" s="69"/>
      <c r="W39" s="47"/>
      <c r="X39" s="75"/>
      <c r="Y39" s="43"/>
      <c r="Z39" s="43"/>
      <c r="AA39" s="44"/>
    </row>
    <row r="40" spans="1:27" ht="13.5" customHeight="1" x14ac:dyDescent="0.2">
      <c r="A40" s="2120"/>
      <c r="B40" s="2121"/>
      <c r="C40" s="2122"/>
      <c r="D40" s="2122"/>
      <c r="E40" s="2122"/>
      <c r="F40" s="2123"/>
      <c r="G40" s="2123"/>
      <c r="H40" s="2124"/>
      <c r="I40" s="2145"/>
      <c r="J40" s="2146"/>
      <c r="K40" s="2146"/>
      <c r="L40" s="2146"/>
      <c r="M40" s="2146"/>
      <c r="N40" s="2146"/>
      <c r="O40" s="2146"/>
      <c r="P40" s="2146"/>
      <c r="Q40" s="2146"/>
      <c r="R40" s="2146"/>
      <c r="S40" s="2147"/>
      <c r="T40" s="2145"/>
      <c r="U40" s="2199"/>
      <c r="V40" s="2146"/>
      <c r="W40" s="2146"/>
      <c r="X40" s="2146"/>
      <c r="Y40" s="2146"/>
      <c r="Z40" s="2146"/>
      <c r="AA40" s="214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2070</v>
      </c>
      <c r="B42" s="2126"/>
      <c r="C42" s="2127"/>
      <c r="D42" s="2125"/>
      <c r="E42" s="2126"/>
      <c r="F42" s="2126"/>
      <c r="G42" s="2126"/>
      <c r="H42" s="2127"/>
      <c r="I42" s="2109"/>
      <c r="J42" s="2110"/>
      <c r="K42" s="2110"/>
      <c r="L42" s="2110"/>
      <c r="M42" s="2110"/>
      <c r="N42" s="2110"/>
      <c r="O42" s="2111"/>
      <c r="P42" s="2144"/>
      <c r="Q42" s="2110"/>
      <c r="R42" s="2110"/>
      <c r="S42" s="2111"/>
      <c r="T42" s="2109"/>
      <c r="U42" s="2110"/>
      <c r="V42" s="2110"/>
      <c r="W42" s="2111"/>
      <c r="X42" s="2144"/>
      <c r="Y42" s="2110"/>
      <c r="Z42" s="2110"/>
      <c r="AA42" s="21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14"/>
      <c r="J44" s="2115"/>
      <c r="K44" s="2115"/>
      <c r="L44" s="2115"/>
      <c r="M44" s="2115"/>
      <c r="N44" s="2115"/>
      <c r="O44" s="2115"/>
      <c r="P44" s="2115"/>
      <c r="Q44" s="2115"/>
      <c r="R44" s="2115"/>
      <c r="S44" s="2116"/>
      <c r="T44" s="2114"/>
      <c r="U44" s="2133"/>
      <c r="V44" s="2133"/>
      <c r="W44" s="2133"/>
      <c r="X44" s="2133"/>
      <c r="Y44" s="2133"/>
      <c r="Z44" s="2115"/>
      <c r="AA44" s="211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34" sqref="C3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5501870</v>
      </c>
      <c r="C4" s="1772">
        <v>2921682</v>
      </c>
      <c r="D4" s="1773">
        <f>B4-C4</f>
        <v>2580188</v>
      </c>
      <c r="E4" s="1772">
        <v>5898016</v>
      </c>
      <c r="F4" s="1773">
        <f>E4-C4</f>
        <v>2976334</v>
      </c>
    </row>
    <row r="5" spans="1:8" ht="13.7" customHeight="1" x14ac:dyDescent="0.2">
      <c r="A5" s="579" t="s">
        <v>865</v>
      </c>
      <c r="B5" s="1774">
        <f>'Revenues 9-14'!D5</f>
        <v>1116991</v>
      </c>
      <c r="C5" s="1714">
        <v>569761</v>
      </c>
      <c r="D5" s="1775">
        <f t="shared" ref="D5:D18" si="0">B5-C5</f>
        <v>547230</v>
      </c>
      <c r="E5" s="1714">
        <v>1150180</v>
      </c>
      <c r="F5" s="1775">
        <f>E5-C5</f>
        <v>580419</v>
      </c>
    </row>
    <row r="6" spans="1:8" ht="13.7" customHeight="1" x14ac:dyDescent="0.2">
      <c r="A6" s="579" t="s">
        <v>408</v>
      </c>
      <c r="B6" s="1774">
        <f>'Revenues 9-14'!E5</f>
        <v>2024951</v>
      </c>
      <c r="C6" s="1714">
        <v>1048019</v>
      </c>
      <c r="D6" s="1775">
        <f t="shared" si="0"/>
        <v>976932</v>
      </c>
      <c r="E6" s="1714">
        <v>2115641</v>
      </c>
      <c r="F6" s="1775">
        <f t="shared" ref="F6:F18" si="1">E6-C6</f>
        <v>1067622</v>
      </c>
    </row>
    <row r="7" spans="1:8" ht="13.7" customHeight="1" x14ac:dyDescent="0.2">
      <c r="A7" s="579" t="s">
        <v>154</v>
      </c>
      <c r="B7" s="1774">
        <f>'Revenues 9-14'!F5</f>
        <v>608745</v>
      </c>
      <c r="C7" s="1714">
        <v>325589</v>
      </c>
      <c r="D7" s="1775">
        <f t="shared" si="0"/>
        <v>283156</v>
      </c>
      <c r="E7" s="1714">
        <v>657269</v>
      </c>
      <c r="F7" s="1775">
        <f t="shared" si="1"/>
        <v>331680</v>
      </c>
    </row>
    <row r="8" spans="1:8" ht="13.7" customHeight="1" x14ac:dyDescent="0.2">
      <c r="A8" s="579" t="s">
        <v>1171</v>
      </c>
      <c r="B8" s="1774">
        <f>'Revenues 9-14'!G5</f>
        <v>182891</v>
      </c>
      <c r="C8" s="1714">
        <v>122086</v>
      </c>
      <c r="D8" s="1775">
        <f t="shared" si="0"/>
        <v>60805</v>
      </c>
      <c r="E8" s="1714">
        <v>246455</v>
      </c>
      <c r="F8" s="1775">
        <f t="shared" si="1"/>
        <v>124369</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77811</v>
      </c>
      <c r="C10" s="1714">
        <v>40668</v>
      </c>
      <c r="D10" s="1775">
        <f t="shared" si="0"/>
        <v>37143</v>
      </c>
      <c r="E10" s="1714">
        <v>82097</v>
      </c>
      <c r="F10" s="1775">
        <f t="shared" si="1"/>
        <v>41429</v>
      </c>
    </row>
    <row r="11" spans="1:8" x14ac:dyDescent="0.2">
      <c r="A11" s="579" t="s">
        <v>406</v>
      </c>
      <c r="B11" s="1774">
        <f>'Revenues 9-14'!J5</f>
        <v>51067</v>
      </c>
      <c r="C11" s="1714"/>
      <c r="D11" s="1775">
        <f t="shared" si="0"/>
        <v>51067</v>
      </c>
      <c r="E11" s="1714"/>
      <c r="F11" s="1775">
        <f t="shared" si="1"/>
        <v>0</v>
      </c>
    </row>
    <row r="12" spans="1:8" ht="13.7" customHeight="1" x14ac:dyDescent="0.2">
      <c r="A12" s="579" t="s">
        <v>156</v>
      </c>
      <c r="B12" s="1774">
        <f>'Revenues 9-14'!K5</f>
        <v>116826</v>
      </c>
      <c r="C12" s="1714">
        <v>81336</v>
      </c>
      <c r="D12" s="1775">
        <f t="shared" si="0"/>
        <v>35490</v>
      </c>
      <c r="E12" s="1714">
        <v>164194</v>
      </c>
      <c r="F12" s="1775">
        <f t="shared" si="1"/>
        <v>82858</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506542</v>
      </c>
      <c r="C14" s="1714">
        <v>32616</v>
      </c>
      <c r="D14" s="1775">
        <f t="shared" si="0"/>
        <v>473926</v>
      </c>
      <c r="E14" s="1714">
        <v>65841</v>
      </c>
      <c r="F14" s="1775">
        <f t="shared" si="1"/>
        <v>33225</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182891</v>
      </c>
      <c r="C16" s="1714">
        <v>122086</v>
      </c>
      <c r="D16" s="1775">
        <f t="shared" si="0"/>
        <v>60805</v>
      </c>
      <c r="E16" s="1714">
        <v>246455</v>
      </c>
      <c r="F16" s="1775">
        <f t="shared" si="1"/>
        <v>124369</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10370585</v>
      </c>
      <c r="C19" s="1776">
        <f>SUM(C4:C18)</f>
        <v>5263843</v>
      </c>
      <c r="D19" s="1776">
        <f>SUM(D4:D18)</f>
        <v>5106742</v>
      </c>
      <c r="E19" s="1776">
        <f>SUM(E4:E18)</f>
        <v>10626148</v>
      </c>
      <c r="F19" s="1776">
        <f>SUM(F4:F18)</f>
        <v>5362305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90" zoomScaleNormal="90" workbookViewId="0">
      <selection activeCell="C34" sqref="C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9" t="s">
        <v>625</v>
      </c>
      <c r="B1" s="2377"/>
      <c r="C1" s="585"/>
    </row>
    <row r="2" spans="1:7" ht="33.75" x14ac:dyDescent="0.2">
      <c r="A2" s="2384" t="s">
        <v>1782</v>
      </c>
      <c r="B2" s="238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6" t="s">
        <v>1106</v>
      </c>
      <c r="B3" s="2387"/>
      <c r="C3" s="2380"/>
      <c r="D3" s="2381"/>
      <c r="E3" s="2381"/>
      <c r="F3" s="2382"/>
    </row>
    <row r="4" spans="1:7" ht="12.75" customHeight="1" thickBot="1" x14ac:dyDescent="0.25">
      <c r="A4" s="2374" t="s">
        <v>626</v>
      </c>
      <c r="B4" s="2375"/>
      <c r="C4" s="1706"/>
      <c r="D4" s="1706"/>
      <c r="E4" s="1706"/>
      <c r="F4" s="1782">
        <f>SUM(C4+D4)-E4</f>
        <v>0</v>
      </c>
    </row>
    <row r="5" spans="1:7" ht="15.75" customHeight="1" thickTop="1" x14ac:dyDescent="0.2">
      <c r="A5" s="2378" t="s">
        <v>1103</v>
      </c>
      <c r="B5" s="2373"/>
      <c r="C5" s="2367"/>
      <c r="D5" s="2368"/>
      <c r="E5" s="2368"/>
      <c r="F5" s="236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0" t="s">
        <v>627</v>
      </c>
      <c r="B15" s="2371"/>
      <c r="C15" s="1782">
        <f>SUM(C6:C14)</f>
        <v>0</v>
      </c>
      <c r="D15" s="1782">
        <f>SUM(D6:D14)</f>
        <v>0</v>
      </c>
      <c r="E15" s="1782">
        <f>SUM(E6:E14)</f>
        <v>0</v>
      </c>
      <c r="F15" s="1782">
        <f>SUM(F6:F14)</f>
        <v>0</v>
      </c>
      <c r="G15" s="473"/>
    </row>
    <row r="16" spans="1:7" s="197" customFormat="1" ht="15.75" customHeight="1" thickTop="1" x14ac:dyDescent="0.2">
      <c r="A16" s="2383" t="s">
        <v>1104</v>
      </c>
      <c r="B16" s="2373"/>
      <c r="C16" s="2367"/>
      <c r="D16" s="2368"/>
      <c r="E16" s="2368"/>
      <c r="F16" s="2369"/>
    </row>
    <row r="17" spans="1:11" ht="12.75" customHeight="1" thickBot="1" x14ac:dyDescent="0.25">
      <c r="A17" s="2365" t="s">
        <v>64</v>
      </c>
      <c r="B17" s="2366"/>
      <c r="C17" s="1783"/>
      <c r="D17" s="1714"/>
      <c r="E17" s="1783"/>
      <c r="F17" s="1782">
        <f>SUM(C17+D17)-E17</f>
        <v>0</v>
      </c>
    </row>
    <row r="18" spans="1:11" ht="12.75" customHeight="1" thickTop="1" thickBot="1" x14ac:dyDescent="0.25">
      <c r="A18" s="2365" t="s">
        <v>6</v>
      </c>
      <c r="B18" s="2366"/>
      <c r="C18" s="1783"/>
      <c r="D18" s="1714"/>
      <c r="E18" s="1783"/>
      <c r="F18" s="1782">
        <f>SUM(C18+D18)-E18</f>
        <v>0</v>
      </c>
    </row>
    <row r="19" spans="1:11" ht="12.75" customHeight="1" thickTop="1" thickBot="1" x14ac:dyDescent="0.25">
      <c r="A19" s="2365" t="s">
        <v>385</v>
      </c>
      <c r="B19" s="2366"/>
      <c r="C19" s="1783"/>
      <c r="D19" s="1714"/>
      <c r="E19" s="1783"/>
      <c r="F19" s="1782">
        <f>SUM(C19+D19)-E19</f>
        <v>0</v>
      </c>
    </row>
    <row r="20" spans="1:11" ht="12.75" customHeight="1" thickTop="1" thickBot="1" x14ac:dyDescent="0.25">
      <c r="A20" s="2365" t="s">
        <v>445</v>
      </c>
      <c r="B20" s="2366"/>
      <c r="C20" s="1783"/>
      <c r="D20" s="1714"/>
      <c r="E20" s="1783"/>
      <c r="F20" s="1782">
        <f>SUM(C20+D20)-E20</f>
        <v>0</v>
      </c>
    </row>
    <row r="21" spans="1:11" ht="14.25" thickTop="1" thickBot="1" x14ac:dyDescent="0.25">
      <c r="A21" s="2370" t="s">
        <v>628</v>
      </c>
      <c r="B21" s="2371"/>
      <c r="C21" s="1782">
        <f>SUM(C17:C20)</f>
        <v>0</v>
      </c>
      <c r="D21" s="1782">
        <f>SUM(D17:D20)</f>
        <v>0</v>
      </c>
      <c r="E21" s="1782">
        <f>SUM(E17:E20)</f>
        <v>0</v>
      </c>
      <c r="F21" s="1782">
        <f>SUM(F17:F20)</f>
        <v>0</v>
      </c>
      <c r="G21" s="473"/>
    </row>
    <row r="22" spans="1:11" ht="15.75" customHeight="1" thickTop="1" x14ac:dyDescent="0.2">
      <c r="A22" s="2372" t="s">
        <v>1105</v>
      </c>
      <c r="B22" s="2373"/>
      <c r="C22" s="2367"/>
      <c r="D22" s="2368"/>
      <c r="E22" s="2368"/>
      <c r="F22" s="2369"/>
    </row>
    <row r="23" spans="1:11" ht="13.5" thickBot="1" x14ac:dyDescent="0.25">
      <c r="A23" s="2374" t="s">
        <v>629</v>
      </c>
      <c r="B23" s="2375"/>
      <c r="C23" s="1706"/>
      <c r="D23" s="1706"/>
      <c r="E23" s="1706"/>
      <c r="F23" s="1782">
        <f>SUM(C23+D23)-E23</f>
        <v>0</v>
      </c>
      <c r="G23" s="473"/>
    </row>
    <row r="24" spans="1:11" ht="15.75" customHeight="1" thickTop="1" x14ac:dyDescent="0.2">
      <c r="A24" s="2372" t="s">
        <v>2009</v>
      </c>
      <c r="B24" s="2373"/>
      <c r="C24" s="2367"/>
      <c r="D24" s="2368"/>
      <c r="E24" s="2368"/>
      <c r="F24" s="2369"/>
    </row>
    <row r="25" spans="1:11" ht="13.5" thickBot="1" x14ac:dyDescent="0.25">
      <c r="A25" s="2374" t="s">
        <v>2010</v>
      </c>
      <c r="B25" s="2375"/>
      <c r="C25" s="1706"/>
      <c r="D25" s="1706"/>
      <c r="E25" s="1706"/>
      <c r="F25" s="1782">
        <f>SUM(C25+D25)-E25</f>
        <v>0</v>
      </c>
      <c r="G25" s="473"/>
    </row>
    <row r="26" spans="1:11" ht="15.75" customHeight="1" thickTop="1" x14ac:dyDescent="0.2">
      <c r="A26" s="2378" t="s">
        <v>652</v>
      </c>
      <c r="B26" s="2373"/>
      <c r="C26" s="589"/>
      <c r="D26" s="589"/>
      <c r="E26" s="589"/>
      <c r="F26" s="590"/>
    </row>
    <row r="27" spans="1:11" ht="13.5" thickBot="1" x14ac:dyDescent="0.25">
      <c r="A27" s="2370" t="s">
        <v>1063</v>
      </c>
      <c r="B27" s="2371"/>
      <c r="C27" s="1714"/>
      <c r="D27" s="1714"/>
      <c r="E27" s="1714"/>
      <c r="F27" s="1782">
        <f>SUM(C27+D27)-E27</f>
        <v>0</v>
      </c>
      <c r="G27" s="473"/>
    </row>
    <row r="28" spans="1:11" ht="7.5" customHeight="1" thickTop="1" x14ac:dyDescent="0.2">
      <c r="A28" s="489"/>
    </row>
    <row r="29" spans="1:11" ht="23.25" customHeight="1" x14ac:dyDescent="0.2">
      <c r="A29" s="2376" t="s">
        <v>578</v>
      </c>
      <c r="B29" s="237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2072</v>
      </c>
      <c r="B31" s="595">
        <v>41070</v>
      </c>
      <c r="C31" s="1784">
        <v>8945000</v>
      </c>
      <c r="D31" s="1785">
        <v>3</v>
      </c>
      <c r="E31" s="1784">
        <v>7830000</v>
      </c>
      <c r="F31" s="1784"/>
      <c r="G31" s="1784"/>
      <c r="H31" s="1784">
        <v>1735000</v>
      </c>
      <c r="I31" s="1786">
        <f>((E31+F31)-H31)+G31</f>
        <v>6095000</v>
      </c>
      <c r="J31" s="1784">
        <v>5173551</v>
      </c>
      <c r="K31" s="596"/>
    </row>
    <row r="32" spans="1:11" ht="12" customHeight="1" x14ac:dyDescent="0.2">
      <c r="A32" s="594" t="s">
        <v>2073</v>
      </c>
      <c r="B32" s="595"/>
      <c r="C32" s="1784">
        <v>87852</v>
      </c>
      <c r="D32" s="1785">
        <v>7</v>
      </c>
      <c r="E32" s="1784">
        <v>35192</v>
      </c>
      <c r="F32" s="1784"/>
      <c r="G32" s="1784">
        <v>-13580</v>
      </c>
      <c r="H32" s="1784"/>
      <c r="I32" s="1786">
        <f>((E32+F32)-H32)+G32</f>
        <v>21612</v>
      </c>
      <c r="J32" s="1784">
        <v>21612</v>
      </c>
      <c r="K32" s="596"/>
    </row>
    <row r="33" spans="1:11" ht="12" customHeight="1" x14ac:dyDescent="0.2">
      <c r="A33" s="594" t="s">
        <v>2074</v>
      </c>
      <c r="B33" s="595"/>
      <c r="C33" s="1784">
        <v>68669</v>
      </c>
      <c r="D33" s="1785">
        <v>7</v>
      </c>
      <c r="E33" s="1784">
        <v>33224</v>
      </c>
      <c r="F33" s="1784"/>
      <c r="G33" s="1784">
        <v>-12304</v>
      </c>
      <c r="H33" s="1784"/>
      <c r="I33" s="1786">
        <f t="shared" ref="I33:I48" si="1">((E33+F33)-H33)+G33</f>
        <v>20920</v>
      </c>
      <c r="J33" s="1784">
        <v>20920</v>
      </c>
      <c r="K33" s="596"/>
    </row>
    <row r="34" spans="1:11" ht="12" customHeight="1" x14ac:dyDescent="0.2">
      <c r="A34" s="594" t="s">
        <v>2075</v>
      </c>
      <c r="B34" s="595"/>
      <c r="C34" s="1784">
        <v>24597</v>
      </c>
      <c r="D34" s="1785">
        <v>7</v>
      </c>
      <c r="E34" s="1784">
        <v>9969</v>
      </c>
      <c r="F34" s="1784"/>
      <c r="G34" s="1784">
        <v>-4816</v>
      </c>
      <c r="H34" s="1784"/>
      <c r="I34" s="1786">
        <f t="shared" si="1"/>
        <v>5153</v>
      </c>
      <c r="J34" s="1784">
        <v>5153</v>
      </c>
      <c r="K34" s="597"/>
    </row>
    <row r="35" spans="1:11" ht="12" customHeight="1" x14ac:dyDescent="0.2">
      <c r="A35" s="594" t="s">
        <v>2076</v>
      </c>
      <c r="B35" s="595"/>
      <c r="C35" s="1787">
        <v>59003</v>
      </c>
      <c r="D35" s="1785">
        <v>7</v>
      </c>
      <c r="E35" s="1787">
        <v>35365</v>
      </c>
      <c r="F35" s="1787"/>
      <c r="G35" s="1787">
        <v>-11329</v>
      </c>
      <c r="H35" s="1787"/>
      <c r="I35" s="1786">
        <f t="shared" si="1"/>
        <v>24036</v>
      </c>
      <c r="J35" s="1787">
        <v>24036</v>
      </c>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9185121</v>
      </c>
      <c r="D49" s="1792"/>
      <c r="E49" s="1786">
        <f t="shared" ref="E49:J49" si="2">SUM(E31:E48)</f>
        <v>7943750</v>
      </c>
      <c r="F49" s="1786">
        <f t="shared" si="2"/>
        <v>0</v>
      </c>
      <c r="G49" s="1786">
        <f t="shared" si="2"/>
        <v>-42029</v>
      </c>
      <c r="H49" s="1786">
        <f t="shared" si="2"/>
        <v>1735000</v>
      </c>
      <c r="I49" s="1786">
        <f t="shared" si="2"/>
        <v>6166721</v>
      </c>
      <c r="J49" s="1786">
        <f t="shared" si="2"/>
        <v>5245272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34" sqref="C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343"/>
      <c r="I1" s="614"/>
      <c r="J1" s="400"/>
    </row>
    <row r="2" spans="1:11" ht="26.25" x14ac:dyDescent="0.2">
      <c r="A2" s="2407" t="s">
        <v>1661</v>
      </c>
      <c r="B2" s="2408"/>
      <c r="C2" s="2408"/>
      <c r="D2" s="2408"/>
      <c r="E2" s="2409"/>
      <c r="F2" s="615" t="s">
        <v>898</v>
      </c>
      <c r="G2" s="616" t="s">
        <v>1658</v>
      </c>
      <c r="H2" s="616" t="s">
        <v>407</v>
      </c>
      <c r="I2" s="616" t="s">
        <v>1150</v>
      </c>
      <c r="J2" s="616" t="s">
        <v>1792</v>
      </c>
      <c r="K2" s="616" t="s">
        <v>137</v>
      </c>
    </row>
    <row r="3" spans="1:11" x14ac:dyDescent="0.2">
      <c r="A3" s="2410" t="str">
        <f>"Cash Basis Fund Balance as of July 1, "&amp;'AFR20'!E2-1</f>
        <v>Cash Basis Fund Balance as of July 1, 2019</v>
      </c>
      <c r="B3" s="2411"/>
      <c r="C3" s="2411"/>
      <c r="D3" s="2411"/>
      <c r="E3" s="2412"/>
      <c r="F3" s="617"/>
      <c r="G3" s="1794"/>
      <c r="H3" s="1794">
        <v>0</v>
      </c>
      <c r="I3" s="1794"/>
      <c r="J3" s="1795"/>
      <c r="K3" s="1795">
        <v>0</v>
      </c>
    </row>
    <row r="4" spans="1:11" x14ac:dyDescent="0.2">
      <c r="A4" s="2413" t="s">
        <v>366</v>
      </c>
      <c r="B4" s="2414"/>
      <c r="C4" s="2414"/>
      <c r="D4" s="2414"/>
      <c r="E4" s="2360"/>
      <c r="F4" s="620"/>
      <c r="G4" s="1796"/>
      <c r="H4" s="1797"/>
      <c r="I4" s="1796"/>
      <c r="J4" s="1798"/>
      <c r="K4" s="1798"/>
    </row>
    <row r="5" spans="1:11" x14ac:dyDescent="0.2">
      <c r="A5" s="2391" t="s">
        <v>1062</v>
      </c>
      <c r="B5" s="2392"/>
      <c r="C5" s="2392"/>
      <c r="D5" s="2392"/>
      <c r="E5" s="2393"/>
      <c r="F5" s="622" t="s">
        <v>843</v>
      </c>
      <c r="G5" s="1799"/>
      <c r="H5" s="1794">
        <v>506542</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12500</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7360</v>
      </c>
    </row>
    <row r="10" spans="1:11" x14ac:dyDescent="0.2">
      <c r="A10" s="2391" t="s">
        <v>1793</v>
      </c>
      <c r="B10" s="2392"/>
      <c r="C10" s="2392"/>
      <c r="D10" s="2392"/>
      <c r="E10" s="2394"/>
      <c r="F10" s="633" t="s">
        <v>857</v>
      </c>
      <c r="G10" s="1803"/>
      <c r="H10" s="1804"/>
      <c r="I10" s="1794"/>
      <c r="J10" s="1795"/>
      <c r="K10" s="1795"/>
    </row>
    <row r="11" spans="1:11" x14ac:dyDescent="0.2">
      <c r="A11" s="2391" t="s">
        <v>159</v>
      </c>
      <c r="B11" s="2392"/>
      <c r="C11" s="2392"/>
      <c r="D11" s="2392"/>
      <c r="E11" s="2393"/>
      <c r="F11" s="622" t="s">
        <v>847</v>
      </c>
      <c r="G11" s="1799"/>
      <c r="H11" s="1794"/>
      <c r="I11" s="1794"/>
      <c r="J11" s="1795"/>
      <c r="K11" s="1801"/>
    </row>
    <row r="12" spans="1:11" ht="13.5" thickBot="1" x14ac:dyDescent="0.25">
      <c r="A12" s="2418" t="s">
        <v>899</v>
      </c>
      <c r="B12" s="2419"/>
      <c r="C12" s="2419"/>
      <c r="D12" s="2419"/>
      <c r="E12" s="2420"/>
      <c r="F12" s="1482"/>
      <c r="G12" s="1805">
        <f>SUM(G5:G11)</f>
        <v>0</v>
      </c>
      <c r="H12" s="1805">
        <f>SUM(H5:H11)</f>
        <v>506542</v>
      </c>
      <c r="I12" s="1805">
        <f>SUM(I5:I11)</f>
        <v>0</v>
      </c>
      <c r="J12" s="1805">
        <f>SUM(J5:J11)</f>
        <v>0</v>
      </c>
      <c r="K12" s="1805">
        <f>SUM(K5:K11)</f>
        <v>19860</v>
      </c>
    </row>
    <row r="13" spans="1:11" ht="13.5" thickTop="1" x14ac:dyDescent="0.2">
      <c r="A13" s="2415" t="s">
        <v>367</v>
      </c>
      <c r="B13" s="2416"/>
      <c r="C13" s="2416"/>
      <c r="D13" s="2416"/>
      <c r="E13" s="2417"/>
      <c r="F13" s="634"/>
      <c r="G13" s="1806"/>
      <c r="H13" s="1807"/>
      <c r="I13" s="1808"/>
      <c r="J13" s="1808"/>
      <c r="K13" s="1808"/>
    </row>
    <row r="14" spans="1:11" x14ac:dyDescent="0.2">
      <c r="A14" s="2398" t="s">
        <v>453</v>
      </c>
      <c r="B14" s="2398"/>
      <c r="C14" s="2398"/>
      <c r="D14" s="2398"/>
      <c r="E14" s="2399"/>
      <c r="F14" s="635" t="s">
        <v>849</v>
      </c>
      <c r="G14" s="1803"/>
      <c r="H14" s="1794">
        <v>506542</v>
      </c>
      <c r="I14" s="1799"/>
      <c r="J14" s="1801"/>
      <c r="K14" s="1795">
        <v>19860</v>
      </c>
    </row>
    <row r="15" spans="1:11" x14ac:dyDescent="0.2">
      <c r="A15" s="2392" t="s">
        <v>4</v>
      </c>
      <c r="B15" s="2392"/>
      <c r="C15" s="2392"/>
      <c r="D15" s="2392"/>
      <c r="E15" s="2393"/>
      <c r="F15" s="635" t="s">
        <v>850</v>
      </c>
      <c r="G15" s="1799"/>
      <c r="H15" s="1794"/>
      <c r="I15" s="1794"/>
      <c r="J15" s="1795"/>
      <c r="K15" s="1795"/>
    </row>
    <row r="16" spans="1:11" x14ac:dyDescent="0.2">
      <c r="A16" s="2392" t="s">
        <v>295</v>
      </c>
      <c r="B16" s="2392"/>
      <c r="C16" s="2392"/>
      <c r="D16" s="2392"/>
      <c r="E16" s="2393"/>
      <c r="F16" s="635" t="s">
        <v>917</v>
      </c>
      <c r="G16" s="1800"/>
      <c r="H16" s="1796"/>
      <c r="I16" s="1796"/>
      <c r="J16" s="1798"/>
      <c r="K16" s="1798"/>
    </row>
    <row r="17" spans="1:15" x14ac:dyDescent="0.2">
      <c r="A17" s="2425" t="s">
        <v>929</v>
      </c>
      <c r="B17" s="2425"/>
      <c r="C17" s="2425"/>
      <c r="D17" s="2425"/>
      <c r="E17" s="2426"/>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00" t="s">
        <v>1789</v>
      </c>
      <c r="B19" s="2400"/>
      <c r="C19" s="2400"/>
      <c r="D19" s="2400"/>
      <c r="E19" s="2401"/>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21" t="s">
        <v>633</v>
      </c>
      <c r="B21" s="2421"/>
      <c r="C21" s="2421"/>
      <c r="D21" s="2421"/>
      <c r="E21" s="2421"/>
      <c r="F21" s="1483"/>
      <c r="G21" s="1810"/>
      <c r="H21" s="1814"/>
      <c r="I21" s="1814"/>
      <c r="J21" s="1815">
        <f>SUM(J18:J20)</f>
        <v>0</v>
      </c>
      <c r="K21" s="1811"/>
    </row>
    <row r="22" spans="1:15" ht="13.5" thickTop="1" x14ac:dyDescent="0.2">
      <c r="A22" s="2392" t="s">
        <v>1795</v>
      </c>
      <c r="B22" s="2392"/>
      <c r="C22" s="2392"/>
      <c r="D22" s="2392"/>
      <c r="E22" s="2393"/>
      <c r="F22" s="635" t="s">
        <v>857</v>
      </c>
      <c r="G22" s="1803"/>
      <c r="H22" s="1794"/>
      <c r="I22" s="1794"/>
      <c r="J22" s="1816"/>
      <c r="K22" s="1795"/>
    </row>
    <row r="23" spans="1:15" ht="13.5" thickBot="1" x14ac:dyDescent="0.25">
      <c r="A23" s="2422" t="s">
        <v>900</v>
      </c>
      <c r="B23" s="2421"/>
      <c r="C23" s="2421"/>
      <c r="D23" s="2421"/>
      <c r="E23" s="2421"/>
      <c r="F23" s="1485"/>
      <c r="G23" s="1805">
        <f>SUM(G14:G16,G21,G22)</f>
        <v>0</v>
      </c>
      <c r="H23" s="1805">
        <f>SUM(H14:H16,H21,H22)</f>
        <v>506542</v>
      </c>
      <c r="I23" s="1805">
        <f>SUM(I14:I16,I21,I22)</f>
        <v>0</v>
      </c>
      <c r="J23" s="1805">
        <f>SUM(J14:J16,J21,J22)</f>
        <v>0</v>
      </c>
      <c r="K23" s="1805">
        <f>SUM(K14:K16,K21,K22)</f>
        <v>19860</v>
      </c>
      <c r="M23" s="1904"/>
      <c r="N23" s="1904"/>
      <c r="O23" s="1904"/>
    </row>
    <row r="24" spans="1:15" ht="14.25" thickTop="1" thickBot="1" x14ac:dyDescent="0.25">
      <c r="A24" s="2423" t="str">
        <f>"Ending Cash Basis Fund Balance as of June 30, "&amp;'AFR20'!E2</f>
        <v>Ending Cash Basis Fund Balance as of June 30, 2020</v>
      </c>
      <c r="B24" s="2424"/>
      <c r="C24" s="2424"/>
      <c r="D24" s="2424"/>
      <c r="E24" s="242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1161</v>
      </c>
      <c r="B33" s="341"/>
      <c r="C33" s="341"/>
      <c r="D33" s="341"/>
      <c r="E33" s="341"/>
      <c r="F33" s="341"/>
      <c r="G33" s="653"/>
      <c r="H33" s="2397"/>
      <c r="I33" s="2396"/>
      <c r="J33" s="2396"/>
      <c r="K33" s="239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405"/>
      <c r="C41" s="2405"/>
      <c r="D41" s="2405"/>
      <c r="E41" s="2405"/>
      <c r="F41" s="240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4" sqref="C3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v>205753</v>
      </c>
      <c r="D6" s="1795"/>
      <c r="E6" s="1795"/>
      <c r="F6" s="1815">
        <f>(C6+D6)-E6</f>
        <v>205753</v>
      </c>
      <c r="G6" s="676">
        <v>50</v>
      </c>
      <c r="H6" s="619"/>
      <c r="I6" s="619"/>
      <c r="J6" s="619"/>
      <c r="K6" s="1491">
        <f>(H6+I6)-J6</f>
        <v>0</v>
      </c>
      <c r="L6" s="1491">
        <f>F6-K6</f>
        <v>205753</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20839082</v>
      </c>
      <c r="D8" s="1821"/>
      <c r="E8" s="1821"/>
      <c r="F8" s="1815">
        <f>(C8+D8)-E8</f>
        <v>20839082</v>
      </c>
      <c r="G8" s="681">
        <v>50</v>
      </c>
      <c r="H8" s="619">
        <v>5817776</v>
      </c>
      <c r="I8" s="619">
        <v>416782</v>
      </c>
      <c r="J8" s="619"/>
      <c r="K8" s="1491">
        <f>(H8+I8)-J8</f>
        <v>6234558</v>
      </c>
      <c r="L8" s="1491">
        <f>F8-K8</f>
        <v>14604524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2482427</v>
      </c>
      <c r="D10" s="1822">
        <v>191225</v>
      </c>
      <c r="E10" s="1822"/>
      <c r="F10" s="1823">
        <f>(C10+D10)-E10</f>
        <v>2673652</v>
      </c>
      <c r="G10" s="681">
        <v>20</v>
      </c>
      <c r="H10" s="683">
        <v>613210</v>
      </c>
      <c r="I10" s="683">
        <v>130496</v>
      </c>
      <c r="J10" s="683"/>
      <c r="K10" s="1491">
        <f>(H10+I10)-J10</f>
        <v>743706</v>
      </c>
      <c r="L10" s="1491">
        <f>F10-K10</f>
        <v>1929946</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3464232</v>
      </c>
      <c r="D12" s="1821">
        <v>100968</v>
      </c>
      <c r="E12" s="1821"/>
      <c r="F12" s="1815">
        <f>(C12+D12)-E12</f>
        <v>3565200</v>
      </c>
      <c r="G12" s="681">
        <v>10</v>
      </c>
      <c r="H12" s="619">
        <v>1943566</v>
      </c>
      <c r="I12" s="619">
        <v>22823</v>
      </c>
      <c r="J12" s="619"/>
      <c r="K12" s="1491">
        <f>(H12+I12)-J12</f>
        <v>1966389</v>
      </c>
      <c r="L12" s="1491">
        <f>F12-K12</f>
        <v>1598811</v>
      </c>
    </row>
    <row r="13" spans="1:14" ht="14.25" thickTop="1" thickBot="1" x14ac:dyDescent="0.25">
      <c r="A13" s="684" t="s">
        <v>1114</v>
      </c>
      <c r="B13" s="679">
        <v>252</v>
      </c>
      <c r="C13" s="1821">
        <v>1885006</v>
      </c>
      <c r="D13" s="1821">
        <f>233444+82589</f>
        <v>316033</v>
      </c>
      <c r="E13" s="1821"/>
      <c r="F13" s="1815">
        <f>(C13+D13)-E13</f>
        <v>2201039</v>
      </c>
      <c r="G13" s="681">
        <v>5</v>
      </c>
      <c r="H13" s="619">
        <v>1719887</v>
      </c>
      <c r="I13" s="619">
        <f>139740+17811</f>
        <v>157551</v>
      </c>
      <c r="J13" s="619"/>
      <c r="K13" s="1491">
        <f>(H13+I13)-J13</f>
        <v>1877438</v>
      </c>
      <c r="L13" s="1491">
        <f>F13-K13</f>
        <v>323601</v>
      </c>
    </row>
    <row r="14" spans="1:14" ht="14.25" thickTop="1" thickBot="1" x14ac:dyDescent="0.25">
      <c r="A14" s="684" t="s">
        <v>1115</v>
      </c>
      <c r="B14" s="679">
        <v>253</v>
      </c>
      <c r="C14" s="1795">
        <v>657691</v>
      </c>
      <c r="D14" s="1795"/>
      <c r="E14" s="1795"/>
      <c r="F14" s="1815">
        <f>(C14+D14)-E14</f>
        <v>657691</v>
      </c>
      <c r="G14" s="681">
        <v>3</v>
      </c>
      <c r="H14" s="619">
        <v>652023</v>
      </c>
      <c r="I14" s="619">
        <v>3462</v>
      </c>
      <c r="J14" s="619"/>
      <c r="K14" s="1491">
        <f>(H14+I14)-J14</f>
        <v>655485</v>
      </c>
      <c r="L14" s="1491">
        <f>F14-K14</f>
        <v>2206</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29534191</v>
      </c>
      <c r="D16" s="1815">
        <f>SUM(D3,D5:D6,D8:D10,D12:D15)</f>
        <v>608226</v>
      </c>
      <c r="E16" s="1815">
        <f>SUM(E3,E5:E6,E8:E10,E12:E15)</f>
        <v>0</v>
      </c>
      <c r="F16" s="1815">
        <f>SUM(F3,F5:F6,F8:F10,F12:F15)</f>
        <v>30142417</v>
      </c>
      <c r="G16" s="681"/>
      <c r="H16" s="1484">
        <f>SUM(H3,H6,H8:H10,H12:H14,)</f>
        <v>10746462</v>
      </c>
      <c r="I16" s="1484">
        <f>SUM(I3,I6,I8:I10,I12:I14,)</f>
        <v>731114</v>
      </c>
      <c r="J16" s="1484">
        <f>SUM(J3,J6,J8:J10,J12:J14,)</f>
        <v>0</v>
      </c>
      <c r="K16" s="1484">
        <f>(H16+I16)-J16</f>
        <v>11477576</v>
      </c>
      <c r="L16" s="1484">
        <f>F16-K16</f>
        <v>18664841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181635</v>
      </c>
      <c r="G17" s="676">
        <v>10</v>
      </c>
      <c r="H17" s="621"/>
      <c r="I17" s="1491">
        <f>F17/G17</f>
        <v>18163.5</v>
      </c>
      <c r="J17" s="621"/>
      <c r="K17" s="638"/>
      <c r="L17" s="638"/>
    </row>
    <row r="18" spans="1:12" ht="14.25" thickTop="1" thickBot="1" x14ac:dyDescent="0.25">
      <c r="A18" s="1489" t="s">
        <v>680</v>
      </c>
      <c r="B18" s="1490"/>
      <c r="C18" s="623"/>
      <c r="D18" s="623"/>
      <c r="E18" s="623"/>
      <c r="F18" s="686"/>
      <c r="G18" s="687"/>
      <c r="H18" s="624"/>
      <c r="I18" s="1484">
        <f>SUM(I16,I17)</f>
        <v>749277.5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1" activePane="bottomLeft" state="frozen"/>
      <selection activeCell="C34" sqref="C34"/>
      <selection pane="bottomLeft" activeCell="C34" sqref="C3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9672407</v>
      </c>
      <c r="G8" s="701"/>
    </row>
    <row r="9" spans="1:9" x14ac:dyDescent="0.2">
      <c r="A9" s="705" t="s">
        <v>457</v>
      </c>
      <c r="B9" s="706" t="s">
        <v>1851</v>
      </c>
      <c r="C9" s="707"/>
      <c r="D9" s="705" t="s">
        <v>498</v>
      </c>
      <c r="E9" s="704"/>
      <c r="F9" s="1825">
        <f>'Expenditures 15-22'!K151</f>
        <v>1474918</v>
      </c>
      <c r="G9" s="708"/>
    </row>
    <row r="10" spans="1:9" x14ac:dyDescent="0.2">
      <c r="A10" s="705" t="s">
        <v>496</v>
      </c>
      <c r="B10" s="706" t="s">
        <v>1852</v>
      </c>
      <c r="C10" s="707"/>
      <c r="D10" s="705" t="s">
        <v>498</v>
      </c>
      <c r="E10" s="704"/>
      <c r="F10" s="1825">
        <f>'Expenditures 15-22'!K174</f>
        <v>2014000</v>
      </c>
      <c r="G10" s="708"/>
    </row>
    <row r="11" spans="1:9" x14ac:dyDescent="0.2">
      <c r="A11" s="705" t="s">
        <v>458</v>
      </c>
      <c r="B11" s="706" t="s">
        <v>1853</v>
      </c>
      <c r="C11" s="707"/>
      <c r="D11" s="705" t="s">
        <v>498</v>
      </c>
      <c r="E11" s="704"/>
      <c r="F11" s="1825">
        <f>'Expenditures 15-22'!K210</f>
        <v>875294</v>
      </c>
      <c r="G11" s="708"/>
    </row>
    <row r="12" spans="1:9" x14ac:dyDescent="0.2">
      <c r="A12" s="705" t="s">
        <v>459</v>
      </c>
      <c r="B12" s="706" t="s">
        <v>1854</v>
      </c>
      <c r="C12" s="707"/>
      <c r="D12" s="705" t="s">
        <v>498</v>
      </c>
      <c r="E12" s="704"/>
      <c r="F12" s="1825">
        <f>'Expenditures 15-22'!K295</f>
        <v>372654</v>
      </c>
      <c r="G12" s="708"/>
    </row>
    <row r="13" spans="1:9" x14ac:dyDescent="0.2">
      <c r="A13" s="705" t="s">
        <v>106</v>
      </c>
      <c r="B13" s="706" t="s">
        <v>1855</v>
      </c>
      <c r="C13" s="707"/>
      <c r="D13" s="705" t="s">
        <v>498</v>
      </c>
      <c r="E13" s="704"/>
      <c r="F13" s="1825">
        <f>'Expenditures 15-22'!K342</f>
        <v>63600</v>
      </c>
      <c r="G13" s="709"/>
    </row>
    <row r="14" spans="1:9" ht="12" customHeight="1" thickBot="1" x14ac:dyDescent="0.25">
      <c r="A14" s="1492"/>
      <c r="B14" s="1493"/>
      <c r="C14" s="1494"/>
      <c r="D14" s="1495" t="s">
        <v>498</v>
      </c>
      <c r="E14" s="1496" t="s">
        <v>952</v>
      </c>
      <c r="F14" s="1826">
        <f>SUM(F8:F13)</f>
        <v>14472873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54726</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9161</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1189776</v>
      </c>
      <c r="G53" s="701"/>
    </row>
    <row r="54" spans="1:7" x14ac:dyDescent="0.2">
      <c r="A54" s="705" t="s">
        <v>456</v>
      </c>
      <c r="B54" s="705" t="s">
        <v>1462</v>
      </c>
      <c r="C54" s="724" t="s">
        <v>975</v>
      </c>
      <c r="D54" s="720" t="s">
        <v>1088</v>
      </c>
      <c r="E54" s="704"/>
      <c r="F54" s="1832">
        <f>'Expenditures 15-22'!G114</f>
        <v>113102</v>
      </c>
      <c r="G54" s="701"/>
    </row>
    <row r="55" spans="1:7" x14ac:dyDescent="0.2">
      <c r="A55" s="705" t="s">
        <v>456</v>
      </c>
      <c r="B55" s="705" t="s">
        <v>1463</v>
      </c>
      <c r="C55" s="724" t="s">
        <v>975</v>
      </c>
      <c r="D55" s="720" t="s">
        <v>288</v>
      </c>
      <c r="E55" s="704"/>
      <c r="F55" s="1832">
        <f>'Expenditures 15-22'!I114</f>
        <v>177705</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259430</v>
      </c>
      <c r="G58" s="701"/>
    </row>
    <row r="59" spans="1:7" x14ac:dyDescent="0.2">
      <c r="A59" s="728" t="s">
        <v>457</v>
      </c>
      <c r="B59" s="692" t="s">
        <v>1858</v>
      </c>
      <c r="C59" s="729" t="s">
        <v>975</v>
      </c>
      <c r="D59" s="692" t="s">
        <v>288</v>
      </c>
      <c r="F59" s="1835">
        <f>'Expenditures 15-22'!I151</f>
        <v>3930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1735000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42129</v>
      </c>
      <c r="G64" s="701"/>
    </row>
    <row r="65" spans="1:9" x14ac:dyDescent="0.2">
      <c r="A65" s="705" t="s">
        <v>458</v>
      </c>
      <c r="B65" s="705" t="s">
        <v>1864</v>
      </c>
      <c r="C65" s="721" t="s">
        <v>975</v>
      </c>
      <c r="D65" s="720" t="s">
        <v>1088</v>
      </c>
      <c r="E65" s="704"/>
      <c r="F65" s="1832">
        <f>'Expenditures 15-22'!G210</f>
        <v>241320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1544</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132</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3827955</v>
      </c>
      <c r="G77" s="701"/>
    </row>
    <row r="78" spans="1:9" s="728" customFormat="1" ht="12" customHeight="1" thickTop="1" thickBot="1" x14ac:dyDescent="0.25">
      <c r="A78" s="1499"/>
      <c r="B78" s="1497"/>
      <c r="C78" s="1494"/>
      <c r="D78" s="1498" t="s">
        <v>2015</v>
      </c>
      <c r="E78" s="1496"/>
      <c r="F78" s="1838">
        <f>(F14-F77)</f>
        <v>10644918</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1017.3</v>
      </c>
      <c r="G79" s="733"/>
      <c r="H79" s="705"/>
      <c r="I79" s="705"/>
    </row>
    <row r="80" spans="1:9" s="728" customFormat="1" ht="12" customHeight="1" thickBot="1" x14ac:dyDescent="0.25">
      <c r="A80" s="1501"/>
      <c r="B80" s="1497"/>
      <c r="C80" s="1494"/>
      <c r="D80" s="1498" t="s">
        <v>2016</v>
      </c>
      <c r="E80" s="1496" t="s">
        <v>952</v>
      </c>
      <c r="F80" s="1840">
        <f>IF(F79&gt;0,F78/F79," Complete Line 79")</f>
        <v>10463.892657033324</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133861</v>
      </c>
      <c r="G95" s="745"/>
    </row>
    <row r="96" spans="1:7" x14ac:dyDescent="0.2">
      <c r="A96" s="741" t="s">
        <v>139</v>
      </c>
      <c r="B96" s="741" t="s">
        <v>174</v>
      </c>
      <c r="C96" s="743">
        <v>1700</v>
      </c>
      <c r="D96" s="751" t="str">
        <f>'Revenues 9-14'!A82</f>
        <v>Total District/School Activity Income</v>
      </c>
      <c r="E96" s="739"/>
      <c r="F96" s="1843">
        <f>SUM('Revenues 9-14'!C82,'Revenues 9-14'!D82)</f>
        <v>21459</v>
      </c>
      <c r="G96" s="745"/>
    </row>
    <row r="97" spans="1:7" x14ac:dyDescent="0.2">
      <c r="A97" s="741" t="s">
        <v>456</v>
      </c>
      <c r="B97" s="741" t="s">
        <v>175</v>
      </c>
      <c r="C97" s="743">
        <f>'Revenues 9-14'!B84</f>
        <v>1811</v>
      </c>
      <c r="D97" s="744" t="str">
        <f>'Revenues 9-14'!A84</f>
        <v>Rentals - Regular Textbooks</v>
      </c>
      <c r="E97" s="739"/>
      <c r="F97" s="1843">
        <f>'Revenues 9-14'!C84</f>
        <v>125693</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4200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261947</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1077</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7360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431619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95805</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151790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7320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145041</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4670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32191</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611</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283</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290507</v>
      </c>
      <c r="G172" s="760"/>
    </row>
    <row r="173" spans="1:7" x14ac:dyDescent="0.2">
      <c r="A173" s="1579" t="s">
        <v>659</v>
      </c>
      <c r="B173" s="1580" t="s">
        <v>1888</v>
      </c>
      <c r="C173" s="1581">
        <v>3300</v>
      </c>
      <c r="D173" s="1582" t="s">
        <v>1891</v>
      </c>
      <c r="E173" s="739"/>
      <c r="F173" s="1844">
        <v>138</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1765572</v>
      </c>
    </row>
    <row r="176" spans="1:7" ht="12" customHeight="1" x14ac:dyDescent="0.2">
      <c r="A176" s="1492"/>
      <c r="B176" s="1502"/>
      <c r="C176" s="1503"/>
      <c r="D176" s="1504" t="s">
        <v>2017</v>
      </c>
      <c r="E176" s="1505"/>
      <c r="F176" s="1843">
        <f>'PCTC-OEPP 27-28'!F78-F175</f>
        <v>8879346</v>
      </c>
    </row>
    <row r="177" spans="1:9" ht="12" customHeight="1" x14ac:dyDescent="0.2">
      <c r="A177" s="1492"/>
      <c r="B177" s="1502"/>
      <c r="C177" s="1503"/>
      <c r="D177" s="1504" t="s">
        <v>1797</v>
      </c>
      <c r="E177" s="1505"/>
      <c r="F177" s="1843">
        <f>'Cap Outlay Deprec 26'!I18</f>
        <v>749277.5</v>
      </c>
    </row>
    <row r="178" spans="1:9" ht="12" customHeight="1" x14ac:dyDescent="0.2">
      <c r="A178" s="1492"/>
      <c r="B178" s="1502"/>
      <c r="C178" s="1503"/>
      <c r="D178" s="1504" t="s">
        <v>2018</v>
      </c>
      <c r="E178" s="1505"/>
      <c r="F178" s="1843">
        <f>F176+F177</f>
        <v>9628623.5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1017.3</v>
      </c>
      <c r="G179" s="763"/>
      <c r="I179" s="701"/>
    </row>
    <row r="180" spans="1:9" ht="12" customHeight="1" thickBot="1" x14ac:dyDescent="0.25">
      <c r="A180" s="1492"/>
      <c r="B180" s="1506"/>
      <c r="C180" s="1503"/>
      <c r="D180" s="1504" t="s">
        <v>2020</v>
      </c>
      <c r="E180" s="1505" t="s">
        <v>1531</v>
      </c>
      <c r="F180" s="1848">
        <f>F178/F179</f>
        <v>9464.8810577017593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C34" sqref="C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43" t="s">
        <v>1663</v>
      </c>
      <c r="B5" s="2444"/>
      <c r="C5" s="2444"/>
      <c r="D5" s="2444"/>
      <c r="E5" s="2444"/>
      <c r="F5" s="2444"/>
      <c r="G5" s="244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93850</v>
      </c>
      <c r="F10" s="805"/>
      <c r="G10" s="806"/>
      <c r="H10" s="157"/>
      <c r="I10" s="157"/>
    </row>
    <row r="11" spans="1:13" s="542" customFormat="1" ht="22.5" customHeight="1" x14ac:dyDescent="0.2">
      <c r="A11" s="244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9"/>
      <c r="C11" s="2449"/>
      <c r="D11" s="2450"/>
      <c r="E11" s="1851">
        <v>18098</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6698890</v>
      </c>
      <c r="F19" s="1852"/>
      <c r="G19" s="1854">
        <f>'Expenditures 15-22'!K33-SUM('Expenditures 15-22'!G33,'Expenditures 15-22'!I33)+'Expenditures 15-22'!D229</f>
        <v>6698890</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161824</v>
      </c>
      <c r="F21" s="1855"/>
      <c r="G21" s="1858">
        <f>'Expenditures 15-22'!K42-SUM('Expenditures 15-22'!G42,'Expenditures 15-22'!I42)+'Expenditures 15-22'!K120-SUM('Expenditures 15-22'!G120,'Expenditures 15-22'!I120)+'Expenditures 15-22'!K180-SUM('Expenditures 15-22'!G180,'Expenditures 15-22'!I180)+'Expenditures 15-22'!D238</f>
        <v>161824</v>
      </c>
      <c r="H21" s="817"/>
      <c r="I21" s="157"/>
    </row>
    <row r="22" spans="1:9" s="542" customFormat="1" ht="12" customHeight="1" x14ac:dyDescent="0.2">
      <c r="A22" s="824" t="s">
        <v>560</v>
      </c>
      <c r="B22" s="825"/>
      <c r="C22" s="823">
        <v>2200</v>
      </c>
      <c r="D22" s="1855"/>
      <c r="E22" s="1857">
        <f>'Expenditures 15-22'!K47-SUM('Expenditures 15-22'!G47,'Expenditures 15-22'!I47)+'Expenditures 15-22'!D243</f>
        <v>82738</v>
      </c>
      <c r="F22" s="1855"/>
      <c r="G22" s="1858">
        <f>'Expenditures 15-22'!K47-SUM('Expenditures 15-22'!G47,'Expenditures 15-22'!I47)+'Expenditures 15-22'!D243</f>
        <v>82738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286600</v>
      </c>
      <c r="F23" s="1855"/>
      <c r="G23" s="1857">
        <f>'Expenditures 15-22'!K53-SUM('Expenditures 15-22'!G53,'Expenditures 15-22'!I53)+'Expenditures 15-22'!D257+'Expenditures 15-22'!K330-SUM('Expenditures 15-22'!G330,'Expenditures 15-22'!I330)</f>
        <v>286600</v>
      </c>
      <c r="H23" s="817"/>
      <c r="I23" s="157"/>
    </row>
    <row r="24" spans="1:9" s="542" customFormat="1" ht="12" customHeight="1" x14ac:dyDescent="0.2">
      <c r="A24" s="824" t="s">
        <v>562</v>
      </c>
      <c r="B24" s="825"/>
      <c r="C24" s="823">
        <v>2400</v>
      </c>
      <c r="D24" s="1855"/>
      <c r="E24" s="1857">
        <f>'Expenditures 15-22'!K57-SUM('Expenditures 15-22'!G57,'Expenditures 15-22'!I57)+'Expenditures 15-22'!D261</f>
        <v>567725</v>
      </c>
      <c r="F24" s="1855"/>
      <c r="G24" s="1858">
        <f>'Expenditures 15-22'!K57-SUM('Expenditures 15-22'!G57,'Expenditures 15-22'!I57)+'Expenditures 15-22'!D261</f>
        <v>567725</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439968</v>
      </c>
      <c r="E27" s="1857">
        <f>E8</f>
        <v>0</v>
      </c>
      <c r="F27" s="1857">
        <f>'Expenditures 15-22'!K60-SUM('Expenditures 15-22'!G60,'Expenditures 15-22'!I60)+'Expenditures 15-22'!D264-E8</f>
        <v>439968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1278404</v>
      </c>
      <c r="F28" s="1859">
        <f>'Expenditures 15-22'!K61-SUM('Expenditures 15-22'!G61,'Expenditures 15-22'!I61)+'Expenditures 15-22'!K124-SUM('Expenditures 15-22'!G124,'Expenditures 15-22'!I124)+'Expenditures 15-22'!D266-E9</f>
        <v>1278404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650627</v>
      </c>
      <c r="F29" s="1855"/>
      <c r="G29" s="1858">
        <f>'Expenditures 15-22'!K62-SUM('Expenditures 15-22'!G62,'Expenditures 15-22'!I62)+'Expenditures 15-22'!K125-SUM('Expenditures 15-22'!G125,'Expenditures 15-22'!I125)+'Expenditures 15-22'!K182-SUM('Expenditures 15-22'!G182,'Expenditures 15-22'!I182)+'Expenditures 15-22'!D267</f>
        <v>650627</v>
      </c>
      <c r="H29" s="815"/>
    </row>
    <row r="30" spans="1:9" ht="12" customHeight="1" x14ac:dyDescent="0.2">
      <c r="A30" s="824" t="s">
        <v>100</v>
      </c>
      <c r="B30" s="827"/>
      <c r="C30" s="823">
        <v>2560</v>
      </c>
      <c r="D30" s="1855"/>
      <c r="E30" s="1857">
        <f>'Expenditures 15-22'!K63-SUM('Expenditures 15-22'!G63,'Expenditures 15-22'!I63)+'Expenditures 15-22'!D268-E10</f>
        <v>166796</v>
      </c>
      <c r="F30" s="1855"/>
      <c r="G30" s="1857">
        <f>'Expenditures 15-22'!K63-SUM('Expenditures 15-22'!G63,'Expenditures 15-22'!I63)+'Expenditures 15-22'!D268-E10</f>
        <v>166796</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439968</v>
      </c>
      <c r="E41" s="1859">
        <f>SUM(E19:E40)</f>
        <v>9893604</v>
      </c>
      <c r="F41" s="1859">
        <f>SUM(F19:F39)</f>
        <v>1718372</v>
      </c>
      <c r="G41" s="1859">
        <f>SUM(G19:G40)</f>
        <v>8615200</v>
      </c>
    </row>
    <row r="42" spans="1:7" x14ac:dyDescent="0.2">
      <c r="A42" s="817"/>
      <c r="B42" s="157"/>
      <c r="C42" s="831"/>
      <c r="D42" s="2446" t="s">
        <v>519</v>
      </c>
      <c r="E42" s="2447"/>
      <c r="F42" s="832" t="s">
        <v>520</v>
      </c>
      <c r="G42" s="833"/>
    </row>
    <row r="43" spans="1:7" ht="12" customHeight="1" x14ac:dyDescent="0.2">
      <c r="A43" s="817"/>
      <c r="B43" s="157"/>
      <c r="C43" s="831"/>
      <c r="D43" s="1507" t="s">
        <v>470</v>
      </c>
      <c r="E43" s="1860">
        <f>D41</f>
        <v>439968</v>
      </c>
      <c r="F43" s="1507" t="s">
        <v>470</v>
      </c>
      <c r="G43" s="1860">
        <f>F41</f>
        <v>1718372</v>
      </c>
    </row>
    <row r="44" spans="1:7" ht="12" customHeight="1" x14ac:dyDescent="0.2">
      <c r="A44" s="817"/>
      <c r="B44" s="157"/>
      <c r="C44" s="831"/>
      <c r="D44" s="1507" t="s">
        <v>471</v>
      </c>
      <c r="E44" s="1860">
        <f>E41</f>
        <v>9893604</v>
      </c>
      <c r="F44" s="1507" t="s">
        <v>471</v>
      </c>
      <c r="G44" s="1860">
        <f>G41</f>
        <v>8615200</v>
      </c>
    </row>
    <row r="45" spans="1:7" ht="12" customHeight="1" x14ac:dyDescent="0.2">
      <c r="A45" s="817"/>
      <c r="B45" s="157"/>
      <c r="C45" s="157"/>
      <c r="D45" s="1508" t="s">
        <v>999</v>
      </c>
      <c r="E45" s="1861">
        <f>(E43/E44)</f>
        <v>4.4469942399149996E-2</v>
      </c>
      <c r="F45" s="1508" t="s">
        <v>999</v>
      </c>
      <c r="G45" s="1861">
        <f>(G43/G44)</f>
        <v>0.19945816696072058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C34" sqref="C34"/>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54" t="s">
        <v>1798</v>
      </c>
      <c r="B4" s="2455"/>
      <c r="C4" s="2455"/>
      <c r="D4" s="2455"/>
      <c r="E4" s="2455"/>
      <c r="F4" s="2456"/>
    </row>
    <row r="5" spans="1:6" x14ac:dyDescent="0.25">
      <c r="A5" s="2457"/>
      <c r="B5" s="2458"/>
      <c r="C5" s="2458"/>
      <c r="D5" s="2458"/>
      <c r="E5" s="2458"/>
      <c r="F5" s="2459"/>
    </row>
    <row r="6" spans="1:6" ht="18.75" x14ac:dyDescent="0.25">
      <c r="A6" s="1930" t="s">
        <v>1799</v>
      </c>
      <c r="B6" s="1931"/>
      <c r="C6" s="1932"/>
      <c r="D6" s="1932"/>
      <c r="E6" s="1932"/>
      <c r="F6" s="1933"/>
    </row>
    <row r="7" spans="1:6" ht="47.25" customHeight="1" x14ac:dyDescent="0.25">
      <c r="A7" s="2460" t="s">
        <v>1988</v>
      </c>
      <c r="B7" s="2461"/>
      <c r="C7" s="2461"/>
      <c r="D7" s="2461"/>
      <c r="E7" s="2461"/>
      <c r="F7" s="2462"/>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63" t="s">
        <v>1984</v>
      </c>
      <c r="B10" s="2464"/>
      <c r="C10" s="2464"/>
      <c r="D10" s="2464"/>
      <c r="E10" s="2464"/>
      <c r="F10" s="2465"/>
    </row>
    <row r="11" spans="1:6" ht="33" customHeight="1" x14ac:dyDescent="0.25">
      <c r="A11" s="2460" t="s">
        <v>1989</v>
      </c>
      <c r="B11" s="2461"/>
      <c r="C11" s="2461"/>
      <c r="D11" s="2461"/>
      <c r="E11" s="2461"/>
      <c r="F11" s="2462"/>
    </row>
    <row r="12" spans="1:6" ht="15" customHeight="1" x14ac:dyDescent="0.25">
      <c r="A12" s="1936" t="s">
        <v>1985</v>
      </c>
      <c r="B12" s="1937"/>
      <c r="C12" s="1938"/>
      <c r="D12" s="1938"/>
      <c r="E12" s="1938"/>
      <c r="F12" s="1939"/>
    </row>
    <row r="13" spans="1:6" ht="17.25" customHeight="1" x14ac:dyDescent="0.25">
      <c r="A13" s="2460" t="s">
        <v>1986</v>
      </c>
      <c r="B13" s="2461"/>
      <c r="C13" s="2461"/>
      <c r="D13" s="2461"/>
      <c r="E13" s="2461"/>
      <c r="F13" s="2462"/>
    </row>
    <row r="14" spans="1:6" ht="15" customHeight="1" x14ac:dyDescent="0.25">
      <c r="A14" s="1936" t="s">
        <v>1803</v>
      </c>
      <c r="B14" s="1937"/>
      <c r="C14" s="1938"/>
      <c r="D14" s="1938"/>
      <c r="E14" s="1938"/>
      <c r="F14" s="1939"/>
    </row>
    <row r="15" spans="1:6" ht="32.25" customHeight="1" x14ac:dyDescent="0.25">
      <c r="A15" s="245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2"/>
      <c r="C15" s="2452"/>
      <c r="D15" s="2452"/>
      <c r="E15" s="2452"/>
      <c r="F15" s="2453"/>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2077</v>
      </c>
      <c r="B18" s="1971">
        <v>102520300</v>
      </c>
      <c r="C18" s="2105" t="s">
        <v>2078</v>
      </c>
      <c r="D18" s="1949">
        <v>23952</v>
      </c>
      <c r="E18" s="1969">
        <f t="shared" ref="E18:E81" si="0">IF(D18&lt;25000,D18,"25,000")</f>
        <v>23952</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23952</v>
      </c>
      <c r="E142" s="1956">
        <f>SUM(E18:E141)</f>
        <v>23952</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C34" sqref="C34"/>
      <selection pane="bottomLeft" activeCell="C34" sqref="C3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0" t="s">
        <v>1365</v>
      </c>
      <c r="B1" s="2480"/>
      <c r="C1" s="2480"/>
      <c r="D1" s="2480"/>
      <c r="E1" s="2480"/>
      <c r="F1" s="248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1" t="s">
        <v>1532</v>
      </c>
      <c r="B5" s="2482"/>
      <c r="C5" s="2483"/>
      <c r="D5" s="2483"/>
      <c r="E5" s="2483"/>
      <c r="F5" s="2483"/>
      <c r="G5" s="1556"/>
      <c r="L5" s="1556"/>
      <c r="M5" s="1913"/>
      <c r="N5" s="1913"/>
      <c r="O5" s="1913"/>
    </row>
    <row r="6" spans="1:15" ht="12" customHeight="1" x14ac:dyDescent="0.25">
      <c r="A6" s="1529"/>
      <c r="B6" s="1530"/>
      <c r="C6" s="2484" t="str">
        <f>COVER!A17</f>
        <v xml:space="preserve">   Beecher CUSD 200U </v>
      </c>
      <c r="D6" s="2484"/>
      <c r="E6" s="2484"/>
      <c r="F6" s="1531"/>
      <c r="G6" s="1556"/>
      <c r="L6" s="1556"/>
      <c r="M6" s="1913"/>
      <c r="N6" s="1913"/>
      <c r="O6" s="1913"/>
    </row>
    <row r="7" spans="1:15" ht="11.25" customHeight="1" thickBot="1" x14ac:dyDescent="0.3">
      <c r="A7" s="1529"/>
      <c r="B7" s="1530"/>
      <c r="C7" s="2485" t="str">
        <f>COVER!A13</f>
        <v xml:space="preserve">56099200U26 </v>
      </c>
      <c r="D7" s="2485"/>
      <c r="E7" s="248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2065</v>
      </c>
      <c r="D26" s="1544" t="s">
        <v>2065</v>
      </c>
      <c r="E26" s="1547" t="s">
        <v>2065</v>
      </c>
      <c r="F26" s="1546" t="s">
        <v>2079</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5</v>
      </c>
      <c r="K34" s="1556">
        <f>SUM(H34:J34)</f>
        <v>15</v>
      </c>
      <c r="L34" s="1556"/>
      <c r="M34" s="1913"/>
      <c r="N34" s="1913"/>
      <c r="O34" s="1913"/>
    </row>
    <row r="35" spans="1:15" ht="12" customHeight="1" x14ac:dyDescent="0.2">
      <c r="A35" s="1549" t="s">
        <v>1378</v>
      </c>
      <c r="B35" s="1550"/>
      <c r="C35" s="2486"/>
      <c r="D35" s="2486"/>
      <c r="E35" s="2486"/>
      <c r="F35" s="2487"/>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72"/>
      <c r="B38" s="2473"/>
      <c r="C38" s="2473"/>
      <c r="D38" s="2473"/>
      <c r="E38" s="2473"/>
      <c r="F38" s="2474"/>
    </row>
    <row r="39" spans="1:15" ht="4.5" hidden="1" customHeight="1" x14ac:dyDescent="0.2">
      <c r="A39" s="1551"/>
      <c r="B39" s="1551"/>
      <c r="C39" s="1551"/>
      <c r="D39" s="1551"/>
      <c r="E39" s="1551"/>
      <c r="F39" s="1551"/>
    </row>
    <row r="40" spans="1:15" s="1548" customFormat="1" ht="12" customHeight="1" x14ac:dyDescent="0.25">
      <c r="A40" s="1552" t="s">
        <v>1377</v>
      </c>
      <c r="B40" s="1553"/>
      <c r="C40" s="2475"/>
      <c r="D40" s="2475"/>
      <c r="E40" s="2475"/>
      <c r="F40" s="2476"/>
      <c r="H40" s="1557"/>
      <c r="I40" s="1557"/>
      <c r="J40" s="1557"/>
      <c r="K40" s="1557"/>
    </row>
    <row r="41" spans="1:15" s="1548" customFormat="1" ht="12" customHeight="1" x14ac:dyDescent="0.25">
      <c r="A41" s="2477"/>
      <c r="B41" s="2478"/>
      <c r="C41" s="2478"/>
      <c r="D41" s="2478"/>
      <c r="E41" s="2478"/>
      <c r="F41" s="2479"/>
      <c r="H41" s="1557"/>
      <c r="I41" s="1557"/>
      <c r="J41" s="1557"/>
      <c r="K41" s="1557"/>
    </row>
    <row r="42" spans="1:15" s="1548" customFormat="1" ht="12" customHeight="1" x14ac:dyDescent="0.25">
      <c r="A42" s="2477"/>
      <c r="B42" s="2478"/>
      <c r="C42" s="2478"/>
      <c r="D42" s="2478"/>
      <c r="E42" s="2478"/>
      <c r="F42" s="2479"/>
      <c r="H42" s="1557"/>
      <c r="I42" s="1557"/>
      <c r="J42" s="1557"/>
      <c r="K42" s="1557"/>
    </row>
    <row r="43" spans="1:15" s="1548" customFormat="1" ht="15" x14ac:dyDescent="0.25">
      <c r="A43" s="2466"/>
      <c r="B43" s="2467"/>
      <c r="C43" s="2467"/>
      <c r="D43" s="2467"/>
      <c r="E43" s="2467"/>
      <c r="F43" s="2468"/>
      <c r="H43" s="1557"/>
      <c r="I43" s="1557"/>
      <c r="J43" s="1557"/>
      <c r="K43" s="1557"/>
    </row>
    <row r="44" spans="1:15" s="1548" customFormat="1" ht="12" hidden="1" customHeight="1" x14ac:dyDescent="0.25">
      <c r="A44" s="2466"/>
      <c r="B44" s="2467"/>
      <c r="C44" s="2467"/>
      <c r="D44" s="2467"/>
      <c r="E44" s="2467"/>
      <c r="F44" s="246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C34" sqref="C3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Beecher CUSD 200U </v>
      </c>
      <c r="J6" s="2494"/>
      <c r="K6" s="2495"/>
      <c r="R6" s="1427"/>
    </row>
    <row r="7" spans="1:18" x14ac:dyDescent="0.2">
      <c r="A7" s="2496" t="s">
        <v>864</v>
      </c>
      <c r="B7" s="2497"/>
      <c r="C7" s="2497"/>
      <c r="D7" s="2497"/>
      <c r="E7" s="2498"/>
      <c r="F7" s="847"/>
      <c r="G7" s="839"/>
      <c r="H7" s="846" t="s">
        <v>369</v>
      </c>
      <c r="I7" s="2499" t="str">
        <f>COVER!A13</f>
        <v xml:space="preserve">56099200U26 </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205520</v>
      </c>
      <c r="F12" s="1864"/>
      <c r="G12" s="1863">
        <f t="shared" ref="G12:G18" si="0">SUM(E12:F12)</f>
        <v>205520</v>
      </c>
      <c r="H12" s="1865">
        <v>193832</v>
      </c>
      <c r="I12" s="1864"/>
      <c r="J12" s="1865"/>
      <c r="K12" s="1863">
        <f t="shared" ref="K12:K18" si="1">SUM(H12:J12)</f>
        <v>193832</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205520</v>
      </c>
      <c r="F19" s="1868">
        <f t="shared" si="2"/>
        <v>0</v>
      </c>
      <c r="G19" s="1868">
        <f t="shared" si="2"/>
        <v>205520</v>
      </c>
      <c r="H19" s="1868">
        <f t="shared" si="2"/>
        <v>193832</v>
      </c>
      <c r="I19" s="1868">
        <f t="shared" si="2"/>
        <v>0</v>
      </c>
      <c r="J19" s="1868">
        <f t="shared" si="2"/>
        <v>0</v>
      </c>
      <c r="K19" s="1868">
        <f t="shared" si="2"/>
        <v>193832</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-5.6870377578824446E-2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C971C-0AD4-4DE1-B9FC-E8F0B2A6BF31}">
  <sheetPr>
    <pageSetUpPr fitToPage="1"/>
  </sheetPr>
  <dimension ref="A1:N72"/>
  <sheetViews>
    <sheetView showGridLines="0" topLeftCell="A52"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5" t="str">
        <f>COVER!A17</f>
        <v xml:space="preserve">   Beecher CUSD 200U </v>
      </c>
      <c r="K6" s="2515"/>
      <c r="L6" s="2516"/>
      <c r="M6" s="899"/>
      <c r="N6" s="1997"/>
    </row>
    <row r="7" spans="1:14" x14ac:dyDescent="0.25">
      <c r="A7" s="2517" t="s">
        <v>864</v>
      </c>
      <c r="B7" s="2518"/>
      <c r="C7" s="2518"/>
      <c r="D7" s="2518"/>
      <c r="E7" s="2519"/>
      <c r="F7" s="2001"/>
      <c r="G7" s="899"/>
      <c r="H7" s="899"/>
      <c r="I7" s="2000" t="s">
        <v>369</v>
      </c>
      <c r="J7" s="2520" t="str">
        <f>COVER!A13</f>
        <v xml:space="preserve">56099200U26 </v>
      </c>
      <c r="K7" s="2520"/>
      <c r="L7" s="2520"/>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1" t="s">
        <v>478</v>
      </c>
      <c r="B11" s="2522"/>
      <c r="C11" s="2523"/>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205520</v>
      </c>
      <c r="F12" s="2027"/>
      <c r="G12" s="2028">
        <f>G68</f>
        <v>0</v>
      </c>
      <c r="H12" s="2029">
        <f t="shared" ref="H12:H18" si="0">SUM(E12:G12)</f>
        <v>205520</v>
      </c>
      <c r="I12" s="2030">
        <v>193832</v>
      </c>
      <c r="J12" s="2027"/>
      <c r="K12" s="2030"/>
      <c r="L12" s="2029">
        <f t="shared" ref="L12:L18" si="1">SUM(I12:K12)</f>
        <v>193832</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205520</v>
      </c>
      <c r="F19" s="2035">
        <f t="shared" si="2"/>
        <v>0</v>
      </c>
      <c r="G19" s="2035">
        <f t="shared" ref="G19" si="3">SUM(G12:G17)-G18</f>
        <v>0</v>
      </c>
      <c r="H19" s="2035">
        <f t="shared" si="2"/>
        <v>205520</v>
      </c>
      <c r="I19" s="2035">
        <f t="shared" si="2"/>
        <v>193832</v>
      </c>
      <c r="J19" s="2035">
        <f t="shared" si="2"/>
        <v>0</v>
      </c>
      <c r="K19" s="2035">
        <f t="shared" si="2"/>
        <v>0</v>
      </c>
      <c r="L19" s="2035">
        <f t="shared" si="2"/>
        <v>193832</v>
      </c>
      <c r="M19" s="899"/>
      <c r="N19" s="1997"/>
    </row>
    <row r="20" spans="1:14" ht="15.75" thickTop="1" x14ac:dyDescent="0.25">
      <c r="A20" s="2022">
        <v>9</v>
      </c>
      <c r="B20" s="2513" t="s">
        <v>2031</v>
      </c>
      <c r="C20" s="2513"/>
      <c r="D20" s="2514"/>
      <c r="E20" s="2036"/>
      <c r="F20" s="2036"/>
      <c r="G20" s="2036"/>
      <c r="H20" s="2036"/>
      <c r="I20" s="2036"/>
      <c r="J20" s="2036"/>
      <c r="K20" s="2036"/>
      <c r="L20" s="2037">
        <f>IF(AND(H19&gt;0,L19&gt;0),(((L19-H19)/H19)),"Enter Budget Data")</f>
        <v>-5.6870377578824446E-2</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6"/>
      <c r="D27" s="2526"/>
      <c r="E27" s="2049"/>
      <c r="F27" s="2511"/>
      <c r="G27" s="2511"/>
      <c r="H27" s="2511"/>
      <c r="I27" s="899"/>
      <c r="J27" s="899"/>
      <c r="K27" s="899"/>
      <c r="L27" s="899"/>
      <c r="M27" s="899"/>
      <c r="N27" s="1997"/>
    </row>
    <row r="28" spans="1:14" x14ac:dyDescent="0.25">
      <c r="A28" s="1995"/>
      <c r="B28" s="2043"/>
      <c r="C28" s="2050" t="s">
        <v>1026</v>
      </c>
      <c r="D28" s="2051"/>
      <c r="E28" s="2052"/>
      <c r="F28" s="2527" t="s">
        <v>1495</v>
      </c>
      <c r="G28" s="2527"/>
      <c r="H28" s="2527"/>
      <c r="I28" s="899"/>
      <c r="J28" s="899"/>
      <c r="K28" s="899"/>
      <c r="L28" s="899"/>
      <c r="M28" s="899"/>
      <c r="N28" s="1997"/>
    </row>
    <row r="29" spans="1:14" x14ac:dyDescent="0.25">
      <c r="A29" s="1995"/>
      <c r="B29" s="2043"/>
      <c r="C29" s="2528"/>
      <c r="D29" s="2528"/>
      <c r="E29" s="898"/>
      <c r="F29" s="2528"/>
      <c r="G29" s="2528"/>
      <c r="H29" s="2528"/>
      <c r="I29" s="899"/>
      <c r="J29" s="899"/>
      <c r="K29" s="899"/>
      <c r="L29" s="899"/>
      <c r="M29" s="899"/>
      <c r="N29" s="1997"/>
    </row>
    <row r="30" spans="1:14" x14ac:dyDescent="0.25">
      <c r="A30" s="1995"/>
      <c r="B30" s="2043"/>
      <c r="C30" s="2053" t="s">
        <v>1547</v>
      </c>
      <c r="D30" s="899"/>
      <c r="E30" s="2054"/>
      <c r="F30" s="2529" t="s">
        <v>1496</v>
      </c>
      <c r="G30" s="2529"/>
      <c r="H30" s="2529"/>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0" t="s">
        <v>2035</v>
      </c>
      <c r="D34" s="2530"/>
      <c r="E34" s="2530"/>
      <c r="F34" s="2530"/>
      <c r="G34" s="2530"/>
      <c r="H34" s="2530"/>
      <c r="I34" s="2530"/>
      <c r="J34" s="2530"/>
      <c r="K34" s="2059"/>
      <c r="L34" s="899"/>
      <c r="M34" s="899"/>
      <c r="N34" s="1997"/>
    </row>
    <row r="35" spans="1:14" x14ac:dyDescent="0.25">
      <c r="A35" s="1995"/>
      <c r="B35" s="899"/>
      <c r="C35" s="2530"/>
      <c r="D35" s="2530"/>
      <c r="E35" s="2530"/>
      <c r="F35" s="2530"/>
      <c r="G35" s="2530"/>
      <c r="H35" s="2530"/>
      <c r="I35" s="2530"/>
      <c r="J35" s="2530"/>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0" t="s">
        <v>2036</v>
      </c>
      <c r="D37" s="2530"/>
      <c r="E37" s="2530"/>
      <c r="F37" s="2530"/>
      <c r="G37" s="2530"/>
      <c r="H37" s="2530"/>
      <c r="I37" s="2530"/>
      <c r="J37" s="2530"/>
      <c r="K37" s="2059"/>
      <c r="L37" s="887"/>
      <c r="M37" s="899"/>
      <c r="N37" s="1997"/>
    </row>
    <row r="38" spans="1:14" x14ac:dyDescent="0.25">
      <c r="A38" s="1995"/>
      <c r="B38" s="899"/>
      <c r="C38" s="2530"/>
      <c r="D38" s="2530"/>
      <c r="E38" s="2530"/>
      <c r="F38" s="2530"/>
      <c r="G38" s="2530"/>
      <c r="H38" s="2530"/>
      <c r="I38" s="2530"/>
      <c r="J38" s="2530"/>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1" t="s">
        <v>2037</v>
      </c>
      <c r="D40" s="2532"/>
      <c r="E40" s="2532"/>
      <c r="F40" s="2532"/>
      <c r="G40" s="2532"/>
      <c r="H40" s="2532"/>
      <c r="I40" s="2532"/>
      <c r="J40" s="2532"/>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3" t="s">
        <v>2038</v>
      </c>
      <c r="B43" s="2534"/>
      <c r="C43" s="2534"/>
      <c r="D43" s="2534"/>
      <c r="E43" s="2534"/>
      <c r="F43" s="2534"/>
      <c r="G43" s="2534"/>
      <c r="H43" s="2534"/>
      <c r="I43" s="2534"/>
      <c r="J43" s="2534"/>
      <c r="K43" s="2534"/>
      <c r="L43" s="2534"/>
      <c r="M43" s="2534"/>
      <c r="N43" s="2535"/>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36" t="s">
        <v>2040</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4" t="str">
        <f>J6</f>
        <v xml:space="preserve">   Beecher CUSD 200U </v>
      </c>
      <c r="M52" s="2524"/>
      <c r="N52" s="2525"/>
    </row>
    <row r="53" spans="1:14" x14ac:dyDescent="0.25">
      <c r="A53" s="2067"/>
      <c r="B53" s="2068"/>
      <c r="C53" s="2068"/>
      <c r="D53" s="2068"/>
      <c r="E53" s="2068"/>
      <c r="F53" s="2068"/>
      <c r="G53" s="2068"/>
      <c r="H53" s="2068"/>
      <c r="I53" s="2068"/>
      <c r="J53" s="2068"/>
      <c r="K53" s="2000" t="s">
        <v>369</v>
      </c>
      <c r="L53" s="2541" t="str">
        <f>J7</f>
        <v xml:space="preserve">56099200U26 </v>
      </c>
      <c r="M53" s="2541"/>
      <c r="N53" s="2542"/>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3"/>
      <c r="B55" s="2544"/>
      <c r="C55" s="2544"/>
      <c r="D55" s="2077"/>
      <c r="E55" s="2077"/>
      <c r="F55" s="2077"/>
      <c r="G55" s="2545" t="s">
        <v>2043</v>
      </c>
      <c r="H55" s="2545"/>
      <c r="I55" s="2545"/>
      <c r="J55" s="2545"/>
      <c r="K55" s="2545"/>
      <c r="L55" s="2545"/>
      <c r="M55" s="2545"/>
      <c r="N55" s="2546"/>
    </row>
    <row r="56" spans="1:14" ht="64.5" x14ac:dyDescent="0.25">
      <c r="A56" s="2547" t="s">
        <v>2044</v>
      </c>
      <c r="B56" s="2548"/>
      <c r="C56" s="2549"/>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50" t="s">
        <v>296</v>
      </c>
      <c r="B57" s="2551"/>
      <c r="C57" s="2551"/>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2" t="s">
        <v>2055</v>
      </c>
      <c r="B58" s="2553"/>
      <c r="C58" s="2553"/>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39" t="s">
        <v>297</v>
      </c>
      <c r="B59" s="2540"/>
      <c r="C59" s="2540"/>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39" t="s">
        <v>236</v>
      </c>
      <c r="B60" s="2540"/>
      <c r="C60" s="2540"/>
      <c r="D60" s="2087">
        <v>2364</v>
      </c>
      <c r="E60" s="2082">
        <f>'Expenditures 15-22'!K322</f>
        <v>63600</v>
      </c>
      <c r="F60" s="2083"/>
      <c r="G60" s="2088"/>
      <c r="H60" s="2089"/>
      <c r="I60" s="2089"/>
      <c r="J60" s="2089"/>
      <c r="K60" s="2089"/>
      <c r="L60" s="2089"/>
      <c r="M60" s="2089">
        <v>63600</v>
      </c>
      <c r="N60" s="2086">
        <f t="shared" si="4"/>
        <v>63600</v>
      </c>
    </row>
    <row r="61" spans="1:14" ht="24.75" customHeight="1" x14ac:dyDescent="0.25">
      <c r="A61" s="2539" t="s">
        <v>697</v>
      </c>
      <c r="B61" s="2540"/>
      <c r="C61" s="2540"/>
      <c r="D61" s="2087">
        <v>2365</v>
      </c>
      <c r="E61" s="2082">
        <f>'Expenditures 15-22'!K323</f>
        <v>0</v>
      </c>
      <c r="F61" s="2083"/>
      <c r="G61" s="2088"/>
      <c r="H61" s="2089"/>
      <c r="I61" s="2089"/>
      <c r="J61" s="2089"/>
      <c r="K61" s="2089"/>
      <c r="L61" s="2089"/>
      <c r="M61" s="2089"/>
      <c r="N61" s="2086">
        <f t="shared" si="4"/>
        <v>0</v>
      </c>
    </row>
    <row r="62" spans="1:14" ht="24.75" customHeight="1" x14ac:dyDescent="0.25">
      <c r="A62" s="2539" t="s">
        <v>237</v>
      </c>
      <c r="B62" s="2540"/>
      <c r="C62" s="2540"/>
      <c r="D62" s="2087">
        <v>2366</v>
      </c>
      <c r="E62" s="2082">
        <f>'Expenditures 15-22'!K324</f>
        <v>0</v>
      </c>
      <c r="F62" s="2083"/>
      <c r="G62" s="2088"/>
      <c r="H62" s="2089"/>
      <c r="I62" s="2089"/>
      <c r="J62" s="2089"/>
      <c r="K62" s="2089"/>
      <c r="L62" s="2089"/>
      <c r="M62" s="2089"/>
      <c r="N62" s="2086">
        <f t="shared" si="4"/>
        <v>0</v>
      </c>
    </row>
    <row r="63" spans="1:14" ht="24.75" customHeight="1" x14ac:dyDescent="0.25">
      <c r="A63" s="2552" t="s">
        <v>1022</v>
      </c>
      <c r="B63" s="2553"/>
      <c r="C63" s="2553"/>
      <c r="D63" s="2087">
        <v>2367</v>
      </c>
      <c r="E63" s="2082">
        <f>'Expenditures 15-22'!K325</f>
        <v>0</v>
      </c>
      <c r="F63" s="2083"/>
      <c r="G63" s="2088"/>
      <c r="H63" s="2089"/>
      <c r="I63" s="2089"/>
      <c r="J63" s="2089"/>
      <c r="K63" s="2089"/>
      <c r="L63" s="2089"/>
      <c r="M63" s="2089"/>
      <c r="N63" s="2086">
        <f t="shared" si="4"/>
        <v>0</v>
      </c>
    </row>
    <row r="64" spans="1:14" ht="24.75" customHeight="1" x14ac:dyDescent="0.25">
      <c r="A64" s="2539" t="s">
        <v>1023</v>
      </c>
      <c r="B64" s="2540"/>
      <c r="C64" s="2540"/>
      <c r="D64" s="2087">
        <v>2368</v>
      </c>
      <c r="E64" s="2082">
        <f>'Expenditures 15-22'!K326</f>
        <v>0</v>
      </c>
      <c r="F64" s="2083"/>
      <c r="G64" s="2088"/>
      <c r="H64" s="2089"/>
      <c r="I64" s="2089"/>
      <c r="J64" s="2089"/>
      <c r="K64" s="2089"/>
      <c r="L64" s="2089"/>
      <c r="M64" s="2089"/>
      <c r="N64" s="2086">
        <f t="shared" si="4"/>
        <v>0</v>
      </c>
    </row>
    <row r="65" spans="1:14" ht="24" customHeight="1" x14ac:dyDescent="0.25">
      <c r="A65" s="2539" t="s">
        <v>965</v>
      </c>
      <c r="B65" s="2540"/>
      <c r="C65" s="2540"/>
      <c r="D65" s="2087">
        <v>2369</v>
      </c>
      <c r="E65" s="2082">
        <f>'Expenditures 15-22'!K327</f>
        <v>0</v>
      </c>
      <c r="F65" s="2083"/>
      <c r="G65" s="2088"/>
      <c r="H65" s="2089"/>
      <c r="I65" s="2089"/>
      <c r="J65" s="2089"/>
      <c r="K65" s="2089"/>
      <c r="L65" s="2089"/>
      <c r="M65" s="2089"/>
      <c r="N65" s="2086">
        <f t="shared" si="4"/>
        <v>0</v>
      </c>
    </row>
    <row r="66" spans="1:14" ht="24.75" customHeight="1" x14ac:dyDescent="0.25">
      <c r="A66" s="2539" t="s">
        <v>469</v>
      </c>
      <c r="B66" s="2540"/>
      <c r="C66" s="2540"/>
      <c r="D66" s="2087">
        <v>2371</v>
      </c>
      <c r="E66" s="2082">
        <f>'Expenditures 15-22'!K328</f>
        <v>0</v>
      </c>
      <c r="F66" s="2083"/>
      <c r="G66" s="2088"/>
      <c r="H66" s="2089"/>
      <c r="I66" s="2089"/>
      <c r="J66" s="2089"/>
      <c r="K66" s="2089"/>
      <c r="L66" s="2089"/>
      <c r="M66" s="2089"/>
      <c r="N66" s="2086">
        <f t="shared" si="4"/>
        <v>0</v>
      </c>
    </row>
    <row r="67" spans="1:14" ht="24.75" customHeight="1" x14ac:dyDescent="0.25">
      <c r="A67" s="2558" t="s">
        <v>2056</v>
      </c>
      <c r="B67" s="2559"/>
      <c r="C67" s="2559"/>
      <c r="D67" s="2090">
        <v>2372</v>
      </c>
      <c r="E67" s="2082">
        <f>'Expenditures 15-22'!K329</f>
        <v>0</v>
      </c>
      <c r="F67" s="2083"/>
      <c r="G67" s="2091"/>
      <c r="H67" s="2092"/>
      <c r="I67" s="2092"/>
      <c r="J67" s="2092"/>
      <c r="K67" s="2092"/>
      <c r="L67" s="2092"/>
      <c r="M67" s="2092"/>
      <c r="N67" s="2086">
        <f t="shared" si="4"/>
        <v>0</v>
      </c>
    </row>
    <row r="68" spans="1:14" x14ac:dyDescent="0.25">
      <c r="A68" s="2560" t="s">
        <v>1153</v>
      </c>
      <c r="B68" s="2561"/>
      <c r="C68" s="2561"/>
      <c r="D68" s="2077"/>
      <c r="E68" s="2093">
        <f>SUM(E57:E67)</f>
        <v>63600</v>
      </c>
      <c r="F68" s="2094"/>
      <c r="G68" s="2093">
        <f t="shared" ref="G68:N68" si="5">SUM(G57:G67)</f>
        <v>0</v>
      </c>
      <c r="H68" s="2093">
        <f t="shared" si="5"/>
        <v>0</v>
      </c>
      <c r="I68" s="2093">
        <f t="shared" si="5"/>
        <v>0</v>
      </c>
      <c r="J68" s="2093">
        <f t="shared" si="5"/>
        <v>0</v>
      </c>
      <c r="K68" s="2093">
        <f t="shared" si="5"/>
        <v>0</v>
      </c>
      <c r="L68" s="2093">
        <f t="shared" si="5"/>
        <v>0</v>
      </c>
      <c r="M68" s="2093">
        <f t="shared" si="5"/>
        <v>63600</v>
      </c>
      <c r="N68" s="2095">
        <f t="shared" si="5"/>
        <v>63600</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54" t="s">
        <v>2060</v>
      </c>
      <c r="I70" s="2554"/>
      <c r="J70" s="2554"/>
      <c r="K70" s="2097"/>
      <c r="L70" s="2554" t="s">
        <v>2061</v>
      </c>
      <c r="M70" s="2554"/>
      <c r="N70" s="2562"/>
    </row>
    <row r="71" spans="1:14" ht="42.75" customHeight="1" x14ac:dyDescent="0.25">
      <c r="A71" s="2096"/>
      <c r="B71" s="2097"/>
      <c r="C71" s="2097"/>
      <c r="D71" s="2097"/>
      <c r="E71" s="2097"/>
      <c r="F71" s="2097"/>
      <c r="G71" s="2097"/>
      <c r="H71" s="2554" t="s">
        <v>2062</v>
      </c>
      <c r="I71" s="2554"/>
      <c r="J71" s="2554"/>
      <c r="K71" s="2097"/>
      <c r="L71" s="2555" t="s">
        <v>2063</v>
      </c>
      <c r="M71" s="2555"/>
      <c r="N71" s="2556"/>
    </row>
    <row r="72" spans="1:14" ht="52.5" customHeight="1" thickBot="1" x14ac:dyDescent="0.3">
      <c r="A72" s="2101"/>
      <c r="B72" s="2102"/>
      <c r="C72" s="2102"/>
      <c r="D72" s="2102"/>
      <c r="E72" s="2102"/>
      <c r="F72" s="2102"/>
      <c r="G72" s="2102"/>
      <c r="H72" s="2557" t="s">
        <v>2064</v>
      </c>
      <c r="I72" s="2557"/>
      <c r="J72" s="2557"/>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DF3B840A-0C75-4AAC-9170-615A5388AF8A}"/>
    <dataValidation allowBlank="1" showInputMessage="1" showErrorMessage="1" prompt="Link cell K328 from &quot;Expenditures 15-22&quot; tab" sqref="E66" xr:uid="{25B8AC74-74EA-42F6-8844-22EFC463572D}"/>
    <dataValidation allowBlank="1" showInputMessage="1" showErrorMessage="1" prompt="Link cell K327 from &quot;Expenditures 15-22&quot; tab" sqref="E65" xr:uid="{8DB521E1-FE54-45A8-9A4B-BF6D6B6965E6}"/>
    <dataValidation allowBlank="1" showInputMessage="1" showErrorMessage="1" prompt="Link cell K326 from &quot;Expenditures 15-22&quot; tab" sqref="E64" xr:uid="{40C66C7E-A976-4928-B12A-AABA0F507F49}"/>
    <dataValidation allowBlank="1" showInputMessage="1" showErrorMessage="1" prompt="Link cell K325 from &quot;Expenditures 15-22&quot; tab" sqref="E63" xr:uid="{ADFD4697-0640-4960-988A-37DB9B04C945}"/>
    <dataValidation allowBlank="1" showInputMessage="1" showErrorMessage="1" prompt="Link cell K324 from &quot;Expenditures 15-22&quot; tab" sqref="E62" xr:uid="{BA047536-F9A1-4D96-A379-71A7953B845A}"/>
    <dataValidation allowBlank="1" showInputMessage="1" showErrorMessage="1" prompt="Link cell K323 from &quot;Expenditures 15-22&quot; tab" sqref="E61" xr:uid="{AC17D6BD-F6E1-4EBB-A3EF-B63EA58C776D}"/>
    <dataValidation allowBlank="1" showInputMessage="1" showErrorMessage="1" prompt="Link cell K322 from &quot;Expenditures 15-22&quot; tab" sqref="E60" xr:uid="{3D9146CA-1481-41ED-810C-CB9F6637110F}"/>
    <dataValidation allowBlank="1" showInputMessage="1" showErrorMessage="1" prompt="Link cell K321 from &quot;Expenditures 15-22&quot; tab" sqref="E59" xr:uid="{BB17F183-A2C3-4E2E-86C2-2B0C56E4E054}"/>
    <dataValidation allowBlank="1" showInputMessage="1" showErrorMessage="1" prompt="Link cell K320 from &quot;Expenditures 15-22&quot; tab" sqref="E58" xr:uid="{AD297A6A-CA89-4B31-94D8-395C51BB26EB}"/>
    <dataValidation allowBlank="1" showInputMessage="1" showErrorMessage="1" prompt="Link cell K319 from &quot;Expenditures 15-22&quot; tab" sqref="E57" xr:uid="{F0BEB25A-8CBB-4B83-AD8C-A8276C942910}"/>
    <dataValidation allowBlank="1" showInputMessage="1" showErrorMessage="1" prompt="Link cell K122 from &quot;Expenditures 15-22&quot; tab" sqref="F15" xr:uid="{D78C157D-6FB6-4433-9B1C-EBAD83B842DB}"/>
    <dataValidation allowBlank="1" showInputMessage="1" showErrorMessage="1" prompt="Link cell K67 from &quot;Expenditures 15-22&quot; tab" sqref="E17" xr:uid="{FE673653-3116-45FA-BA42-789759144A87}"/>
    <dataValidation allowBlank="1" showInputMessage="1" showErrorMessage="1" prompt="Link cell K64 from &quot;Expenditures 15-22&quot; tab" sqref="E16" xr:uid="{D27AB6C3-5848-4D89-81BD-2ACAAD9B5B8E}"/>
    <dataValidation allowBlank="1" showInputMessage="1" showErrorMessage="1" prompt="Link cell K59 from &quot;Expenditures 15-22&quot; tab" sqref="E15" xr:uid="{69D9FE74-CFBA-4FDC-9BD9-C85BB65E8C0A}"/>
    <dataValidation allowBlank="1" showInputMessage="1" showErrorMessage="1" prompt="Link cell K56 from &quot;Expenditures 15-22&quot; tab" sqref="E14" xr:uid="{823C5406-74A1-4AF0-9E78-8938179887C8}"/>
    <dataValidation allowBlank="1" showInputMessage="1" showErrorMessage="1" prompt="Link cell K51 from &quot;Expenditures 15-22&quot; tab" sqref="E13" xr:uid="{046B7041-F5AD-4CF4-8447-37CE7ED3C817}"/>
    <dataValidation allowBlank="1" showInputMessage="1" showErrorMessage="1" prompt="Link cell K50 from &quot;Expenditures 15-22&quot; tab " sqref="E12" xr:uid="{8963A797-D158-4D3A-A190-756052C28C2A}"/>
    <dataValidation allowBlank="1" showInputMessage="1" showErrorMessage="1" prompt="Link cell A13 from &quot;Cover&quot; tab" sqref="J7:L7" xr:uid="{FA16A70B-6B57-4556-992E-B243F137B397}"/>
    <dataValidation allowBlank="1" showInputMessage="1" showErrorMessage="1" prompt="Link cell A17 from &quot;Cover&quot; tab" sqref="J6:L6" xr:uid="{AFD5CD69-51F0-4F64-88A1-20033781F10A}"/>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34" sqref="C3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34" sqref="C3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Beecher CUSD 200U </v>
      </c>
    </row>
    <row r="65" spans="2:2" x14ac:dyDescent="0.2">
      <c r="B65" s="894" t="str">
        <f>COVER!A13</f>
        <v xml:space="preserve">56099200U26 </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4" sqref="C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7</xdr:row>
                <xdr:rowOff>0</xdr:rowOff>
              </from>
              <to>
                <xdr:col>1</xdr:col>
                <xdr:colOff>933450</xdr:colOff>
                <xdr:row>11</xdr:row>
                <xdr:rowOff>142875</xdr:rowOff>
              </to>
            </anchor>
          </objectPr>
        </oleObject>
      </mc:Choice>
      <mc:Fallback>
        <oleObject progId="Acrobat Document" dvAspect="DVASPECT_ICON" shapeId="4198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34" sqref="C3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7284646</v>
      </c>
      <c r="C8" s="1871">
        <f>'Acct Summary 7-8'!D8</f>
        <v>3232389</v>
      </c>
      <c r="D8" s="1871">
        <f>'Acct Summary 7-8'!F8</f>
        <v>1041654</v>
      </c>
      <c r="E8" s="1871">
        <f>'Acct Summary 7-8'!I8</f>
        <v>77811</v>
      </c>
      <c r="F8" s="1871">
        <f>SUM(B8:E8)</f>
        <v>11636500</v>
      </c>
    </row>
    <row r="9" spans="1:8" s="903" customFormat="1" ht="14.25" customHeight="1" thickBot="1" x14ac:dyDescent="0.25">
      <c r="A9" s="902" t="s">
        <v>1355</v>
      </c>
      <c r="B9" s="1872">
        <f>'Acct Summary 7-8'!C17</f>
        <v>9672407</v>
      </c>
      <c r="C9" s="1872">
        <f>'Acct Summary 7-8'!D17</f>
        <v>1474918</v>
      </c>
      <c r="D9" s="1872">
        <f>'Acct Summary 7-8'!F17</f>
        <v>875294</v>
      </c>
      <c r="E9" s="1871"/>
      <c r="F9" s="1871">
        <f>SUM(B9:E9)</f>
        <v>12022619</v>
      </c>
    </row>
    <row r="10" spans="1:8" s="903" customFormat="1" ht="14.25" thickTop="1" thickBot="1" x14ac:dyDescent="0.25">
      <c r="A10" s="904" t="s">
        <v>1356</v>
      </c>
      <c r="B10" s="1873">
        <f>(B8-B9)</f>
        <v>-2387761</v>
      </c>
      <c r="C10" s="1873">
        <f>(C8-C9)</f>
        <v>1757471</v>
      </c>
      <c r="D10" s="1873">
        <f>(D8-D9)</f>
        <v>166360</v>
      </c>
      <c r="E10" s="1872">
        <f>(E8-E9)</f>
        <v>77811</v>
      </c>
      <c r="F10" s="1874">
        <f>SUM(F8-F9)</f>
        <v>-386119</v>
      </c>
    </row>
    <row r="11" spans="1:8" s="903" customFormat="1" ht="14.25" thickTop="1" thickBot="1" x14ac:dyDescent="0.25">
      <c r="A11" s="905" t="s">
        <v>1906</v>
      </c>
      <c r="B11" s="1875">
        <f>'Acct Summary 7-8'!C81</f>
        <v>6225961</v>
      </c>
      <c r="C11" s="1875">
        <f>'Acct Summary 7-8'!D81</f>
        <v>3420032</v>
      </c>
      <c r="D11" s="1875">
        <f>'Acct Summary 7-8'!F81</f>
        <v>1668775</v>
      </c>
      <c r="E11" s="1875">
        <f>'Acct Summary 7-8'!I81</f>
        <v>2470428</v>
      </c>
      <c r="F11" s="1876">
        <f>SUM(B11:E11)</f>
        <v>13785196</v>
      </c>
    </row>
    <row r="12" spans="1:8" ht="16.5" customHeight="1" thickTop="1" x14ac:dyDescent="0.2">
      <c r="A12" s="906"/>
      <c r="B12" s="907"/>
      <c r="C12" s="2568" t="str">
        <f>IF(AND(F10&lt;0,F11&gt;=0,ABS(F10*3)&gt;ABS(F11)),A16,IF(AND(F10&lt;0,F11&gt;0,ABS(F10*3)&lt;=ABS(F11)),A17,IF(AND(F10&lt;0,F11&lt;0),A16,IF(F11=0,A19,A18))))</f>
        <v>Unbalanced -  however, a deficit reduction plan is not required at this time.</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C34" sqref="C3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 xml:space="preserve">56099200U26 </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 xml:space="preserve">   Beecher CUSD 200U </v>
      </c>
      <c r="E4" s="1886">
        <v>44119</v>
      </c>
      <c r="F4" s="1887">
        <v>44151</v>
      </c>
      <c r="G4" s="1962">
        <v>101000600</v>
      </c>
    </row>
    <row r="5" spans="1:7" ht="15" x14ac:dyDescent="0.25">
      <c r="A5" t="s">
        <v>699</v>
      </c>
      <c r="B5" s="135" t="str">
        <f>COVER!A38</f>
        <v>K. BRADLEY COX</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GASSENSMITH</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t="str">
        <f>COVER!B34</f>
        <v>X</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Yes</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36495</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6225961</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6225961</v>
      </c>
      <c r="D92" s="2" t="str">
        <f t="shared" si="0"/>
        <v>Error?</v>
      </c>
      <c r="G92" s="1962">
        <v>102640600</v>
      </c>
    </row>
    <row r="93" spans="1:7" ht="15" x14ac:dyDescent="0.25">
      <c r="A93" s="5">
        <v>32</v>
      </c>
      <c r="B93" s="1890">
        <f>'Assets-Liab 5-6'!C41</f>
        <v>6225961</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3420032</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3420032</v>
      </c>
      <c r="D123" s="2" t="str">
        <f t="shared" si="0"/>
        <v>Error?</v>
      </c>
      <c r="G123" s="1962">
        <v>203000400</v>
      </c>
    </row>
    <row r="124" spans="1:7" ht="15" x14ac:dyDescent="0.25">
      <c r="A124" s="5">
        <v>63</v>
      </c>
      <c r="B124" s="1890">
        <f>'Assets-Liab 5-6'!D41</f>
        <v>3420032</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921449</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921449</v>
      </c>
      <c r="D140" s="2" t="str">
        <f t="shared" si="1"/>
        <v>Error?</v>
      </c>
    </row>
    <row r="141" spans="1:7" x14ac:dyDescent="0.2">
      <c r="A141" s="5">
        <v>80</v>
      </c>
      <c r="B141" s="1890">
        <f>'Assets-Liab 5-6'!E41</f>
        <v>921449</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1668775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1668775</v>
      </c>
      <c r="D170" s="2" t="str">
        <f t="shared" si="1"/>
        <v>Error?</v>
      </c>
    </row>
    <row r="171" spans="1:4" x14ac:dyDescent="0.2">
      <c r="A171" s="5">
        <v>110</v>
      </c>
      <c r="B171" s="1890">
        <f>'Assets-Liab 5-6'!F41</f>
        <v>1668775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120804</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120804</v>
      </c>
      <c r="D189" s="2" t="str">
        <f t="shared" si="1"/>
        <v>Error?</v>
      </c>
    </row>
    <row r="190" spans="1:4" x14ac:dyDescent="0.2">
      <c r="A190" s="5">
        <v>129</v>
      </c>
      <c r="B190" s="1890">
        <f>'Assets-Liab 5-6'!G41</f>
        <v>120804</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205753</v>
      </c>
      <c r="D273" s="2" t="str">
        <f t="shared" si="3"/>
        <v>Error?</v>
      </c>
    </row>
    <row r="274" spans="1:4" x14ac:dyDescent="0.2">
      <c r="A274" s="5">
        <v>213</v>
      </c>
      <c r="B274" s="1890">
        <f>'Assets-Liab 5-6'!M17</f>
        <v>20839082</v>
      </c>
      <c r="D274" s="2" t="str">
        <f t="shared" si="3"/>
        <v>Error?</v>
      </c>
    </row>
    <row r="275" spans="1:4" x14ac:dyDescent="0.2">
      <c r="A275" s="5">
        <v>214</v>
      </c>
      <c r="B275" s="1890">
        <f>'Assets-Liab 5-6'!M18</f>
        <v>2673652</v>
      </c>
      <c r="D275" s="2" t="str">
        <f t="shared" si="3"/>
        <v>Error?</v>
      </c>
    </row>
    <row r="276" spans="1:4" x14ac:dyDescent="0.2">
      <c r="A276" s="5">
        <v>215</v>
      </c>
      <c r="B276" s="1890">
        <f>'Assets-Liab 5-6'!M19</f>
        <v>6423930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30142417</v>
      </c>
      <c r="C279" s="2" t="s">
        <v>569</v>
      </c>
      <c r="D279" s="2" t="str">
        <f t="shared" si="3"/>
        <v>Error?</v>
      </c>
    </row>
    <row r="280" spans="1:4" x14ac:dyDescent="0.2">
      <c r="A280" s="5">
        <v>219</v>
      </c>
      <c r="B280" s="1890">
        <f>'Assets-Liab 5-6'!M40</f>
        <v>30142417</v>
      </c>
      <c r="D280" s="2" t="str">
        <f t="shared" si="3"/>
        <v>Error?</v>
      </c>
    </row>
    <row r="281" spans="1:4" x14ac:dyDescent="0.2">
      <c r="A281" s="5">
        <v>220</v>
      </c>
      <c r="B281" s="1890">
        <f>'Assets-Liab 5-6'!M41</f>
        <v>30142417</v>
      </c>
      <c r="C281" s="2" t="s">
        <v>569</v>
      </c>
      <c r="D281" s="2" t="str">
        <f t="shared" si="3"/>
        <v>Error?</v>
      </c>
    </row>
    <row r="282" spans="1:4" x14ac:dyDescent="0.2">
      <c r="A282" s="5">
        <v>221</v>
      </c>
      <c r="B282" s="1890">
        <f>'Assets-Liab 5-6'!N21</f>
        <v>921449</v>
      </c>
      <c r="D282" s="2" t="str">
        <f t="shared" si="3"/>
        <v>Error?</v>
      </c>
    </row>
    <row r="283" spans="1:4" x14ac:dyDescent="0.2">
      <c r="A283" s="5">
        <v>222</v>
      </c>
      <c r="B283" s="1890">
        <f>'Assets-Liab 5-6'!N22</f>
        <v>5245272</v>
      </c>
      <c r="D283" s="2" t="str">
        <f t="shared" si="3"/>
        <v>Error?</v>
      </c>
    </row>
    <row r="284" spans="1:4" x14ac:dyDescent="0.2">
      <c r="A284" s="5">
        <v>223</v>
      </c>
      <c r="B284" s="1890">
        <f>'Assets-Liab 5-6'!N23</f>
        <v>6166721</v>
      </c>
      <c r="C284" s="2" t="s">
        <v>569</v>
      </c>
      <c r="D284" s="2" t="str">
        <f t="shared" si="3"/>
        <v>Error?</v>
      </c>
    </row>
    <row r="285" spans="1:4" x14ac:dyDescent="0.2">
      <c r="A285" s="5">
        <v>224</v>
      </c>
      <c r="B285" s="1890">
        <f>'Assets-Liab 5-6'!N36</f>
        <v>6166721</v>
      </c>
      <c r="D285" s="2" t="str">
        <f t="shared" si="3"/>
        <v>Error?</v>
      </c>
    </row>
    <row r="286" spans="1:4" x14ac:dyDescent="0.2">
      <c r="A286" s="10">
        <v>225</v>
      </c>
      <c r="B286" s="1890"/>
      <c r="D286" s="2" t="str">
        <f t="shared" si="3"/>
        <v>OK</v>
      </c>
    </row>
    <row r="287" spans="1:4" x14ac:dyDescent="0.2">
      <c r="A287" s="5">
        <v>226</v>
      </c>
      <c r="B287" s="1890">
        <f>'Assets-Liab 5-6'!N37</f>
        <v>6166721</v>
      </c>
      <c r="C287" s="2" t="s">
        <v>569</v>
      </c>
      <c r="D287" s="2" t="str">
        <f t="shared" si="3"/>
        <v>Error?</v>
      </c>
    </row>
    <row r="288" spans="1:4" x14ac:dyDescent="0.2">
      <c r="A288" s="5">
        <v>227</v>
      </c>
      <c r="B288" s="1890">
        <f>'Assets-Liab 5-6'!N41</f>
        <v>6166721</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3963237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121510</v>
      </c>
      <c r="D717" s="2" t="str">
        <f t="shared" si="10"/>
        <v>Error?</v>
      </c>
    </row>
    <row r="718" spans="1:4" x14ac:dyDescent="0.2">
      <c r="A718" s="5">
        <v>657</v>
      </c>
      <c r="B718" s="1890">
        <f>'Expenditures 15-22'!C14</f>
        <v>220847</v>
      </c>
      <c r="D718" s="2" t="str">
        <f t="shared" si="10"/>
        <v>Error?</v>
      </c>
    </row>
    <row r="719" spans="1:4" x14ac:dyDescent="0.2">
      <c r="A719" s="5">
        <v>658</v>
      </c>
      <c r="B719" s="1890">
        <f>'Expenditures 15-22'!C15</f>
        <v>9120</v>
      </c>
      <c r="D719" s="2" t="str">
        <f t="shared" si="10"/>
        <v>Error?</v>
      </c>
    </row>
    <row r="720" spans="1:4" x14ac:dyDescent="0.2">
      <c r="A720" s="5">
        <v>659</v>
      </c>
      <c r="B720" s="1890">
        <f>'Expenditures 15-22'!C33</f>
        <v>5315190</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65395</v>
      </c>
      <c r="D722" s="2" t="str">
        <f t="shared" si="10"/>
        <v>Error?</v>
      </c>
    </row>
    <row r="723" spans="1:4" x14ac:dyDescent="0.2">
      <c r="A723" s="5">
        <v>662</v>
      </c>
      <c r="B723" s="1890">
        <f>'Expenditures 15-22'!C38</f>
        <v>57292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122687</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50103</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50103</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151859</v>
      </c>
      <c r="D733" s="2" t="str">
        <f t="shared" si="10"/>
        <v>Error?</v>
      </c>
    </row>
    <row r="734" spans="1:4" x14ac:dyDescent="0.2">
      <c r="A734" s="5">
        <v>673</v>
      </c>
      <c r="B734" s="1890">
        <f>'Expenditures 15-22'!C53</f>
        <v>151859</v>
      </c>
      <c r="C734" s="2" t="s">
        <v>569</v>
      </c>
      <c r="D734" s="2" t="str">
        <f t="shared" si="10"/>
        <v>Error?</v>
      </c>
    </row>
    <row r="735" spans="1:4" x14ac:dyDescent="0.2">
      <c r="A735" s="5">
        <v>674</v>
      </c>
      <c r="B735" s="1890">
        <f>'Expenditures 15-22'!C55</f>
        <v>427406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427406</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131542</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91703</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223245</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975300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6290490</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545983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16756</v>
      </c>
      <c r="D775" s="2" t="str">
        <f t="shared" si="11"/>
        <v>Error?</v>
      </c>
    </row>
    <row r="776" spans="1:4" x14ac:dyDescent="0.2">
      <c r="A776" s="5">
        <v>715</v>
      </c>
      <c r="B776" s="1890">
        <f>'Expenditures 15-22'!D14</f>
        <v>2535</v>
      </c>
      <c r="D776" s="2" t="str">
        <f t="shared" si="11"/>
        <v>Error?</v>
      </c>
    </row>
    <row r="777" spans="1:4" x14ac:dyDescent="0.2">
      <c r="A777" s="5">
        <v>716</v>
      </c>
      <c r="B777" s="1890">
        <f>'Expenditures 15-22'!D15</f>
        <v>41</v>
      </c>
      <c r="D777" s="2" t="str">
        <f t="shared" si="11"/>
        <v>Error?</v>
      </c>
    </row>
    <row r="778" spans="1:4" x14ac:dyDescent="0.2">
      <c r="A778" s="5">
        <v>717</v>
      </c>
      <c r="B778" s="1890">
        <f>'Expenditures 15-22'!D33</f>
        <v>704433</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9989</v>
      </c>
      <c r="D780" s="2" t="str">
        <f t="shared" si="11"/>
        <v>Error?</v>
      </c>
    </row>
    <row r="781" spans="1:4" x14ac:dyDescent="0.2">
      <c r="A781" s="5">
        <v>720</v>
      </c>
      <c r="B781" s="1890">
        <f>'Expenditures 15-22'!D38</f>
        <v>7245</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17234</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6796</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6796</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47815</v>
      </c>
      <c r="D791" s="2" t="str">
        <f t="shared" si="11"/>
        <v>Error?</v>
      </c>
    </row>
    <row r="792" spans="1:4" x14ac:dyDescent="0.2">
      <c r="A792" s="5">
        <v>731</v>
      </c>
      <c r="B792" s="1890">
        <f>'Expenditures 15-22'!D53</f>
        <v>47815</v>
      </c>
      <c r="C792" s="2" t="s">
        <v>569</v>
      </c>
      <c r="D792" s="2" t="str">
        <f t="shared" si="11"/>
        <v>Error?</v>
      </c>
    </row>
    <row r="793" spans="1:4" x14ac:dyDescent="0.2">
      <c r="A793" s="5">
        <v>732</v>
      </c>
      <c r="B793" s="1890">
        <f>'Expenditures 15-22'!D55</f>
        <v>84332</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84332</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67495</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110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67605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223782</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928215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106700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90</v>
      </c>
      <c r="D833" s="2" t="str">
        <f t="shared" si="12"/>
        <v>Error?</v>
      </c>
    </row>
    <row r="834" spans="1:4" x14ac:dyDescent="0.2">
      <c r="A834" s="5">
        <v>773</v>
      </c>
      <c r="B834" s="1890">
        <f>'Expenditures 15-22'!E14</f>
        <v>47796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159623</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3853</v>
      </c>
      <c r="D838" s="2" t="str">
        <f t="shared" si="12"/>
        <v>Error?</v>
      </c>
    </row>
    <row r="839" spans="1:4" x14ac:dyDescent="0.2">
      <c r="A839" s="5">
        <v>778</v>
      </c>
      <c r="B839" s="1890">
        <f>'Expenditures 15-22'!E38</f>
        <v>4614</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8467</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860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860</v>
      </c>
      <c r="C847" s="2" t="s">
        <v>569</v>
      </c>
      <c r="D847" s="2" t="str">
        <f t="shared" si="12"/>
        <v>Error?</v>
      </c>
    </row>
    <row r="848" spans="1:4" x14ac:dyDescent="0.2">
      <c r="A848" s="5">
        <v>787</v>
      </c>
      <c r="B848" s="1890">
        <f>'Expenditures 15-22'!E49</f>
        <v>10098</v>
      </c>
      <c r="D848" s="2" t="str">
        <f t="shared" si="12"/>
        <v>Error?</v>
      </c>
    </row>
    <row r="849" spans="1:4" x14ac:dyDescent="0.2">
      <c r="A849" s="5">
        <v>788</v>
      </c>
      <c r="B849" s="1890">
        <f>'Expenditures 15-22'!E50</f>
        <v>4255</v>
      </c>
      <c r="D849" s="2" t="str">
        <f t="shared" si="12"/>
        <v>Error?</v>
      </c>
    </row>
    <row r="850" spans="1:4" x14ac:dyDescent="0.2">
      <c r="A850" s="5">
        <v>789</v>
      </c>
      <c r="B850" s="1890">
        <f>'Expenditures 15-22'!E53</f>
        <v>14353</v>
      </c>
      <c r="C850" s="2" t="s">
        <v>569</v>
      </c>
      <c r="D850" s="2" t="str">
        <f t="shared" si="12"/>
        <v>Error?</v>
      </c>
    </row>
    <row r="851" spans="1:4" x14ac:dyDescent="0.2">
      <c r="A851" s="5">
        <v>790</v>
      </c>
      <c r="B851" s="1890">
        <f>'Expenditures 15-22'!E55</f>
        <v>6483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6483</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179134</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60082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239216</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269379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433340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319107</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5750</v>
      </c>
      <c r="D891" s="2" t="str">
        <f t="shared" si="12"/>
        <v>Error?</v>
      </c>
    </row>
    <row r="892" spans="1:4" x14ac:dyDescent="0.2">
      <c r="A892" s="5">
        <v>831</v>
      </c>
      <c r="B892" s="1890">
        <f>'Expenditures 15-22'!F14</f>
        <v>1048</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337140</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3138</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3138</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13365</v>
      </c>
      <c r="D903" s="2" t="str">
        <f t="shared" si="13"/>
        <v>Error?</v>
      </c>
    </row>
    <row r="904" spans="1:4" x14ac:dyDescent="0.2">
      <c r="A904" s="5">
        <v>843</v>
      </c>
      <c r="B904" s="1890">
        <f>'Expenditures 15-22'!F46</f>
        <v>3503</v>
      </c>
      <c r="D904" s="2" t="str">
        <f t="shared" si="13"/>
        <v>Error?</v>
      </c>
    </row>
    <row r="905" spans="1:4" x14ac:dyDescent="0.2">
      <c r="A905" s="5">
        <v>844</v>
      </c>
      <c r="B905" s="1890">
        <f>'Expenditures 15-22'!F47</f>
        <v>16868</v>
      </c>
      <c r="C905" s="2" t="s">
        <v>569</v>
      </c>
      <c r="D905" s="2" t="str">
        <f t="shared" si="13"/>
        <v>Error?</v>
      </c>
    </row>
    <row r="906" spans="1:4" x14ac:dyDescent="0.2">
      <c r="A906" s="5">
        <v>845</v>
      </c>
      <c r="B906" s="1890">
        <f>'Expenditures 15-22'!F49</f>
        <v>108</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108</v>
      </c>
      <c r="C908" s="2" t="s">
        <v>569</v>
      </c>
      <c r="D908" s="2" t="str">
        <f t="shared" si="13"/>
        <v>Error?</v>
      </c>
    </row>
    <row r="909" spans="1:4" x14ac:dyDescent="0.2">
      <c r="A909" s="5">
        <v>848</v>
      </c>
      <c r="B909" s="1890">
        <f>'Expenditures 15-22'!F55</f>
        <v>10420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10420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15448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93850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109298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139832</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476972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69083</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34226</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104158</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5795</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5795</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3149</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3149</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8944</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113102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10455</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15771</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26570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81</v>
      </c>
      <c r="D1012" s="2" t="str">
        <f t="shared" si="14"/>
        <v>Error?</v>
      </c>
    </row>
    <row r="1013" spans="1:4" x14ac:dyDescent="0.2">
      <c r="A1013" s="5">
        <v>952</v>
      </c>
      <c r="B1013" s="1890">
        <f>'Expenditures 15-22'!H38</f>
        <v>30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111</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5066</v>
      </c>
      <c r="D1022" s="2" t="str">
        <f t="shared" si="14"/>
        <v>Error?</v>
      </c>
    </row>
    <row r="1023" spans="1:4" x14ac:dyDescent="0.2">
      <c r="A1023" s="5">
        <v>962</v>
      </c>
      <c r="B1023" s="1890">
        <f>'Expenditures 15-22'!H50</f>
        <v>1591</v>
      </c>
      <c r="D1023" s="2" t="str">
        <f t="shared" ref="D1023:D1086" si="15">IF(ISBLANK(B1023),"OK",IF(A1023-B1023=0,"OK","Error?"))</f>
        <v>Error?</v>
      </c>
    </row>
    <row r="1024" spans="1:4" x14ac:dyDescent="0.2">
      <c r="A1024" s="5">
        <v>963</v>
      </c>
      <c r="B1024" s="1890">
        <f>'Expenditures 15-22'!H53</f>
        <v>6657</v>
      </c>
      <c r="C1024" s="2" t="s">
        <v>569</v>
      </c>
      <c r="D1024" s="2" t="str">
        <f t="shared" si="15"/>
        <v>Error?</v>
      </c>
    </row>
    <row r="1025" spans="1:4" x14ac:dyDescent="0.2">
      <c r="A1025" s="5">
        <v>964</v>
      </c>
      <c r="B1025" s="1890">
        <f>'Expenditures 15-22'!H55</f>
        <v>7947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7947</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25385</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475</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25860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40575</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1185438</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1252583</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5186523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144106</v>
      </c>
      <c r="C1105" s="2" t="s">
        <v>569</v>
      </c>
      <c r="D1105" s="2" t="str">
        <f t="shared" si="16"/>
        <v>Error?</v>
      </c>
    </row>
    <row r="1106" spans="1:4" x14ac:dyDescent="0.2">
      <c r="A1106" s="5">
        <v>1045</v>
      </c>
      <c r="B1106" s="1890">
        <f>'Expenditures 15-22'!K14</f>
        <v>324227</v>
      </c>
      <c r="C1106" s="2" t="s">
        <v>569</v>
      </c>
      <c r="D1106" s="2" t="str">
        <f t="shared" si="16"/>
        <v>Error?</v>
      </c>
    </row>
    <row r="1107" spans="1:4" x14ac:dyDescent="0.2">
      <c r="A1107" s="5">
        <v>1046</v>
      </c>
      <c r="B1107" s="1890">
        <f>'Expenditures 15-22'!K15</f>
        <v>9161</v>
      </c>
      <c r="C1107" s="2" t="s">
        <v>569</v>
      </c>
      <c r="D1107" s="2" t="str">
        <f t="shared" si="16"/>
        <v>Error?</v>
      </c>
    </row>
    <row r="1108" spans="1:4" x14ac:dyDescent="0.2">
      <c r="A1108" s="5">
        <v>1047</v>
      </c>
      <c r="B1108" s="1890">
        <f>'Expenditures 15-22'!K33</f>
        <v>6822350</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79738</v>
      </c>
      <c r="C1110" s="2" t="s">
        <v>569</v>
      </c>
      <c r="D1110" s="2" t="str">
        <f t="shared" si="16"/>
        <v>Error?</v>
      </c>
    </row>
    <row r="1111" spans="1:4" x14ac:dyDescent="0.2">
      <c r="A1111" s="5">
        <v>1050</v>
      </c>
      <c r="B1111" s="1890">
        <f>'Expenditures 15-22'!K38</f>
        <v>78114</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157852</v>
      </c>
      <c r="C1115" s="2" t="s">
        <v>569</v>
      </c>
      <c r="D1115" s="2" t="str">
        <f t="shared" si="16"/>
        <v>Error?</v>
      </c>
    </row>
    <row r="1116" spans="1:4" x14ac:dyDescent="0.2">
      <c r="A1116" s="5">
        <v>1055</v>
      </c>
      <c r="B1116" s="1890">
        <f>'Expenditures 15-22'!K44</f>
        <v>0</v>
      </c>
      <c r="C1116" s="2" t="s">
        <v>569</v>
      </c>
      <c r="D1116" s="2" t="str">
        <f t="shared" si="16"/>
        <v>Error?</v>
      </c>
    </row>
    <row r="1117" spans="1:4" x14ac:dyDescent="0.2">
      <c r="A1117" s="5">
        <v>1056</v>
      </c>
      <c r="B1117" s="1890">
        <f>'Expenditures 15-22'!K45</f>
        <v>71124</v>
      </c>
      <c r="C1117" s="2" t="s">
        <v>569</v>
      </c>
      <c r="D1117" s="2" t="str">
        <f t="shared" si="16"/>
        <v>Error?</v>
      </c>
    </row>
    <row r="1118" spans="1:4" x14ac:dyDescent="0.2">
      <c r="A1118" s="5">
        <v>1057</v>
      </c>
      <c r="B1118" s="1890">
        <f>'Expenditures 15-22'!K46</f>
        <v>3503</v>
      </c>
      <c r="C1118" s="2" t="s">
        <v>569</v>
      </c>
      <c r="D1118" s="2" t="str">
        <f t="shared" si="16"/>
        <v>Error?</v>
      </c>
    </row>
    <row r="1119" spans="1:4" x14ac:dyDescent="0.2">
      <c r="A1119" s="5">
        <v>1058</v>
      </c>
      <c r="B1119" s="1890">
        <f>'Expenditures 15-22'!K47</f>
        <v>74627</v>
      </c>
      <c r="C1119" s="2" t="s">
        <v>569</v>
      </c>
      <c r="D1119" s="2" t="str">
        <f t="shared" si="16"/>
        <v>Error?</v>
      </c>
    </row>
    <row r="1120" spans="1:4" x14ac:dyDescent="0.2">
      <c r="A1120" s="5">
        <v>1059</v>
      </c>
      <c r="B1120" s="1890">
        <f>'Expenditures 15-22'!K49</f>
        <v>15272</v>
      </c>
      <c r="C1120" s="2" t="s">
        <v>569</v>
      </c>
      <c r="D1120" s="2" t="str">
        <f t="shared" si="16"/>
        <v>Error?</v>
      </c>
    </row>
    <row r="1121" spans="1:4" x14ac:dyDescent="0.2">
      <c r="A1121" s="5">
        <v>1060</v>
      </c>
      <c r="B1121" s="1890">
        <f>'Expenditures 15-22'!K50</f>
        <v>205520</v>
      </c>
      <c r="C1121" s="2" t="s">
        <v>569</v>
      </c>
      <c r="D1121" s="2" t="str">
        <f t="shared" si="16"/>
        <v>Error?</v>
      </c>
    </row>
    <row r="1122" spans="1:4" x14ac:dyDescent="0.2">
      <c r="A1122" s="5">
        <v>1061</v>
      </c>
      <c r="B1122" s="1890">
        <f>'Expenditures 15-22'!K53</f>
        <v>220792</v>
      </c>
      <c r="C1122" s="2" t="s">
        <v>569</v>
      </c>
      <c r="D1122" s="2" t="str">
        <f t="shared" si="16"/>
        <v>Error?</v>
      </c>
    </row>
    <row r="1123" spans="1:4" x14ac:dyDescent="0.2">
      <c r="A1123" s="5">
        <v>1062</v>
      </c>
      <c r="B1123" s="1890">
        <f>'Expenditures 15-22'!K55</f>
        <v>537128</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537128</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419526</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250356</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669882</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1660281</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1189776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9672407</v>
      </c>
      <c r="C1152" s="2" t="s">
        <v>569</v>
      </c>
      <c r="D1152" s="2" t="str">
        <f t="shared" si="17"/>
        <v>Error?</v>
      </c>
    </row>
    <row r="1153" spans="1:4" x14ac:dyDescent="0.2">
      <c r="A1153" s="5">
        <v>1092</v>
      </c>
      <c r="B1153" s="1890">
        <f>'Expenditures 15-22'!K115</f>
        <v>-2387761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419128</v>
      </c>
      <c r="D1221" s="2" t="str">
        <f t="shared" si="18"/>
        <v>Error?</v>
      </c>
    </row>
    <row r="1222" spans="1:4" x14ac:dyDescent="0.2">
      <c r="A1222" s="10">
        <v>1161</v>
      </c>
      <c r="B1222" s="1890"/>
      <c r="D1222" s="2" t="str">
        <f t="shared" si="18"/>
        <v>OK</v>
      </c>
    </row>
    <row r="1223" spans="1:4" x14ac:dyDescent="0.2">
      <c r="A1223" s="5">
        <v>1162</v>
      </c>
      <c r="B1223" s="1890">
        <f>'Expenditures 15-22'!C127</f>
        <v>419128</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419128</v>
      </c>
      <c r="C1225" s="2" t="s">
        <v>569</v>
      </c>
      <c r="D1225" s="2" t="str">
        <f t="shared" si="18"/>
        <v>Error?</v>
      </c>
    </row>
    <row r="1226" spans="1:4" x14ac:dyDescent="0.2">
      <c r="A1226" s="5">
        <v>1165</v>
      </c>
      <c r="B1226" s="1890">
        <f>'Expenditures 15-22'!C151</f>
        <v>419128</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65599</v>
      </c>
      <c r="D1229" s="2" t="str">
        <f t="shared" si="18"/>
        <v>Error?</v>
      </c>
    </row>
    <row r="1230" spans="1:4" x14ac:dyDescent="0.2">
      <c r="A1230" s="10">
        <v>1169</v>
      </c>
      <c r="B1230" s="1890"/>
      <c r="D1230" s="2" t="str">
        <f t="shared" si="18"/>
        <v>OK</v>
      </c>
    </row>
    <row r="1231" spans="1:4" x14ac:dyDescent="0.2">
      <c r="A1231" s="5">
        <v>1170</v>
      </c>
      <c r="B1231" s="1890">
        <f>'Expenditures 15-22'!D127</f>
        <v>65599</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65599</v>
      </c>
      <c r="C1233" s="2" t="s">
        <v>569</v>
      </c>
      <c r="D1233" s="2" t="str">
        <f t="shared" si="18"/>
        <v>Error?</v>
      </c>
    </row>
    <row r="1234" spans="1:4" x14ac:dyDescent="0.2">
      <c r="A1234" s="5">
        <v>1173</v>
      </c>
      <c r="B1234" s="1890">
        <f>'Expenditures 15-22'!D151</f>
        <v>65599</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454674</v>
      </c>
      <c r="D1237" s="2" t="str">
        <f t="shared" si="18"/>
        <v>Error?</v>
      </c>
    </row>
    <row r="1238" spans="1:4" x14ac:dyDescent="0.2">
      <c r="A1238" s="10">
        <v>1177</v>
      </c>
      <c r="B1238" s="1890"/>
      <c r="D1238" s="2" t="str">
        <f t="shared" si="18"/>
        <v>OK</v>
      </c>
    </row>
    <row r="1239" spans="1:4" x14ac:dyDescent="0.2">
      <c r="A1239" s="5">
        <v>1178</v>
      </c>
      <c r="B1239" s="1890">
        <f>'Expenditures 15-22'!E127</f>
        <v>454674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454674</v>
      </c>
      <c r="C1241" s="2" t="s">
        <v>569</v>
      </c>
      <c r="D1241" s="2" t="str">
        <f t="shared" si="18"/>
        <v>Error?</v>
      </c>
    </row>
    <row r="1242" spans="1:4" x14ac:dyDescent="0.2">
      <c r="A1242" s="5">
        <v>1181</v>
      </c>
      <c r="B1242" s="1890">
        <f>'Expenditures 15-22'!E151</f>
        <v>454674</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269813</v>
      </c>
      <c r="D1245" s="2" t="str">
        <f t="shared" si="18"/>
        <v>Error?</v>
      </c>
    </row>
    <row r="1246" spans="1:4" x14ac:dyDescent="0.2">
      <c r="A1246" s="10">
        <v>1185</v>
      </c>
      <c r="B1246" s="1890"/>
      <c r="D1246" s="2" t="str">
        <f t="shared" si="18"/>
        <v>OK</v>
      </c>
    </row>
    <row r="1247" spans="1:4" x14ac:dyDescent="0.2">
      <c r="A1247" s="5">
        <v>1186</v>
      </c>
      <c r="B1247" s="1890">
        <f>'Expenditures 15-22'!F127</f>
        <v>269813</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269813</v>
      </c>
      <c r="C1249" s="2" t="s">
        <v>569</v>
      </c>
      <c r="D1249" s="2" t="str">
        <f t="shared" si="18"/>
        <v>Error?</v>
      </c>
    </row>
    <row r="1250" spans="1:4" x14ac:dyDescent="0.2">
      <c r="A1250" s="5">
        <v>1189</v>
      </c>
      <c r="B1250" s="1890">
        <f>'Expenditures 15-22'!F151</f>
        <v>269813</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259430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259430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259430</v>
      </c>
      <c r="C1258" s="2" t="s">
        <v>569</v>
      </c>
      <c r="D1258" s="2" t="str">
        <f t="shared" si="18"/>
        <v>Error?</v>
      </c>
    </row>
    <row r="1259" spans="1:4" x14ac:dyDescent="0.2">
      <c r="A1259" s="5">
        <v>1198</v>
      </c>
      <c r="B1259" s="1890">
        <f>'Expenditures 15-22'!G151</f>
        <v>259430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2344</v>
      </c>
      <c r="D1262" s="2" t="str">
        <f t="shared" si="18"/>
        <v>Error?</v>
      </c>
    </row>
    <row r="1263" spans="1:4" x14ac:dyDescent="0.2">
      <c r="A1263" s="10">
        <v>1202</v>
      </c>
      <c r="B1263" s="1890"/>
      <c r="D1263" s="2" t="str">
        <f t="shared" si="18"/>
        <v>OK</v>
      </c>
    </row>
    <row r="1264" spans="1:4" x14ac:dyDescent="0.2">
      <c r="A1264" s="5">
        <v>1203</v>
      </c>
      <c r="B1264" s="1890">
        <f>'Expenditures 15-22'!H127</f>
        <v>2344</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2344</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2344</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1474918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1474918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1474918</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1474918</v>
      </c>
      <c r="C1288" s="2" t="s">
        <v>569</v>
      </c>
      <c r="D1288" s="2" t="str">
        <f t="shared" si="19"/>
        <v>Error?</v>
      </c>
    </row>
    <row r="1289" spans="1:4" x14ac:dyDescent="0.2">
      <c r="A1289" s="5">
        <v>1228</v>
      </c>
      <c r="B1289" s="1890">
        <f>'Expenditures 15-22'!K152</f>
        <v>1757471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278500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1735000</v>
      </c>
      <c r="D1315" s="2" t="str">
        <f t="shared" si="19"/>
        <v>Error?</v>
      </c>
    </row>
    <row r="1316" spans="1:4" x14ac:dyDescent="0.2">
      <c r="A1316" s="5">
        <v>1255</v>
      </c>
      <c r="B1316" s="1890">
        <f>'Expenditures 15-22'!H171</f>
        <v>500</v>
      </c>
      <c r="D1316" s="2" t="str">
        <f t="shared" si="19"/>
        <v>Error?</v>
      </c>
    </row>
    <row r="1317" spans="1:4" x14ac:dyDescent="0.2">
      <c r="A1317" s="5">
        <v>1256</v>
      </c>
      <c r="B1317" s="1890">
        <f>'Expenditures 15-22'!H172</f>
        <v>2014000</v>
      </c>
      <c r="C1317" s="2" t="s">
        <v>569</v>
      </c>
      <c r="D1317" s="2" t="str">
        <f t="shared" si="19"/>
        <v>Error?</v>
      </c>
    </row>
    <row r="1318" spans="1:4" x14ac:dyDescent="0.2">
      <c r="A1318" s="5">
        <v>1257</v>
      </c>
      <c r="B1318" s="1890">
        <f>'Expenditures 15-22'!H174</f>
        <v>2014000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278500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1735000</v>
      </c>
      <c r="C1329" s="2" t="s">
        <v>569</v>
      </c>
      <c r="D1329" s="2" t="str">
        <f t="shared" si="19"/>
        <v>Error?</v>
      </c>
    </row>
    <row r="1330" spans="1:4" x14ac:dyDescent="0.2">
      <c r="A1330" s="5">
        <v>1269</v>
      </c>
      <c r="B1330" s="1890">
        <f>'Expenditures 15-22'!K171</f>
        <v>500</v>
      </c>
      <c r="C1330" s="2" t="s">
        <v>569</v>
      </c>
      <c r="D1330" s="2" t="str">
        <f t="shared" si="19"/>
        <v>Error?</v>
      </c>
    </row>
    <row r="1331" spans="1:4" x14ac:dyDescent="0.2">
      <c r="A1331" s="5">
        <v>1270</v>
      </c>
      <c r="B1331" s="1890">
        <f>'Expenditures 15-22'!K172</f>
        <v>2014000</v>
      </c>
      <c r="C1331" s="2" t="s">
        <v>569</v>
      </c>
      <c r="D1331" s="2" t="str">
        <f t="shared" si="19"/>
        <v>Error?</v>
      </c>
    </row>
    <row r="1332" spans="1:4" x14ac:dyDescent="0.2">
      <c r="A1332" s="5">
        <v>1271</v>
      </c>
      <c r="B1332" s="1890">
        <f>'Expenditures 15-22'!K174</f>
        <v>2014000</v>
      </c>
      <c r="C1332" s="2" t="s">
        <v>569</v>
      </c>
      <c r="D1332" s="2" t="str">
        <f t="shared" si="19"/>
        <v>Error?</v>
      </c>
    </row>
    <row r="1333" spans="1:4" x14ac:dyDescent="0.2">
      <c r="A1333" s="5">
        <v>1272</v>
      </c>
      <c r="B1333" s="1890">
        <f>'Expenditures 15-22'!K175</f>
        <v>10951</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392610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392610</v>
      </c>
      <c r="C1339" s="2" t="s">
        <v>569</v>
      </c>
      <c r="D1339" s="2" t="str">
        <f t="shared" si="19"/>
        <v>Error?</v>
      </c>
    </row>
    <row r="1340" spans="1:4" x14ac:dyDescent="0.2">
      <c r="A1340" s="5">
        <v>1279</v>
      </c>
      <c r="B1340" s="1890">
        <f>'Expenditures 15-22'!C210</f>
        <v>392610</v>
      </c>
      <c r="C1340" s="2" t="s">
        <v>569</v>
      </c>
      <c r="D1340" s="2" t="str">
        <f t="shared" si="19"/>
        <v>Error?</v>
      </c>
    </row>
    <row r="1341" spans="1:4" x14ac:dyDescent="0.2">
      <c r="A1341" s="5">
        <v>1280</v>
      </c>
      <c r="B1341" s="1890">
        <f>'Expenditures 15-22'!D182</f>
        <v>50817</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50817</v>
      </c>
      <c r="C1345" s="2" t="s">
        <v>569</v>
      </c>
      <c r="D1345" s="2" t="str">
        <f t="shared" si="20"/>
        <v>Error?</v>
      </c>
    </row>
    <row r="1346" spans="1:4" x14ac:dyDescent="0.2">
      <c r="A1346" s="5">
        <v>1285</v>
      </c>
      <c r="B1346" s="1890">
        <f>'Expenditures 15-22'!D210</f>
        <v>50817</v>
      </c>
      <c r="C1346" s="2" t="s">
        <v>569</v>
      </c>
      <c r="D1346" s="2" t="str">
        <f t="shared" si="20"/>
        <v>Error?</v>
      </c>
    </row>
    <row r="1347" spans="1:4" x14ac:dyDescent="0.2">
      <c r="A1347" s="5">
        <v>1286</v>
      </c>
      <c r="B1347" s="1890">
        <f>'Expenditures 15-22'!E182</f>
        <v>51851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51851</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51851</v>
      </c>
      <c r="C1353" s="2" t="s">
        <v>569</v>
      </c>
      <c r="D1353" s="2" t="str">
        <f t="shared" si="20"/>
        <v>Error?</v>
      </c>
    </row>
    <row r="1354" spans="1:4" x14ac:dyDescent="0.2">
      <c r="A1354" s="5">
        <v>1293</v>
      </c>
      <c r="B1354" s="1890">
        <f>'Expenditures 15-22'!F182</f>
        <v>90890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90890</v>
      </c>
      <c r="C1358" s="2" t="s">
        <v>569</v>
      </c>
      <c r="D1358" s="2" t="str">
        <f t="shared" si="20"/>
        <v>Error?</v>
      </c>
    </row>
    <row r="1359" spans="1:4" x14ac:dyDescent="0.2">
      <c r="A1359" s="5">
        <v>1298</v>
      </c>
      <c r="B1359" s="1890">
        <f>'Expenditures 15-22'!F210</f>
        <v>90890</v>
      </c>
      <c r="C1359" s="2" t="s">
        <v>569</v>
      </c>
      <c r="D1359" s="2" t="str">
        <f t="shared" si="20"/>
        <v>Error?</v>
      </c>
    </row>
    <row r="1360" spans="1:4" x14ac:dyDescent="0.2">
      <c r="A1360" s="5">
        <v>1299</v>
      </c>
      <c r="B1360" s="1890">
        <f>'Expenditures 15-22'!G182</f>
        <v>241320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241320</v>
      </c>
      <c r="C1364" s="2" t="s">
        <v>569</v>
      </c>
      <c r="D1364" s="2" t="str">
        <f t="shared" si="20"/>
        <v>Error?</v>
      </c>
    </row>
    <row r="1365" spans="1:4" x14ac:dyDescent="0.2">
      <c r="A1365" s="5">
        <v>1304</v>
      </c>
      <c r="B1365" s="1890">
        <f>'Expenditures 15-22'!G210</f>
        <v>241320</v>
      </c>
      <c r="C1365" s="2" t="s">
        <v>569</v>
      </c>
      <c r="D1365" s="2" t="str">
        <f t="shared" si="20"/>
        <v>Error?</v>
      </c>
    </row>
    <row r="1366" spans="1:4" x14ac:dyDescent="0.2">
      <c r="A1366" s="5">
        <v>1305</v>
      </c>
      <c r="B1366" s="1890">
        <f>'Expenditures 15-22'!H182</f>
        <v>1618</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1618</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46188</v>
      </c>
      <c r="C1375" s="2" t="s">
        <v>569</v>
      </c>
      <c r="D1375" s="2" t="str">
        <f t="shared" si="20"/>
        <v>Error?</v>
      </c>
    </row>
    <row r="1376" spans="1:4" x14ac:dyDescent="0.2">
      <c r="A1376" s="5">
        <v>1315</v>
      </c>
      <c r="B1376" s="1890">
        <f>'Expenditures 15-22'!H210</f>
        <v>47806</v>
      </c>
      <c r="C1376" s="2" t="s">
        <v>569</v>
      </c>
      <c r="D1376" s="2" t="str">
        <f t="shared" si="20"/>
        <v>Error?</v>
      </c>
    </row>
    <row r="1377" spans="1:4" x14ac:dyDescent="0.2">
      <c r="A1377" s="5">
        <v>1316</v>
      </c>
      <c r="B1377" s="1890">
        <f>'Expenditures 15-22'!K182</f>
        <v>829106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829106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46188</v>
      </c>
      <c r="C1387" s="2" t="s">
        <v>569</v>
      </c>
      <c r="D1387" s="2" t="str">
        <f t="shared" si="20"/>
        <v>Error?</v>
      </c>
    </row>
    <row r="1388" spans="1:4" x14ac:dyDescent="0.2">
      <c r="A1388" s="5">
        <v>1327</v>
      </c>
      <c r="B1388" s="1890">
        <f>'Expenditures 15-22'!K210</f>
        <v>875294</v>
      </c>
      <c r="C1388" s="2" t="s">
        <v>569</v>
      </c>
      <c r="D1388" s="2" t="str">
        <f t="shared" si="20"/>
        <v>Error?</v>
      </c>
    </row>
    <row r="1389" spans="1:4" x14ac:dyDescent="0.2">
      <c r="A1389" s="5">
        <v>1328</v>
      </c>
      <c r="B1389" s="1890">
        <f>'Expenditures 15-22'!K211</f>
        <v>166360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1762</v>
      </c>
      <c r="D1407" s="2" t="str">
        <f t="shared" ref="D1407:D1470" si="21">IF(ISBLANK(B1407),"OK",IF(A1407-B1407=0,"OK","Error?"))</f>
        <v>Error?</v>
      </c>
    </row>
    <row r="1408" spans="1:4" x14ac:dyDescent="0.2">
      <c r="A1408" s="5">
        <v>1347</v>
      </c>
      <c r="B1408" s="1890">
        <f>'Expenditures 15-22'!D223</f>
        <v>5312</v>
      </c>
      <c r="D1408" s="2" t="str">
        <f t="shared" si="21"/>
        <v>Error?</v>
      </c>
    </row>
    <row r="1409" spans="1:4" x14ac:dyDescent="0.2">
      <c r="A1409" s="5">
        <v>1348</v>
      </c>
      <c r="B1409" s="1890">
        <f>'Expenditures 15-22'!D224</f>
        <v>132</v>
      </c>
      <c r="D1409" s="2" t="str">
        <f t="shared" si="21"/>
        <v>Error?</v>
      </c>
    </row>
    <row r="1410" spans="1:4" x14ac:dyDescent="0.2">
      <c r="A1410" s="5">
        <v>1349</v>
      </c>
      <c r="B1410" s="1890">
        <f>'Expenditures 15-22'!D229</f>
        <v>155934</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948</v>
      </c>
      <c r="D1412" s="2" t="str">
        <f t="shared" si="21"/>
        <v>Error?</v>
      </c>
    </row>
    <row r="1413" spans="1:4" x14ac:dyDescent="0.2">
      <c r="A1413" s="5">
        <v>1352</v>
      </c>
      <c r="B1413" s="1890">
        <f>'Expenditures 15-22'!D234</f>
        <v>9239</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10187</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8111</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8111</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2208</v>
      </c>
      <c r="D1423" s="2" t="str">
        <f t="shared" si="21"/>
        <v>Error?</v>
      </c>
    </row>
    <row r="1424" spans="1:4" x14ac:dyDescent="0.2">
      <c r="A1424" s="5">
        <v>1363</v>
      </c>
      <c r="B1424" s="1890">
        <f>'Expenditures 15-22'!D257</f>
        <v>2208</v>
      </c>
      <c r="C1424" s="2" t="s">
        <v>569</v>
      </c>
      <c r="D1424" s="2" t="str">
        <f t="shared" si="21"/>
        <v>Error?</v>
      </c>
    </row>
    <row r="1425" spans="1:4" x14ac:dyDescent="0.2">
      <c r="A1425" s="5">
        <v>1364</v>
      </c>
      <c r="B1425" s="1890">
        <f>'Expenditures 15-22'!D259</f>
        <v>31137</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31137</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20964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66846</v>
      </c>
      <c r="D1431" s="2" t="str">
        <f t="shared" si="21"/>
        <v>Error?</v>
      </c>
    </row>
    <row r="1432" spans="1:4" x14ac:dyDescent="0.2">
      <c r="A1432" s="5">
        <v>1371</v>
      </c>
      <c r="B1432" s="1890">
        <f>'Expenditures 15-22'!D267</f>
        <v>62841</v>
      </c>
      <c r="D1432" s="2" t="str">
        <f t="shared" si="21"/>
        <v>Error?</v>
      </c>
    </row>
    <row r="1433" spans="1:4" x14ac:dyDescent="0.2">
      <c r="A1433" s="5">
        <v>1372</v>
      </c>
      <c r="B1433" s="1890">
        <f>'Expenditures 15-22'!D268</f>
        <v>14426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165077</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216720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372654</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1762</v>
      </c>
      <c r="C1471" s="2" t="s">
        <v>569</v>
      </c>
      <c r="D1471" s="2" t="str">
        <f t="shared" ref="D1471:D1534" si="22">IF(ISBLANK(B1471),"OK",IF(A1471-B1471=0,"OK","Error?"))</f>
        <v>Error?</v>
      </c>
    </row>
    <row r="1472" spans="1:4" x14ac:dyDescent="0.2">
      <c r="A1472" s="5">
        <v>1411</v>
      </c>
      <c r="B1472" s="1890">
        <f>'Expenditures 15-22'!K223</f>
        <v>5312</v>
      </c>
      <c r="C1472" s="2" t="s">
        <v>569</v>
      </c>
      <c r="D1472" s="2" t="str">
        <f t="shared" si="22"/>
        <v>Error?</v>
      </c>
    </row>
    <row r="1473" spans="1:4" x14ac:dyDescent="0.2">
      <c r="A1473" s="5">
        <v>1412</v>
      </c>
      <c r="B1473" s="1890">
        <f>'Expenditures 15-22'!K224</f>
        <v>132</v>
      </c>
      <c r="C1473" s="2" t="s">
        <v>569</v>
      </c>
      <c r="D1473" s="2" t="str">
        <f t="shared" si="22"/>
        <v>Error?</v>
      </c>
    </row>
    <row r="1474" spans="1:4" x14ac:dyDescent="0.2">
      <c r="A1474" s="5">
        <v>1413</v>
      </c>
      <c r="B1474" s="1890">
        <f>'Expenditures 15-22'!K229</f>
        <v>155934</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948</v>
      </c>
      <c r="C1476" s="2" t="s">
        <v>569</v>
      </c>
      <c r="D1476" s="2" t="str">
        <f t="shared" si="22"/>
        <v>Error?</v>
      </c>
    </row>
    <row r="1477" spans="1:4" x14ac:dyDescent="0.2">
      <c r="A1477" s="5">
        <v>1416</v>
      </c>
      <c r="B1477" s="1890">
        <f>'Expenditures 15-22'!K234</f>
        <v>9239</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10187</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8111</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8111</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2208</v>
      </c>
      <c r="C1487" s="2" t="s">
        <v>569</v>
      </c>
      <c r="D1487" s="2" t="str">
        <f t="shared" si="22"/>
        <v>Error?</v>
      </c>
    </row>
    <row r="1488" spans="1:4" x14ac:dyDescent="0.2">
      <c r="A1488" s="5">
        <v>1427</v>
      </c>
      <c r="B1488" s="1890">
        <f>'Expenditures 15-22'!K257</f>
        <v>2208</v>
      </c>
      <c r="C1488" s="2" t="s">
        <v>569</v>
      </c>
      <c r="D1488" s="2" t="str">
        <f t="shared" si="22"/>
        <v>Error?</v>
      </c>
    </row>
    <row r="1489" spans="1:4" x14ac:dyDescent="0.2">
      <c r="A1489" s="5">
        <v>1428</v>
      </c>
      <c r="B1489" s="1890">
        <f>'Expenditures 15-22'!K259</f>
        <v>31137</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31137</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20964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66846</v>
      </c>
      <c r="C1495" s="2" t="s">
        <v>569</v>
      </c>
      <c r="D1495" s="2" t="str">
        <f t="shared" si="22"/>
        <v>Error?</v>
      </c>
    </row>
    <row r="1496" spans="1:4" x14ac:dyDescent="0.2">
      <c r="A1496" s="5">
        <v>1435</v>
      </c>
      <c r="B1496" s="1890">
        <f>'Expenditures 15-22'!K267</f>
        <v>62841</v>
      </c>
      <c r="C1496" s="2" t="s">
        <v>569</v>
      </c>
      <c r="D1496" s="2" t="str">
        <f t="shared" si="22"/>
        <v>Error?</v>
      </c>
    </row>
    <row r="1497" spans="1:4" x14ac:dyDescent="0.2">
      <c r="A1497" s="5">
        <v>1436</v>
      </c>
      <c r="B1497" s="1890">
        <f>'Expenditures 15-22'!K268</f>
        <v>14426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165077</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216720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372654</v>
      </c>
      <c r="C1517" s="2" t="s">
        <v>569</v>
      </c>
      <c r="D1517" s="2" t="str">
        <f t="shared" si="22"/>
        <v>Error?</v>
      </c>
    </row>
    <row r="1518" spans="1:4" x14ac:dyDescent="0.2">
      <c r="A1518" s="5">
        <v>1457</v>
      </c>
      <c r="B1518" s="1890">
        <f>'Expenditures 15-22'!K296</f>
        <v>77509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8613722</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6225961</v>
      </c>
      <c r="C1630" s="2" t="s">
        <v>569</v>
      </c>
      <c r="D1630" s="2" t="str">
        <f t="shared" si="24"/>
        <v>Error?</v>
      </c>
    </row>
    <row r="1631" spans="1:4" x14ac:dyDescent="0.2">
      <c r="A1631" s="5">
        <v>1570</v>
      </c>
      <c r="B1631" s="1890">
        <f>'Acct Summary 7-8'!D79</f>
        <v>1662561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3420032</v>
      </c>
      <c r="C1644" s="2" t="s">
        <v>569</v>
      </c>
      <c r="D1644" s="2" t="str">
        <f t="shared" si="24"/>
        <v>Error?</v>
      </c>
    </row>
    <row r="1645" spans="1:4" x14ac:dyDescent="0.2">
      <c r="A1645" s="5">
        <v>1584</v>
      </c>
      <c r="B1645" s="1890">
        <f>'Acct Summary 7-8'!E79</f>
        <v>910498</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921449</v>
      </c>
      <c r="C1658" s="2" t="s">
        <v>569</v>
      </c>
      <c r="D1658" s="2" t="str">
        <f t="shared" si="24"/>
        <v>Error?</v>
      </c>
    </row>
    <row r="1659" spans="1:4" x14ac:dyDescent="0.2">
      <c r="A1659" s="5">
        <v>1598</v>
      </c>
      <c r="B1659" s="1890">
        <f>'Acct Summary 7-8'!F79</f>
        <v>1502415</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1668775</v>
      </c>
      <c r="C1672" s="2" t="s">
        <v>569</v>
      </c>
      <c r="D1672" s="2" t="str">
        <f t="shared" si="25"/>
        <v>Error?</v>
      </c>
    </row>
    <row r="1673" spans="1:4" x14ac:dyDescent="0.2">
      <c r="A1673" s="5">
        <v>1612</v>
      </c>
      <c r="B1673" s="1890">
        <f>'Acct Summary 7-8'!G79</f>
        <v>43295</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120804</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5501870</v>
      </c>
      <c r="C1744" s="2" t="s">
        <v>569</v>
      </c>
      <c r="D1744" s="2" t="str">
        <f t="shared" si="26"/>
        <v>Error?</v>
      </c>
    </row>
    <row r="1745" spans="1:5" x14ac:dyDescent="0.2">
      <c r="A1745" s="5">
        <v>1684</v>
      </c>
      <c r="B1745" s="1890">
        <f>'Tax Sched 23'!B5</f>
        <v>1116991</v>
      </c>
      <c r="C1745" s="2" t="s">
        <v>569</v>
      </c>
      <c r="D1745" s="2" t="str">
        <f t="shared" si="26"/>
        <v>Error?</v>
      </c>
    </row>
    <row r="1746" spans="1:5" x14ac:dyDescent="0.2">
      <c r="A1746" s="5">
        <v>1685</v>
      </c>
      <c r="B1746" s="1890">
        <f>'Tax Sched 23'!B6</f>
        <v>2024951</v>
      </c>
      <c r="C1746" s="2" t="s">
        <v>569</v>
      </c>
      <c r="D1746" s="2" t="str">
        <f t="shared" si="26"/>
        <v>Error?</v>
      </c>
    </row>
    <row r="1747" spans="1:5" x14ac:dyDescent="0.2">
      <c r="A1747" s="5">
        <v>1686</v>
      </c>
      <c r="B1747" s="1890">
        <f>'Tax Sched 23'!B7</f>
        <v>608745</v>
      </c>
      <c r="C1747" s="2" t="s">
        <v>569</v>
      </c>
      <c r="D1747" s="2" t="str">
        <f t="shared" si="26"/>
        <v>Error?</v>
      </c>
    </row>
    <row r="1748" spans="1:5" x14ac:dyDescent="0.2">
      <c r="A1748" s="5">
        <v>1687</v>
      </c>
      <c r="B1748" s="1890">
        <f>'Tax Sched 23'!B8</f>
        <v>182891</v>
      </c>
      <c r="C1748" s="2" t="s">
        <v>569</v>
      </c>
      <c r="D1748" s="2" t="str">
        <f t="shared" si="26"/>
        <v>Error?</v>
      </c>
    </row>
    <row r="1749" spans="1:5" x14ac:dyDescent="0.2">
      <c r="A1749" s="5">
        <v>1688</v>
      </c>
      <c r="B1749" s="1890">
        <f>'Tax Sched 23'!B10</f>
        <v>77811</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51067</v>
      </c>
      <c r="C1752" s="2" t="s">
        <v>569</v>
      </c>
      <c r="D1752" s="2" t="str">
        <f t="shared" si="26"/>
        <v>Error?</v>
      </c>
    </row>
    <row r="1753" spans="1:5" x14ac:dyDescent="0.2">
      <c r="A1753" s="5">
        <v>1692</v>
      </c>
      <c r="B1753" s="1890">
        <f>'Tax Sched 23'!B12</f>
        <v>116826</v>
      </c>
      <c r="C1753" s="2" t="s">
        <v>569</v>
      </c>
      <c r="D1753" s="2" t="str">
        <f t="shared" si="26"/>
        <v>Error?</v>
      </c>
    </row>
    <row r="1754" spans="1:5" x14ac:dyDescent="0.2">
      <c r="A1754" s="5">
        <v>1693</v>
      </c>
      <c r="B1754" s="1890">
        <f>'Tax Sched 23'!B14</f>
        <v>506542</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10370585</v>
      </c>
      <c r="C1759" s="2" t="s">
        <v>569</v>
      </c>
      <c r="D1759" s="2" t="str">
        <f t="shared" si="26"/>
        <v>Error?</v>
      </c>
    </row>
    <row r="1760" spans="1:5" x14ac:dyDescent="0.2">
      <c r="A1760" s="5">
        <v>1699</v>
      </c>
      <c r="B1760" s="1890">
        <f>'Tax Sched 23'!D4</f>
        <v>2580188</v>
      </c>
      <c r="C1760" s="2" t="s">
        <v>569</v>
      </c>
      <c r="D1760" s="2" t="str">
        <f t="shared" si="26"/>
        <v>Error?</v>
      </c>
    </row>
    <row r="1761" spans="1:7" x14ac:dyDescent="0.2">
      <c r="A1761" s="5">
        <v>1700</v>
      </c>
      <c r="B1761" s="1890">
        <f>'Tax Sched 23'!D5</f>
        <v>547230</v>
      </c>
      <c r="C1761" s="2" t="s">
        <v>569</v>
      </c>
      <c r="D1761" s="2" t="str">
        <f t="shared" si="26"/>
        <v>Error?</v>
      </c>
    </row>
    <row r="1762" spans="1:7" s="8" customFormat="1" x14ac:dyDescent="0.2">
      <c r="A1762" s="5">
        <v>1701</v>
      </c>
      <c r="B1762" s="1890">
        <f>'Tax Sched 23'!D6</f>
        <v>976932</v>
      </c>
      <c r="C1762" s="2" t="s">
        <v>569</v>
      </c>
      <c r="D1762" s="2" t="str">
        <f t="shared" si="26"/>
        <v>Error?</v>
      </c>
      <c r="E1762" s="9"/>
      <c r="G1762"/>
    </row>
    <row r="1763" spans="1:7" x14ac:dyDescent="0.2">
      <c r="A1763" s="5">
        <v>1702</v>
      </c>
      <c r="B1763" s="1890">
        <f>'Tax Sched 23'!D7</f>
        <v>283156</v>
      </c>
      <c r="C1763" s="2" t="s">
        <v>569</v>
      </c>
      <c r="D1763" s="2" t="str">
        <f t="shared" si="26"/>
        <v>Error?</v>
      </c>
    </row>
    <row r="1764" spans="1:7" x14ac:dyDescent="0.2">
      <c r="A1764" s="5">
        <v>1703</v>
      </c>
      <c r="B1764" s="1890">
        <f>'Tax Sched 23'!D8</f>
        <v>60805</v>
      </c>
      <c r="C1764" s="2" t="s">
        <v>569</v>
      </c>
      <c r="D1764" s="2" t="str">
        <f t="shared" si="26"/>
        <v>Error?</v>
      </c>
    </row>
    <row r="1765" spans="1:7" x14ac:dyDescent="0.2">
      <c r="A1765" s="5">
        <v>1704</v>
      </c>
      <c r="B1765" s="1890">
        <f>'Tax Sched 23'!D10</f>
        <v>37143</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51067</v>
      </c>
      <c r="C1768" s="2" t="s">
        <v>569</v>
      </c>
      <c r="D1768" s="2" t="str">
        <f t="shared" si="26"/>
        <v>Error?</v>
      </c>
    </row>
    <row r="1769" spans="1:7" x14ac:dyDescent="0.2">
      <c r="A1769" s="5">
        <v>1708</v>
      </c>
      <c r="B1769" s="1890">
        <f>'Tax Sched 23'!D12</f>
        <v>35490</v>
      </c>
      <c r="C1769" s="2" t="s">
        <v>569</v>
      </c>
      <c r="D1769" s="2" t="str">
        <f t="shared" si="26"/>
        <v>Error?</v>
      </c>
    </row>
    <row r="1770" spans="1:7" x14ac:dyDescent="0.2">
      <c r="A1770" s="5">
        <v>1709</v>
      </c>
      <c r="B1770" s="1890">
        <f>'Tax Sched 23'!D14</f>
        <v>473926</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5106742</v>
      </c>
      <c r="C1775" s="2" t="s">
        <v>569</v>
      </c>
      <c r="D1775" s="2" t="str">
        <f t="shared" si="26"/>
        <v>Error?</v>
      </c>
    </row>
    <row r="1776" spans="1:7" x14ac:dyDescent="0.2">
      <c r="A1776" s="5">
        <v>1715</v>
      </c>
      <c r="B1776" s="1890">
        <f>'Tax Sched 23'!C4</f>
        <v>2921682</v>
      </c>
      <c r="D1776" s="2" t="str">
        <f t="shared" si="26"/>
        <v>Error?</v>
      </c>
    </row>
    <row r="1777" spans="1:4" x14ac:dyDescent="0.2">
      <c r="A1777" s="5">
        <v>1716</v>
      </c>
      <c r="B1777" s="1890">
        <f>'Tax Sched 23'!C5</f>
        <v>569761</v>
      </c>
      <c r="D1777" s="2" t="str">
        <f t="shared" si="26"/>
        <v>Error?</v>
      </c>
    </row>
    <row r="1778" spans="1:4" x14ac:dyDescent="0.2">
      <c r="A1778" s="5">
        <v>1717</v>
      </c>
      <c r="B1778" s="1890">
        <f>'Tax Sched 23'!C6</f>
        <v>1048019</v>
      </c>
      <c r="D1778" s="2" t="str">
        <f t="shared" si="26"/>
        <v>Error?</v>
      </c>
    </row>
    <row r="1779" spans="1:4" x14ac:dyDescent="0.2">
      <c r="A1779" s="5">
        <v>1718</v>
      </c>
      <c r="B1779" s="1890">
        <f>'Tax Sched 23'!C7</f>
        <v>325589</v>
      </c>
      <c r="D1779" s="2" t="str">
        <f t="shared" si="26"/>
        <v>Error?</v>
      </c>
    </row>
    <row r="1780" spans="1:4" x14ac:dyDescent="0.2">
      <c r="A1780" s="5">
        <v>1719</v>
      </c>
      <c r="B1780" s="1890">
        <f>'Tax Sched 23'!C8</f>
        <v>122086</v>
      </c>
      <c r="D1780" s="2" t="str">
        <f t="shared" si="26"/>
        <v>Error?</v>
      </c>
    </row>
    <row r="1781" spans="1:4" x14ac:dyDescent="0.2">
      <c r="A1781" s="5">
        <v>1720</v>
      </c>
      <c r="B1781" s="1890">
        <f>'Tax Sched 23'!C10</f>
        <v>40668</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81336</v>
      </c>
      <c r="D1785" s="2" t="str">
        <f t="shared" si="26"/>
        <v>Error?</v>
      </c>
    </row>
    <row r="1786" spans="1:4" x14ac:dyDescent="0.2">
      <c r="A1786" s="5">
        <v>1725</v>
      </c>
      <c r="B1786" s="1890">
        <f>'Tax Sched 23'!C14</f>
        <v>32616</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5263843</v>
      </c>
      <c r="C1791" s="2" t="s">
        <v>569</v>
      </c>
      <c r="D1791" s="2" t="str">
        <f t="shared" ref="D1791:D1854" si="27">IF(ISBLANK(B1791),"OK",IF(A1791-B1791=0,"OK","Error?"))</f>
        <v>Error?</v>
      </c>
    </row>
    <row r="1792" spans="1:4" x14ac:dyDescent="0.2">
      <c r="A1792" s="5">
        <v>1731</v>
      </c>
      <c r="B1792" s="1890">
        <f>'Tax Sched 23'!F4</f>
        <v>2976334</v>
      </c>
      <c r="C1792" s="2" t="s">
        <v>569</v>
      </c>
      <c r="D1792" s="2" t="str">
        <f t="shared" si="27"/>
        <v>Error?</v>
      </c>
    </row>
    <row r="1793" spans="1:4" x14ac:dyDescent="0.2">
      <c r="A1793" s="5">
        <v>1732</v>
      </c>
      <c r="B1793" s="1890">
        <f>'Tax Sched 23'!F5</f>
        <v>580419</v>
      </c>
      <c r="C1793" s="2" t="s">
        <v>569</v>
      </c>
      <c r="D1793" s="2" t="str">
        <f t="shared" si="27"/>
        <v>Error?</v>
      </c>
    </row>
    <row r="1794" spans="1:4" x14ac:dyDescent="0.2">
      <c r="A1794" s="5">
        <v>1733</v>
      </c>
      <c r="B1794" s="1890">
        <f>'Tax Sched 23'!F6</f>
        <v>1067622</v>
      </c>
      <c r="C1794" s="2" t="s">
        <v>569</v>
      </c>
      <c r="D1794" s="2" t="str">
        <f t="shared" si="27"/>
        <v>Error?</v>
      </c>
    </row>
    <row r="1795" spans="1:4" x14ac:dyDescent="0.2">
      <c r="A1795" s="5">
        <v>1734</v>
      </c>
      <c r="B1795" s="1890">
        <f>'Tax Sched 23'!F7</f>
        <v>331680</v>
      </c>
      <c r="C1795" s="2" t="s">
        <v>569</v>
      </c>
      <c r="D1795" s="2" t="str">
        <f t="shared" si="27"/>
        <v>Error?</v>
      </c>
    </row>
    <row r="1796" spans="1:4" x14ac:dyDescent="0.2">
      <c r="A1796" s="5">
        <v>1735</v>
      </c>
      <c r="B1796" s="1890">
        <f>'Tax Sched 23'!F8</f>
        <v>124369</v>
      </c>
      <c r="C1796" s="2" t="s">
        <v>569</v>
      </c>
      <c r="D1796" s="2" t="str">
        <f t="shared" si="27"/>
        <v>Error?</v>
      </c>
    </row>
    <row r="1797" spans="1:4" x14ac:dyDescent="0.2">
      <c r="A1797" s="5">
        <v>1736</v>
      </c>
      <c r="B1797" s="1890">
        <f>'Tax Sched 23'!F10</f>
        <v>41429</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82858</v>
      </c>
      <c r="C1801" s="2" t="s">
        <v>569</v>
      </c>
      <c r="D1801" s="2" t="str">
        <f t="shared" si="27"/>
        <v>Error?</v>
      </c>
    </row>
    <row r="1802" spans="1:4" x14ac:dyDescent="0.2">
      <c r="A1802" s="5">
        <v>1741</v>
      </c>
      <c r="B1802" s="1890">
        <f>'Tax Sched 23'!F14</f>
        <v>33225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5362305</v>
      </c>
      <c r="C1807" s="2" t="s">
        <v>569</v>
      </c>
      <c r="D1807" s="2" t="str">
        <f t="shared" si="27"/>
        <v>Error?</v>
      </c>
    </row>
    <row r="1808" spans="1:4" x14ac:dyDescent="0.2">
      <c r="A1808" s="5">
        <v>1747</v>
      </c>
      <c r="B1808" s="1890">
        <f>'Tax Sched 23'!E4</f>
        <v>5898016</v>
      </c>
      <c r="D1808" s="2" t="str">
        <f t="shared" si="27"/>
        <v>Error?</v>
      </c>
    </row>
    <row r="1809" spans="1:4" x14ac:dyDescent="0.2">
      <c r="A1809" s="5">
        <v>1748</v>
      </c>
      <c r="B1809" s="1890">
        <f>'Tax Sched 23'!E5</f>
        <v>1150180</v>
      </c>
      <c r="D1809" s="2" t="str">
        <f t="shared" si="27"/>
        <v>Error?</v>
      </c>
    </row>
    <row r="1810" spans="1:4" x14ac:dyDescent="0.2">
      <c r="A1810" s="5">
        <v>1749</v>
      </c>
      <c r="B1810" s="1890">
        <f>'Tax Sched 23'!E6</f>
        <v>2115641</v>
      </c>
      <c r="D1810" s="2" t="str">
        <f t="shared" si="27"/>
        <v>Error?</v>
      </c>
    </row>
    <row r="1811" spans="1:4" x14ac:dyDescent="0.2">
      <c r="A1811" s="5">
        <v>1750</v>
      </c>
      <c r="B1811" s="1890">
        <f>'Tax Sched 23'!E7</f>
        <v>657269</v>
      </c>
      <c r="D1811" s="2" t="str">
        <f t="shared" si="27"/>
        <v>Error?</v>
      </c>
    </row>
    <row r="1812" spans="1:4" x14ac:dyDescent="0.2">
      <c r="A1812" s="5">
        <v>1751</v>
      </c>
      <c r="B1812" s="1890">
        <f>'Tax Sched 23'!E8</f>
        <v>246455</v>
      </c>
      <c r="D1812" s="2" t="str">
        <f t="shared" si="27"/>
        <v>Error?</v>
      </c>
    </row>
    <row r="1813" spans="1:4" x14ac:dyDescent="0.2">
      <c r="A1813" s="5">
        <v>1752</v>
      </c>
      <c r="B1813" s="1890">
        <f>'Tax Sched 23'!E10</f>
        <v>82097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164194</v>
      </c>
      <c r="D1817" s="2" t="str">
        <f t="shared" si="27"/>
        <v>Error?</v>
      </c>
    </row>
    <row r="1818" spans="1:4" x14ac:dyDescent="0.2">
      <c r="A1818" s="5">
        <v>1757</v>
      </c>
      <c r="B1818" s="1890">
        <f>'Tax Sched 23'!E14</f>
        <v>65841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10626148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7943750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506542</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506542</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506542</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20839082</v>
      </c>
      <c r="D2009" s="2" t="str">
        <f t="shared" si="30"/>
        <v>Error?</v>
      </c>
    </row>
    <row r="2010" spans="1:4" x14ac:dyDescent="0.2">
      <c r="A2010" s="5">
        <v>1949</v>
      </c>
      <c r="B2010" s="1890">
        <f>'Cap Outlay Deprec 26'!C10</f>
        <v>2482427</v>
      </c>
      <c r="D2010" s="2" t="str">
        <f t="shared" si="30"/>
        <v>Error?</v>
      </c>
    </row>
    <row r="2011" spans="1:4" x14ac:dyDescent="0.2">
      <c r="A2011" s="5">
        <v>1950</v>
      </c>
      <c r="B2011" s="1890">
        <f>'Cap Outlay Deprec 26'!C12</f>
        <v>3464232</v>
      </c>
      <c r="D2011" s="2" t="str">
        <f t="shared" si="30"/>
        <v>Error?</v>
      </c>
    </row>
    <row r="2012" spans="1:4" x14ac:dyDescent="0.2">
      <c r="A2012" s="5">
        <v>1951</v>
      </c>
      <c r="B2012" s="1890">
        <f>'Cap Outlay Deprec 26'!C13</f>
        <v>1885006</v>
      </c>
      <c r="D2012" s="2" t="str">
        <f t="shared" si="30"/>
        <v>Error?</v>
      </c>
    </row>
    <row r="2013" spans="1:4" x14ac:dyDescent="0.2">
      <c r="A2013" s="5">
        <v>1952</v>
      </c>
      <c r="B2013" s="1890">
        <f>'Cap Outlay Deprec 26'!C16</f>
        <v>29534191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191225</v>
      </c>
      <c r="D2016" s="2" t="str">
        <f t="shared" si="30"/>
        <v>Error?</v>
      </c>
    </row>
    <row r="2017" spans="1:4" x14ac:dyDescent="0.2">
      <c r="A2017" s="5">
        <v>1956</v>
      </c>
      <c r="B2017" s="1890">
        <f>'Cap Outlay Deprec 26'!D12</f>
        <v>100968</v>
      </c>
      <c r="D2017" s="2" t="str">
        <f t="shared" si="30"/>
        <v>Error?</v>
      </c>
    </row>
    <row r="2018" spans="1:4" x14ac:dyDescent="0.2">
      <c r="A2018" s="5">
        <v>1957</v>
      </c>
      <c r="B2018" s="1890">
        <f>'Cap Outlay Deprec 26'!D13</f>
        <v>316033</v>
      </c>
      <c r="D2018" s="2" t="str">
        <f t="shared" si="30"/>
        <v>Error?</v>
      </c>
    </row>
    <row r="2019" spans="1:4" x14ac:dyDescent="0.2">
      <c r="A2019" s="5">
        <v>1958</v>
      </c>
      <c r="B2019" s="1890">
        <f>'Cap Outlay Deprec 26'!D16</f>
        <v>608226</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20839082</v>
      </c>
      <c r="C2027" s="2" t="s">
        <v>569</v>
      </c>
      <c r="D2027" s="2" t="str">
        <f t="shared" si="30"/>
        <v>Error?</v>
      </c>
    </row>
    <row r="2028" spans="1:4" x14ac:dyDescent="0.2">
      <c r="A2028" s="5">
        <v>1967</v>
      </c>
      <c r="B2028" s="1890">
        <f>'Cap Outlay Deprec 26'!F10</f>
        <v>2673652</v>
      </c>
      <c r="C2028" s="2" t="s">
        <v>569</v>
      </c>
      <c r="D2028" s="2" t="str">
        <f t="shared" si="30"/>
        <v>Error?</v>
      </c>
    </row>
    <row r="2029" spans="1:4" x14ac:dyDescent="0.2">
      <c r="A2029" s="5">
        <v>1968</v>
      </c>
      <c r="B2029" s="1890">
        <f>'Cap Outlay Deprec 26'!F12</f>
        <v>3565200</v>
      </c>
      <c r="C2029" s="2" t="s">
        <v>569</v>
      </c>
      <c r="D2029" s="2" t="str">
        <f t="shared" si="30"/>
        <v>Error?</v>
      </c>
    </row>
    <row r="2030" spans="1:4" x14ac:dyDescent="0.2">
      <c r="A2030" s="5">
        <v>1969</v>
      </c>
      <c r="B2030" s="1890">
        <f>'Cap Outlay Deprec 26'!F13</f>
        <v>2201039</v>
      </c>
      <c r="C2030" s="2" t="s">
        <v>569</v>
      </c>
      <c r="D2030" s="2" t="str">
        <f t="shared" si="30"/>
        <v>Error?</v>
      </c>
    </row>
    <row r="2031" spans="1:4" x14ac:dyDescent="0.2">
      <c r="A2031" s="5">
        <v>1970</v>
      </c>
      <c r="B2031" s="1890">
        <f>'Cap Outlay Deprec 26'!F16</f>
        <v>30142417</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5817776</v>
      </c>
      <c r="D2033" s="2" t="str">
        <f t="shared" si="30"/>
        <v>Error?</v>
      </c>
    </row>
    <row r="2034" spans="1:4" x14ac:dyDescent="0.2">
      <c r="A2034" s="5">
        <v>1973</v>
      </c>
      <c r="B2034" s="1890">
        <f>'Cap Outlay Deprec 26'!H10</f>
        <v>613210</v>
      </c>
      <c r="D2034" s="2" t="str">
        <f t="shared" si="30"/>
        <v>Error?</v>
      </c>
    </row>
    <row r="2035" spans="1:4" x14ac:dyDescent="0.2">
      <c r="A2035" s="5">
        <v>1974</v>
      </c>
      <c r="B2035" s="1890">
        <f>'Cap Outlay Deprec 26'!H12</f>
        <v>1943566</v>
      </c>
      <c r="D2035" s="2" t="str">
        <f t="shared" si="30"/>
        <v>Error?</v>
      </c>
    </row>
    <row r="2036" spans="1:4" x14ac:dyDescent="0.2">
      <c r="A2036" s="5">
        <v>1975</v>
      </c>
      <c r="B2036" s="1890">
        <f>'Cap Outlay Deprec 26'!H13</f>
        <v>1719887</v>
      </c>
      <c r="D2036" s="2" t="str">
        <f t="shared" si="30"/>
        <v>Error?</v>
      </c>
    </row>
    <row r="2037" spans="1:4" x14ac:dyDescent="0.2">
      <c r="A2037" s="5">
        <v>1976</v>
      </c>
      <c r="B2037" s="1890">
        <f>'Cap Outlay Deprec 26'!H16</f>
        <v>10746462</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416782</v>
      </c>
      <c r="D2039" s="2" t="str">
        <f t="shared" si="30"/>
        <v>Error?</v>
      </c>
    </row>
    <row r="2040" spans="1:4" x14ac:dyDescent="0.2">
      <c r="A2040" s="5">
        <v>1979</v>
      </c>
      <c r="B2040" s="1890">
        <f>'Cap Outlay Deprec 26'!I10</f>
        <v>130496</v>
      </c>
      <c r="D2040" s="2" t="str">
        <f t="shared" si="30"/>
        <v>Error?</v>
      </c>
    </row>
    <row r="2041" spans="1:4" x14ac:dyDescent="0.2">
      <c r="A2041" s="5">
        <v>1980</v>
      </c>
      <c r="B2041" s="1890">
        <f>'Cap Outlay Deprec 26'!I12</f>
        <v>22823</v>
      </c>
      <c r="D2041" s="2" t="str">
        <f t="shared" si="30"/>
        <v>Error?</v>
      </c>
    </row>
    <row r="2042" spans="1:4" x14ac:dyDescent="0.2">
      <c r="A2042" s="5">
        <v>1981</v>
      </c>
      <c r="B2042" s="1890">
        <f>'Cap Outlay Deprec 26'!I13</f>
        <v>157551</v>
      </c>
      <c r="D2042" s="2" t="str">
        <f t="shared" si="30"/>
        <v>Error?</v>
      </c>
    </row>
    <row r="2043" spans="1:4" x14ac:dyDescent="0.2">
      <c r="A2043" s="5">
        <v>1982</v>
      </c>
      <c r="B2043" s="1890">
        <f>'Cap Outlay Deprec 26'!I16</f>
        <v>731114</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6234558</v>
      </c>
      <c r="C2051" s="2" t="s">
        <v>569</v>
      </c>
      <c r="D2051" s="2" t="str">
        <f t="shared" si="31"/>
        <v>Error?</v>
      </c>
    </row>
    <row r="2052" spans="1:4" x14ac:dyDescent="0.2">
      <c r="A2052" s="5">
        <v>1991</v>
      </c>
      <c r="B2052" s="1890">
        <f>'Cap Outlay Deprec 26'!K10</f>
        <v>743706</v>
      </c>
      <c r="C2052" s="2" t="s">
        <v>569</v>
      </c>
      <c r="D2052" s="2" t="str">
        <f t="shared" si="31"/>
        <v>Error?</v>
      </c>
    </row>
    <row r="2053" spans="1:4" x14ac:dyDescent="0.2">
      <c r="A2053" s="5">
        <v>1992</v>
      </c>
      <c r="B2053" s="1890">
        <f>'Cap Outlay Deprec 26'!K12</f>
        <v>1966389</v>
      </c>
      <c r="C2053" s="2" t="s">
        <v>569</v>
      </c>
      <c r="D2053" s="2" t="str">
        <f t="shared" si="31"/>
        <v>Error?</v>
      </c>
    </row>
    <row r="2054" spans="1:4" x14ac:dyDescent="0.2">
      <c r="A2054" s="5">
        <v>1993</v>
      </c>
      <c r="B2054" s="1890">
        <f>'Cap Outlay Deprec 26'!K13</f>
        <v>1877438</v>
      </c>
      <c r="C2054" s="2" t="s">
        <v>569</v>
      </c>
      <c r="D2054" s="2" t="str">
        <f t="shared" si="31"/>
        <v>Error?</v>
      </c>
    </row>
    <row r="2055" spans="1:4" x14ac:dyDescent="0.2">
      <c r="A2055" s="5">
        <v>1994</v>
      </c>
      <c r="B2055" s="1890">
        <f>'Cap Outlay Deprec 26'!K16</f>
        <v>11477576</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14604524</v>
      </c>
      <c r="C2057" s="2" t="s">
        <v>569</v>
      </c>
      <c r="D2057" s="2" t="str">
        <f t="shared" si="31"/>
        <v>Error?</v>
      </c>
    </row>
    <row r="2058" spans="1:4" x14ac:dyDescent="0.2">
      <c r="A2058" s="5">
        <v>1997</v>
      </c>
      <c r="B2058" s="1890">
        <f>'Cap Outlay Deprec 26'!L10</f>
        <v>1929946</v>
      </c>
      <c r="C2058" s="2" t="s">
        <v>569</v>
      </c>
      <c r="D2058" s="2" t="str">
        <f t="shared" si="31"/>
        <v>Error?</v>
      </c>
    </row>
    <row r="2059" spans="1:4" x14ac:dyDescent="0.2">
      <c r="A2059" s="5">
        <v>1998</v>
      </c>
      <c r="B2059" s="1890">
        <f>'Cap Outlay Deprec 26'!L12</f>
        <v>1598811</v>
      </c>
      <c r="C2059" s="2" t="s">
        <v>569</v>
      </c>
      <c r="D2059" s="2" t="str">
        <f t="shared" si="31"/>
        <v>Error?</v>
      </c>
    </row>
    <row r="2060" spans="1:4" x14ac:dyDescent="0.2">
      <c r="A2060" s="5">
        <v>1999</v>
      </c>
      <c r="B2060" s="1890">
        <f>'Cap Outlay Deprec 26'!L13</f>
        <v>323601</v>
      </c>
      <c r="C2060" s="2" t="s">
        <v>569</v>
      </c>
      <c r="D2060" s="2" t="str">
        <f t="shared" si="31"/>
        <v>Error?</v>
      </c>
    </row>
    <row r="2061" spans="1:4" x14ac:dyDescent="0.2">
      <c r="A2061" s="5">
        <v>2000</v>
      </c>
      <c r="B2061" s="1890">
        <f>'Cap Outlay Deprec 26'!L16</f>
        <v>18664841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1185438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1185438</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6574810</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270384</v>
      </c>
      <c r="C2553" s="2" t="s">
        <v>569</v>
      </c>
      <c r="D2553" s="2" t="str">
        <f t="shared" si="38"/>
        <v>Error?</v>
      </c>
    </row>
    <row r="2554" spans="1:4" x14ac:dyDescent="0.2">
      <c r="A2554" s="5">
        <v>2493</v>
      </c>
      <c r="B2554" s="1890">
        <f>'Acct Summary 7-8'!C7</f>
        <v>439452</v>
      </c>
      <c r="C2554" s="2" t="s">
        <v>569</v>
      </c>
      <c r="D2554" s="2" t="str">
        <f t="shared" si="38"/>
        <v>Error?</v>
      </c>
    </row>
    <row r="2555" spans="1:4" x14ac:dyDescent="0.2">
      <c r="A2555" s="5">
        <v>2494</v>
      </c>
      <c r="B2555" s="1890">
        <f>'Acct Summary 7-8'!C8</f>
        <v>7284646</v>
      </c>
      <c r="C2555" s="2" t="s">
        <v>569</v>
      </c>
      <c r="D2555" s="2" t="str">
        <f t="shared" si="38"/>
        <v>Error?</v>
      </c>
    </row>
    <row r="2556" spans="1:4" x14ac:dyDescent="0.2">
      <c r="A2556" s="5">
        <v>2495</v>
      </c>
      <c r="B2556" s="1890">
        <f>'Acct Summary 7-8'!C12</f>
        <v>6822350</v>
      </c>
      <c r="C2556" s="2" t="s">
        <v>569</v>
      </c>
      <c r="D2556" s="2" t="str">
        <f t="shared" si="38"/>
        <v>Error?</v>
      </c>
    </row>
    <row r="2557" spans="1:4" x14ac:dyDescent="0.2">
      <c r="A2557" s="5">
        <v>2496</v>
      </c>
      <c r="B2557" s="1890">
        <f>'Acct Summary 7-8'!C13</f>
        <v>1660281</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1189776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9672407</v>
      </c>
      <c r="C2561" s="2" t="s">
        <v>569</v>
      </c>
      <c r="D2561" s="2" t="str">
        <f t="shared" si="39"/>
        <v>Error?</v>
      </c>
    </row>
    <row r="2562" spans="1:4" x14ac:dyDescent="0.2">
      <c r="A2562" s="5">
        <v>2501</v>
      </c>
      <c r="B2562" s="1890">
        <f>'Acct Summary 7-8'!C20</f>
        <v>-2387761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1297927</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1934462</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3232389</v>
      </c>
      <c r="C2568" s="2" t="s">
        <v>569</v>
      </c>
      <c r="D2568" s="2" t="str">
        <f t="shared" si="39"/>
        <v>Error?</v>
      </c>
    </row>
    <row r="2569" spans="1:4" x14ac:dyDescent="0.2">
      <c r="A2569" s="5">
        <v>2508</v>
      </c>
      <c r="B2569" s="1890">
        <f>'Acct Summary 7-8'!D13</f>
        <v>1474918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1474918</v>
      </c>
      <c r="C2573" s="2" t="s">
        <v>569</v>
      </c>
      <c r="D2573" s="2" t="str">
        <f t="shared" si="39"/>
        <v>Error?</v>
      </c>
    </row>
    <row r="2574" spans="1:4" x14ac:dyDescent="0.2">
      <c r="A2574" s="5">
        <v>2513</v>
      </c>
      <c r="B2574" s="1890">
        <f>'Acct Summary 7-8'!D20</f>
        <v>1757471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610035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431619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1041654</v>
      </c>
      <c r="C2595" s="2" t="s">
        <v>569</v>
      </c>
      <c r="D2595" s="2" t="str">
        <f t="shared" si="39"/>
        <v>Error?</v>
      </c>
    </row>
    <row r="2596" spans="1:4" x14ac:dyDescent="0.2">
      <c r="A2596" s="5">
        <v>2535</v>
      </c>
      <c r="B2596" s="1890">
        <f>'Acct Summary 7-8'!F13</f>
        <v>829106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46188</v>
      </c>
      <c r="C2599" s="2" t="s">
        <v>569</v>
      </c>
      <c r="D2599" s="2" t="str">
        <f t="shared" si="39"/>
        <v>Error?</v>
      </c>
    </row>
    <row r="2600" spans="1:4" x14ac:dyDescent="0.2">
      <c r="A2600" s="5">
        <v>2539</v>
      </c>
      <c r="B2600" s="1890">
        <f>'Acct Summary 7-8'!F17</f>
        <v>875294</v>
      </c>
      <c r="C2600" s="2" t="s">
        <v>569</v>
      </c>
      <c r="D2600" s="2" t="str">
        <f t="shared" si="39"/>
        <v>Error?</v>
      </c>
    </row>
    <row r="2601" spans="1:4" x14ac:dyDescent="0.2">
      <c r="A2601" s="5">
        <v>2540</v>
      </c>
      <c r="B2601" s="1890">
        <f>'Acct Summary 7-8'!F20</f>
        <v>166360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450163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450163</v>
      </c>
      <c r="C2606" s="2" t="s">
        <v>569</v>
      </c>
      <c r="D2606" s="2" t="str">
        <f t="shared" si="39"/>
        <v>Error?</v>
      </c>
    </row>
    <row r="2607" spans="1:4" x14ac:dyDescent="0.2">
      <c r="A2607" s="5">
        <v>2546</v>
      </c>
      <c r="B2607" s="1890">
        <f>'Acct Summary 7-8'!G12</f>
        <v>155934</v>
      </c>
      <c r="C2607" s="2" t="s">
        <v>569</v>
      </c>
      <c r="D2607" s="2" t="str">
        <f t="shared" si="39"/>
        <v>Error?</v>
      </c>
    </row>
    <row r="2608" spans="1:4" x14ac:dyDescent="0.2">
      <c r="A2608" s="5">
        <v>2547</v>
      </c>
      <c r="B2608" s="1890">
        <f>'Acct Summary 7-8'!G13</f>
        <v>216720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372654</v>
      </c>
      <c r="C2612" s="2" t="s">
        <v>569</v>
      </c>
      <c r="D2612" s="2" t="str">
        <f t="shared" si="39"/>
        <v>Error?</v>
      </c>
    </row>
    <row r="2613" spans="1:4" x14ac:dyDescent="0.2">
      <c r="A2613" s="5">
        <v>2552</v>
      </c>
      <c r="B2613" s="1890">
        <f>'Acct Summary 7-8'!G20</f>
        <v>77509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2024951</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2024951</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2014000</v>
      </c>
      <c r="C2634" s="2" t="s">
        <v>569</v>
      </c>
      <c r="D2634" s="2" t="str">
        <f t="shared" si="40"/>
        <v>Error?</v>
      </c>
    </row>
    <row r="2635" spans="1:4" x14ac:dyDescent="0.2">
      <c r="A2635" s="5">
        <v>2574</v>
      </c>
      <c r="B2635" s="1890">
        <f>'Acct Summary 7-8'!E17</f>
        <v>2014000</v>
      </c>
      <c r="C2635" s="2" t="s">
        <v>569</v>
      </c>
      <c r="D2635" s="2" t="str">
        <f t="shared" si="40"/>
        <v>Error?</v>
      </c>
    </row>
    <row r="2636" spans="1:4" x14ac:dyDescent="0.2">
      <c r="A2636" s="5">
        <v>2575</v>
      </c>
      <c r="B2636" s="1890">
        <f>'Acct Summary 7-8'!E20</f>
        <v>10951</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4338</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2470428</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132142</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2470428</v>
      </c>
      <c r="D2912" s="2" t="str">
        <f t="shared" si="44"/>
        <v>Error?</v>
      </c>
    </row>
    <row r="2913" spans="1:4" x14ac:dyDescent="0.2">
      <c r="A2913" s="5">
        <v>2852</v>
      </c>
      <c r="B2913" s="1890">
        <f>'Assets-Liab 5-6'!I41</f>
        <v>2470428</v>
      </c>
      <c r="C2913" s="2" t="s">
        <v>569</v>
      </c>
      <c r="D2913" s="2" t="str">
        <f t="shared" si="44"/>
        <v>Error?</v>
      </c>
    </row>
    <row r="2914" spans="1:4" x14ac:dyDescent="0.2">
      <c r="A2914" s="5">
        <v>2853</v>
      </c>
      <c r="B2914" s="1890">
        <f>'Assets-Liab 5-6'!L33</f>
        <v>132142</v>
      </c>
      <c r="D2914" s="2" t="str">
        <f t="shared" si="44"/>
        <v>Error?</v>
      </c>
    </row>
    <row r="2915" spans="1:4" x14ac:dyDescent="0.2">
      <c r="A2915" s="10">
        <v>2854</v>
      </c>
      <c r="B2915" s="1890"/>
      <c r="D2915" s="2" t="str">
        <f t="shared" si="44"/>
        <v>OK</v>
      </c>
    </row>
    <row r="2916" spans="1:4" x14ac:dyDescent="0.2">
      <c r="A2916" s="5">
        <v>2855</v>
      </c>
      <c r="B2916" s="1890">
        <f>'Assets-Liab 5-6'!L34</f>
        <v>132142</v>
      </c>
      <c r="C2916" s="2" t="s">
        <v>569</v>
      </c>
      <c r="D2916" s="2" t="str">
        <f t="shared" si="44"/>
        <v>Error?</v>
      </c>
    </row>
    <row r="2917" spans="1:4" x14ac:dyDescent="0.2">
      <c r="A2917" s="5">
        <v>2856</v>
      </c>
      <c r="B2917" s="1890">
        <f>'Assets-Liab 5-6'!L41</f>
        <v>132142</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4338</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1131586</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53852</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1131586</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53852</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77811</v>
      </c>
      <c r="C3225" s="2" t="s">
        <v>569</v>
      </c>
      <c r="D3225" s="2" t="str">
        <f t="shared" si="49"/>
        <v>Error?</v>
      </c>
    </row>
    <row r="3226" spans="1:4" x14ac:dyDescent="0.2">
      <c r="A3226" s="5">
        <v>3165</v>
      </c>
      <c r="B3226" s="1890">
        <f>'Acct Summary 7-8'!I8</f>
        <v>77811</v>
      </c>
      <c r="C3226" s="2" t="s">
        <v>569</v>
      </c>
      <c r="D3226" s="2" t="str">
        <f t="shared" si="49"/>
        <v>Error?</v>
      </c>
    </row>
    <row r="3227" spans="1:4" x14ac:dyDescent="0.2">
      <c r="A3227" s="5">
        <v>3166</v>
      </c>
      <c r="B3227" s="1890">
        <f>'Acct Summary 7-8'!I20</f>
        <v>77811</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-2387761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1757471</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166360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77509</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10951</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77811</v>
      </c>
      <c r="C3320" s="2" t="s">
        <v>569</v>
      </c>
      <c r="D3320" s="2" t="str">
        <f t="shared" si="50"/>
        <v>Error?</v>
      </c>
    </row>
    <row r="3321" spans="1:4" x14ac:dyDescent="0.2">
      <c r="A3321" s="5">
        <v>3260</v>
      </c>
      <c r="B3321" s="1890">
        <f>'Acct Summary 7-8'!I79</f>
        <v>2392617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2470428</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932792</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130401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5037</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10933</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849</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344</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1081630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93095</v>
      </c>
      <c r="D3387" s="2" t="str">
        <f t="shared" si="51"/>
        <v>Error?</v>
      </c>
    </row>
    <row r="3388" spans="1:4" x14ac:dyDescent="0.2">
      <c r="A3388" s="5">
        <v>3327</v>
      </c>
      <c r="B3388" s="1890">
        <f>'Expenditures 15-22'!D217</f>
        <v>53774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93095</v>
      </c>
      <c r="C3390" s="2" t="s">
        <v>569</v>
      </c>
      <c r="D3390" s="2" t="str">
        <f t="shared" si="51"/>
        <v>Error?</v>
      </c>
    </row>
    <row r="3391" spans="1:4" x14ac:dyDescent="0.2">
      <c r="A3391" s="5">
        <v>3330</v>
      </c>
      <c r="B3391" s="1890">
        <f>'Expenditures 15-22'!K217</f>
        <v>53774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6225961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3420032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921449</v>
      </c>
      <c r="D3417" s="2" t="str">
        <f t="shared" si="52"/>
        <v>Error?</v>
      </c>
    </row>
    <row r="3418" spans="1:4" x14ac:dyDescent="0.2">
      <c r="A3418" s="10">
        <v>3357</v>
      </c>
      <c r="B3418" s="1890"/>
      <c r="D3418" s="2" t="str">
        <f t="shared" si="52"/>
        <v>OK</v>
      </c>
    </row>
    <row r="3419" spans="1:4" x14ac:dyDescent="0.2">
      <c r="A3419" s="5">
        <v>3358</v>
      </c>
      <c r="B3419" s="1890">
        <f>'Assets-Liab 5-6'!F4</f>
        <v>1668775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120804</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2470428</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132142</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182891</v>
      </c>
      <c r="C3446" s="2" t="s">
        <v>569</v>
      </c>
      <c r="D3446" s="2" t="str">
        <f t="shared" si="52"/>
        <v>Error?</v>
      </c>
    </row>
    <row r="3447" spans="1:4" x14ac:dyDescent="0.2">
      <c r="A3447" s="5">
        <v>3386</v>
      </c>
      <c r="B3447" s="1890">
        <f>'Tax Sched 23'!D16</f>
        <v>60805</v>
      </c>
      <c r="C3447" s="2" t="s">
        <v>569</v>
      </c>
      <c r="D3447" s="2" t="str">
        <f t="shared" si="52"/>
        <v>Error?</v>
      </c>
    </row>
    <row r="3448" spans="1:4" x14ac:dyDescent="0.2">
      <c r="A3448" s="5">
        <v>3387</v>
      </c>
      <c r="B3448" s="1890">
        <f>'Tax Sched 23'!C16</f>
        <v>122086</v>
      </c>
      <c r="D3448" s="2" t="str">
        <f t="shared" si="52"/>
        <v>Error?</v>
      </c>
    </row>
    <row r="3449" spans="1:4" x14ac:dyDescent="0.2">
      <c r="A3449" s="5">
        <v>3388</v>
      </c>
      <c r="B3449" s="1890">
        <f>'Tax Sched 23'!F16</f>
        <v>124369</v>
      </c>
      <c r="C3449" s="2" t="s">
        <v>569</v>
      </c>
      <c r="D3449" s="2" t="str">
        <f t="shared" si="52"/>
        <v>Error?</v>
      </c>
    </row>
    <row r="3450" spans="1:4" x14ac:dyDescent="0.2">
      <c r="A3450" s="5">
        <v>3389</v>
      </c>
      <c r="B3450" s="1890">
        <f>'Tax Sched 23'!E16</f>
        <v>246455</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384715</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384715</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384715</v>
      </c>
      <c r="D3567" s="2" t="str">
        <f t="shared" si="54"/>
        <v>Error?</v>
      </c>
    </row>
    <row r="3568" spans="1:4" x14ac:dyDescent="0.2">
      <c r="A3568" s="5">
        <v>3507</v>
      </c>
      <c r="B3568" s="1890">
        <f>'Assets-Liab 5-6'!K41</f>
        <v>384715</v>
      </c>
      <c r="C3568" s="2" t="s">
        <v>569</v>
      </c>
      <c r="D3568" s="2" t="str">
        <f t="shared" si="54"/>
        <v>Error?</v>
      </c>
    </row>
    <row r="3569" spans="1:4" x14ac:dyDescent="0.2">
      <c r="A3569" s="5">
        <v>3508</v>
      </c>
      <c r="B3569" s="1890">
        <f>'Acct Summary 7-8'!K4</f>
        <v>116826</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116826</v>
      </c>
      <c r="C3571" s="2" t="s">
        <v>569</v>
      </c>
      <c r="D3571" s="2" t="str">
        <f t="shared" si="54"/>
        <v>Error?</v>
      </c>
    </row>
    <row r="3572" spans="1:4" x14ac:dyDescent="0.2">
      <c r="A3572" s="5">
        <v>3511</v>
      </c>
      <c r="B3572" s="1890">
        <f>'Acct Summary 7-8'!K13</f>
        <v>3286</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3286</v>
      </c>
      <c r="C3575" s="2" t="s">
        <v>569</v>
      </c>
      <c r="D3575" s="2" t="str">
        <f t="shared" si="54"/>
        <v>Error?</v>
      </c>
    </row>
    <row r="3576" spans="1:4" x14ac:dyDescent="0.2">
      <c r="A3576" s="5">
        <v>3515</v>
      </c>
      <c r="B3576" s="1890">
        <f>'Acct Summary 7-8'!K20</f>
        <v>113540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113540</v>
      </c>
      <c r="C3588" s="2" t="s">
        <v>569</v>
      </c>
      <c r="D3588" s="2" t="str">
        <f t="shared" si="55"/>
        <v>Error?</v>
      </c>
    </row>
    <row r="3589" spans="1:4" x14ac:dyDescent="0.2">
      <c r="A3589" s="5">
        <v>3528</v>
      </c>
      <c r="B3589" s="1890">
        <f>'Acct Summary 7-8'!K79</f>
        <v>271175</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384715</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3286</v>
      </c>
      <c r="D3620" s="2" t="str">
        <f t="shared" si="55"/>
        <v>Error?</v>
      </c>
    </row>
    <row r="3621" spans="1:4" x14ac:dyDescent="0.2">
      <c r="A3621" s="5">
        <v>3560</v>
      </c>
      <c r="B3621" s="1890">
        <f>'Expenditures 15-22'!C352</f>
        <v>3286</v>
      </c>
      <c r="C3621" s="2" t="s">
        <v>569</v>
      </c>
      <c r="D3621" s="2" t="str">
        <f t="shared" si="55"/>
        <v>Error?</v>
      </c>
    </row>
    <row r="3622" spans="1:4" x14ac:dyDescent="0.2">
      <c r="A3622" s="5">
        <v>3561</v>
      </c>
      <c r="B3622" s="1890">
        <f>'Expenditures 15-22'!C367</f>
        <v>3286</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3286</v>
      </c>
      <c r="C3671" s="2" t="s">
        <v>569</v>
      </c>
      <c r="D3671" s="2" t="str">
        <f t="shared" si="56"/>
        <v>Error?</v>
      </c>
    </row>
    <row r="3672" spans="1:4" x14ac:dyDescent="0.2">
      <c r="A3672" s="5">
        <v>3611</v>
      </c>
      <c r="B3672" s="1890">
        <f>'Expenditures 15-22'!K352</f>
        <v>3286</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3286</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113540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93850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4040246</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11324892</v>
      </c>
      <c r="C4122" s="2" t="s">
        <v>569</v>
      </c>
      <c r="D4122" s="2" t="str">
        <f t="shared" si="63"/>
        <v>Error?</v>
      </c>
    </row>
    <row r="4123" spans="1:4" x14ac:dyDescent="0.2">
      <c r="A4123" s="5">
        <v>4062</v>
      </c>
      <c r="B4123" s="1890">
        <f>'Acct Summary 7-8'!D10</f>
        <v>3232389</v>
      </c>
      <c r="C4123" s="2" t="s">
        <v>569</v>
      </c>
      <c r="D4123" s="2" t="str">
        <f t="shared" si="63"/>
        <v>Error?</v>
      </c>
    </row>
    <row r="4124" spans="1:4" x14ac:dyDescent="0.2">
      <c r="A4124" s="5">
        <v>4063</v>
      </c>
      <c r="B4124" s="1890">
        <f>'Acct Summary 7-8'!E10</f>
        <v>2024951</v>
      </c>
      <c r="C4124" s="2" t="s">
        <v>569</v>
      </c>
      <c r="D4124" s="2" t="str">
        <f t="shared" si="63"/>
        <v>Error?</v>
      </c>
    </row>
    <row r="4125" spans="1:4" x14ac:dyDescent="0.2">
      <c r="A4125" s="5">
        <v>4064</v>
      </c>
      <c r="B4125" s="1890">
        <f>'Acct Summary 7-8'!F10</f>
        <v>1041654</v>
      </c>
      <c r="C4125" s="2" t="s">
        <v>569</v>
      </c>
      <c r="D4125" s="2" t="str">
        <f t="shared" si="63"/>
        <v>Error?</v>
      </c>
    </row>
    <row r="4126" spans="1:4" x14ac:dyDescent="0.2">
      <c r="A4126" s="5">
        <v>4065</v>
      </c>
      <c r="B4126" s="1890">
        <f>'Acct Summary 7-8'!G10</f>
        <v>450163</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77811</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116826</v>
      </c>
      <c r="C4130" s="2" t="s">
        <v>569</v>
      </c>
      <c r="D4130" s="2" t="str">
        <f t="shared" si="63"/>
        <v>Error?</v>
      </c>
    </row>
    <row r="4131" spans="1:4" x14ac:dyDescent="0.2">
      <c r="A4131" s="5">
        <v>4070</v>
      </c>
      <c r="B4131" s="1890">
        <f>'Acct Summary 7-8'!C18</f>
        <v>4040246</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13712653</v>
      </c>
      <c r="C4136" s="2" t="s">
        <v>569</v>
      </c>
      <c r="D4136" s="2" t="str">
        <f t="shared" si="63"/>
        <v>Error?</v>
      </c>
    </row>
    <row r="4137" spans="1:4" x14ac:dyDescent="0.2">
      <c r="A4137" s="5">
        <v>4076</v>
      </c>
      <c r="B4137" s="1890">
        <f>'Acct Summary 7-8'!D19</f>
        <v>1474918</v>
      </c>
      <c r="C4137" s="2" t="s">
        <v>569</v>
      </c>
      <c r="D4137" s="2" t="str">
        <f t="shared" si="63"/>
        <v>Error?</v>
      </c>
    </row>
    <row r="4138" spans="1:4" x14ac:dyDescent="0.2">
      <c r="A4138" s="5">
        <v>4077</v>
      </c>
      <c r="B4138" s="1890">
        <f>'Acct Summary 7-8'!E19</f>
        <v>2014000</v>
      </c>
      <c r="C4138" s="2" t="s">
        <v>569</v>
      </c>
      <c r="D4138" s="2" t="str">
        <f t="shared" si="63"/>
        <v>Error?</v>
      </c>
    </row>
    <row r="4139" spans="1:4" x14ac:dyDescent="0.2">
      <c r="A4139" s="5">
        <v>4078</v>
      </c>
      <c r="B4139" s="1890">
        <f>'Acct Summary 7-8'!F19</f>
        <v>875294</v>
      </c>
      <c r="C4139" s="2" t="s">
        <v>569</v>
      </c>
      <c r="D4139" s="2" t="str">
        <f t="shared" si="63"/>
        <v>Error?</v>
      </c>
    </row>
    <row r="4140" spans="1:4" x14ac:dyDescent="0.2">
      <c r="A4140" s="5">
        <v>4079</v>
      </c>
      <c r="B4140" s="1890">
        <f>'Acct Summary 7-8'!G19</f>
        <v>372654</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3286</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6166721</v>
      </c>
      <c r="C4171" s="2" t="s">
        <v>569</v>
      </c>
      <c r="D4171" s="2" t="str">
        <f t="shared" si="64"/>
        <v>Error?</v>
      </c>
    </row>
    <row r="4172" spans="1:4" x14ac:dyDescent="0.2">
      <c r="A4172" s="5">
        <v>4111</v>
      </c>
      <c r="B4172" s="1890">
        <f>'Short-Term Long-Term Debt 24'!J49</f>
        <v>5245272</v>
      </c>
      <c r="C4172" s="2" t="s">
        <v>569</v>
      </c>
      <c r="D4172" s="2" t="str">
        <f t="shared" si="64"/>
        <v>Error?</v>
      </c>
    </row>
    <row r="4173" spans="1:4" x14ac:dyDescent="0.2">
      <c r="A4173" s="5">
        <v>4112</v>
      </c>
      <c r="B4173" s="1890">
        <f>'Short-Term Long-Term Debt 24'!H49</f>
        <v>1735000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-42029</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42129</v>
      </c>
      <c r="D4210" s="2" t="str">
        <f t="shared" si="64"/>
        <v>Error?</v>
      </c>
    </row>
    <row r="4211" spans="1:4" x14ac:dyDescent="0.2">
      <c r="A4211" s="5">
        <v>4150</v>
      </c>
      <c r="B4211" s="1890">
        <f>'Expenditures 15-22'!K206</f>
        <v>42129</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3592.1000000000004</v>
      </c>
      <c r="C4265" s="2" t="s">
        <v>569</v>
      </c>
      <c r="D4265" s="2" t="str">
        <f t="shared" si="65"/>
        <v>Error?</v>
      </c>
      <c r="E4265" s="125"/>
    </row>
    <row r="4266" spans="1:5" x14ac:dyDescent="0.2">
      <c r="A4266" s="12">
        <v>4205</v>
      </c>
      <c r="B4266" s="1890">
        <f>('FP Info 3'!F10)*100000</f>
        <v>700.5</v>
      </c>
      <c r="C4266" s="2" t="s">
        <v>569</v>
      </c>
      <c r="D4266" s="2" t="str">
        <f t="shared" si="65"/>
        <v>Error?</v>
      </c>
      <c r="E4266" s="125"/>
    </row>
    <row r="4267" spans="1:5" x14ac:dyDescent="0.2">
      <c r="A4267" s="12">
        <v>4206</v>
      </c>
      <c r="B4267" s="1890">
        <f>('FP Info 3'!H10)*100000</f>
        <v>400.29999999999995</v>
      </c>
      <c r="C4267" s="2" t="s">
        <v>569</v>
      </c>
      <c r="D4267" s="2" t="str">
        <f t="shared" si="65"/>
        <v>Error?</v>
      </c>
      <c r="E4267" s="125"/>
    </row>
    <row r="4268" spans="1:5" x14ac:dyDescent="0.2">
      <c r="A4268" s="12">
        <v>4207</v>
      </c>
      <c r="B4268" s="1890">
        <f>('FP Info 3'!J10)*100000</f>
        <v>4693</v>
      </c>
      <c r="C4268" s="2" t="s">
        <v>569</v>
      </c>
      <c r="D4268" s="2" t="str">
        <f t="shared" si="65"/>
        <v>Error?</v>
      </c>
    </row>
    <row r="4269" spans="1:5" x14ac:dyDescent="0.2">
      <c r="A4269" s="12">
        <v>4208</v>
      </c>
      <c r="B4269" s="1890">
        <f>'FP Info 3'!J16</f>
        <v>13785196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611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283</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7320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32191</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164194076</v>
      </c>
      <c r="D4995" s="2" t="str">
        <f t="shared" si="77"/>
        <v>Error?</v>
      </c>
    </row>
    <row r="4996" spans="1:4" x14ac:dyDescent="0.2">
      <c r="A4996" s="12">
        <v>4935</v>
      </c>
      <c r="B4996" s="1890">
        <f>'FP Info 3'!H31</f>
        <v>22658782.488000002</v>
      </c>
      <c r="D4996" s="2" t="str">
        <f t="shared" si="77"/>
        <v>Error?</v>
      </c>
    </row>
    <row r="4997" spans="1:4" x14ac:dyDescent="0.2">
      <c r="A4997" s="12">
        <v>4936</v>
      </c>
      <c r="B4997" s="1890">
        <f>'FP Info 3'!H37</f>
        <v>6166721</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5501870</v>
      </c>
      <c r="D5061" s="2" t="str">
        <f t="shared" si="78"/>
        <v>Error?</v>
      </c>
    </row>
    <row r="5062" spans="1:4" x14ac:dyDescent="0.2">
      <c r="A5062" s="10">
        <v>5001</v>
      </c>
      <c r="B5062" s="1890"/>
      <c r="D5062" s="2" t="str">
        <f t="shared" si="78"/>
        <v>OK</v>
      </c>
    </row>
    <row r="5063" spans="1:4" x14ac:dyDescent="0.2">
      <c r="A5063" s="5">
        <v>5002</v>
      </c>
      <c r="B5063" s="1890">
        <f>'Revenues 9-14'!C7</f>
        <v>506542</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6008412</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214159</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214159</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23007</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60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133861</v>
      </c>
      <c r="C5096" s="2" t="s">
        <v>569</v>
      </c>
      <c r="D5096" s="2" t="str">
        <f t="shared" si="78"/>
        <v>Error?</v>
      </c>
    </row>
    <row r="5097" spans="1:4" x14ac:dyDescent="0.2">
      <c r="A5097" s="5">
        <v>5036</v>
      </c>
      <c r="B5097" s="1890">
        <f>'Revenues 9-14'!C77</f>
        <v>11944</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9515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21459</v>
      </c>
      <c r="C5102" s="2" t="s">
        <v>569</v>
      </c>
      <c r="D5102" s="2" t="str">
        <f t="shared" si="78"/>
        <v>Error?</v>
      </c>
    </row>
    <row r="5103" spans="1:4" x14ac:dyDescent="0.2">
      <c r="A5103" s="5">
        <v>5042</v>
      </c>
      <c r="B5103" s="1890">
        <f>'Revenues 9-14'!C84</f>
        <v>125693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125693</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388</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58338</v>
      </c>
      <c r="D5119" s="2" t="str">
        <f t="shared" ref="D5119:D5182" si="79">IF(ISBLANK(B5119),"OK",IF(A5119-B5119=0,"OK","Error?"))</f>
        <v>Error?</v>
      </c>
    </row>
    <row r="5120" spans="1:4" x14ac:dyDescent="0.2">
      <c r="A5120" s="5">
        <v>5059</v>
      </c>
      <c r="B5120" s="1890">
        <f>'Revenues 9-14'!C108</f>
        <v>71226</v>
      </c>
      <c r="C5120" s="2" t="s">
        <v>569</v>
      </c>
      <c r="D5120" s="2" t="str">
        <f t="shared" si="79"/>
        <v>Error?</v>
      </c>
    </row>
    <row r="5121" spans="1:4" x14ac:dyDescent="0.2">
      <c r="A5121" s="5">
        <v>5060</v>
      </c>
      <c r="B5121" s="1890">
        <f>'Revenues 9-14'!C109</f>
        <v>6574810</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184480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74064</v>
      </c>
      <c r="D5137" s="2" t="str">
        <f t="shared" si="79"/>
        <v>Error?</v>
      </c>
    </row>
    <row r="5138" spans="1:4" x14ac:dyDescent="0.2">
      <c r="A5138" s="10">
        <v>5077</v>
      </c>
      <c r="B5138" s="1890"/>
      <c r="D5138" s="2" t="str">
        <f t="shared" si="79"/>
        <v>OK</v>
      </c>
    </row>
    <row r="5139" spans="1:4" x14ac:dyDescent="0.2">
      <c r="A5139" s="5">
        <v>5078</v>
      </c>
      <c r="B5139" s="1890">
        <f>'Revenues 9-14'!C129</f>
        <v>3403</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261947</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1077</v>
      </c>
      <c r="D5167" s="2" t="str">
        <f t="shared" si="79"/>
        <v>Error?</v>
      </c>
    </row>
    <row r="5168" spans="1:4" x14ac:dyDescent="0.2">
      <c r="A5168" s="5">
        <v>5107</v>
      </c>
      <c r="B5168" s="1890">
        <f>'Revenues 9-14'!C148</f>
        <v>7360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270384</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270384</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95764</v>
      </c>
      <c r="D5239" s="2" t="str">
        <f t="shared" si="80"/>
        <v>Error?</v>
      </c>
    </row>
    <row r="5240" spans="1:4" x14ac:dyDescent="0.2">
      <c r="A5240" s="5">
        <v>5179</v>
      </c>
      <c r="B5240" s="1890">
        <f>'Revenues 9-14'!C192</f>
        <v>41</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95805</v>
      </c>
      <c r="C5246" s="2" t="s">
        <v>569</v>
      </c>
      <c r="D5246" s="2" t="str">
        <f t="shared" si="80"/>
        <v>Error?</v>
      </c>
    </row>
    <row r="5247" spans="1:4" x14ac:dyDescent="0.2">
      <c r="A5247" s="5">
        <v>5186</v>
      </c>
      <c r="B5247" s="1890">
        <f>'Revenues 9-14'!C200</f>
        <v>151790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7320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151790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1741</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145041</v>
      </c>
      <c r="D5278" s="2" t="str">
        <f t="shared" si="81"/>
        <v>Error?</v>
      </c>
    </row>
    <row r="5279" spans="1:4" x14ac:dyDescent="0.2">
      <c r="A5279" s="5">
        <v>5218</v>
      </c>
      <c r="B5279" s="1890">
        <f>'Revenues 9-14'!C214</f>
        <v>4670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151452</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439452</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439452</v>
      </c>
      <c r="C5326" s="2" t="s">
        <v>569</v>
      </c>
      <c r="D5326" s="2" t="str">
        <f t="shared" si="82"/>
        <v>Error?</v>
      </c>
    </row>
    <row r="5327" spans="1:5" x14ac:dyDescent="0.2">
      <c r="A5327" s="5">
        <v>5266</v>
      </c>
      <c r="B5327" s="1890">
        <f>'Revenues 9-14'!C268</f>
        <v>7284646</v>
      </c>
      <c r="C5327" s="2" t="s">
        <v>569</v>
      </c>
      <c r="D5327" s="2" t="str">
        <f t="shared" si="82"/>
        <v>Error?</v>
      </c>
    </row>
    <row r="5328" spans="1:5" x14ac:dyDescent="0.2">
      <c r="A5328" s="5">
        <v>5267</v>
      </c>
      <c r="B5328" s="1890">
        <f>'Revenues 9-14'!D5</f>
        <v>1116991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1116991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156709</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156709</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4200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20027</v>
      </c>
      <c r="D5354" s="2" t="str">
        <f t="shared" si="82"/>
        <v>Error?</v>
      </c>
    </row>
    <row r="5355" spans="1:4" x14ac:dyDescent="0.2">
      <c r="A5355" s="5">
        <v>5294</v>
      </c>
      <c r="B5355" s="1890">
        <f>'Revenues 9-14'!D108</f>
        <v>24227</v>
      </c>
      <c r="C5355" s="2" t="s">
        <v>569</v>
      </c>
      <c r="D5355" s="2" t="str">
        <f t="shared" si="82"/>
        <v>Error?</v>
      </c>
    </row>
    <row r="5356" spans="1:4" x14ac:dyDescent="0.2">
      <c r="A5356" s="5">
        <v>5295</v>
      </c>
      <c r="B5356" s="1890">
        <f>'Revenues 9-14'!D109</f>
        <v>1297927</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1884462</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1884462</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1934462</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3232389</v>
      </c>
      <c r="C5508" s="2" t="s">
        <v>569</v>
      </c>
      <c r="D5508" s="2" t="str">
        <f t="shared" si="85"/>
        <v>Error?</v>
      </c>
    </row>
    <row r="5509" spans="1:4" x14ac:dyDescent="0.2">
      <c r="A5509" s="5">
        <v>5448</v>
      </c>
      <c r="B5509" s="1890">
        <f>'Revenues 9-14'!E5</f>
        <v>2024951</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2024951</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2024951</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2024951</v>
      </c>
      <c r="C5552" s="2" t="s">
        <v>569</v>
      </c>
      <c r="D5552" s="2" t="str">
        <f t="shared" si="85"/>
        <v>Error?</v>
      </c>
    </row>
    <row r="5553" spans="1:4" x14ac:dyDescent="0.2">
      <c r="A5553" s="5">
        <v>5492</v>
      </c>
      <c r="B5553" s="1890">
        <f>'Revenues 9-14'!F5</f>
        <v>608745</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608745</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1290</v>
      </c>
      <c r="D5586" s="2" t="str">
        <f t="shared" si="86"/>
        <v>Error?</v>
      </c>
    </row>
    <row r="5587" spans="1:4" x14ac:dyDescent="0.2">
      <c r="A5587" s="5">
        <v>5526</v>
      </c>
      <c r="B5587" s="1890">
        <f>'Revenues 9-14'!F108</f>
        <v>1290</v>
      </c>
      <c r="C5587" s="2" t="s">
        <v>569</v>
      </c>
      <c r="D5587" s="2" t="str">
        <f t="shared" si="86"/>
        <v>Error?</v>
      </c>
    </row>
    <row r="5588" spans="1:4" x14ac:dyDescent="0.2">
      <c r="A5588" s="5">
        <v>5527</v>
      </c>
      <c r="B5588" s="1890">
        <f>'Revenues 9-14'!F109</f>
        <v>610035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219312</v>
      </c>
      <c r="D5615" s="2" t="str">
        <f t="shared" si="86"/>
        <v>Error?</v>
      </c>
    </row>
    <row r="5616" spans="1:4" x14ac:dyDescent="0.2">
      <c r="A5616" s="10">
        <v>5555</v>
      </c>
      <c r="B5616" s="1890"/>
      <c r="D5616" s="2" t="str">
        <f t="shared" si="86"/>
        <v>OK</v>
      </c>
    </row>
    <row r="5617" spans="1:5" x14ac:dyDescent="0.2">
      <c r="A5617" s="5">
        <v>5556</v>
      </c>
      <c r="B5617" s="1890">
        <f>'Revenues 9-14'!F153</f>
        <v>212307</v>
      </c>
      <c r="D5617" s="2" t="str">
        <f t="shared" si="86"/>
        <v>Error?</v>
      </c>
    </row>
    <row r="5618" spans="1:5" x14ac:dyDescent="0.2">
      <c r="A5618" s="5">
        <v>5557</v>
      </c>
      <c r="B5618" s="1890">
        <f>'Revenues 9-14'!F155</f>
        <v>431619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431619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431619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1041654</v>
      </c>
      <c r="C5720" s="2" t="s">
        <v>569</v>
      </c>
      <c r="D5720" s="2" t="str">
        <f t="shared" si="88"/>
        <v>Error?</v>
      </c>
    </row>
    <row r="5721" spans="1:4" x14ac:dyDescent="0.2">
      <c r="A5721" s="5">
        <v>5660</v>
      </c>
      <c r="B5721" s="1890">
        <f>'Revenues 9-14'!G5</f>
        <v>182891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182891</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365782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84381</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84381</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450163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77811</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77811</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77811</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116826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116826</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116826</v>
      </c>
      <c r="C6023" s="2" t="s">
        <v>569</v>
      </c>
      <c r="D6023" s="2" t="str">
        <f t="shared" si="93"/>
        <v>Error?</v>
      </c>
    </row>
    <row r="6024" spans="1:5" x14ac:dyDescent="0.2">
      <c r="A6024" s="5">
        <v>5963</v>
      </c>
      <c r="B6024" s="1890">
        <f>'Revenues 9-14'!G109</f>
        <v>450163</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77811</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116826</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110794</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18098</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1017.3</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162136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162136</v>
      </c>
      <c r="D6215" s="2" t="str">
        <f t="shared" si="96"/>
        <v>Error?</v>
      </c>
      <c r="E6215" s="2" t="s">
        <v>189</v>
      </c>
    </row>
    <row r="6216" spans="1:5" x14ac:dyDescent="0.2">
      <c r="A6216">
        <v>6155</v>
      </c>
      <c r="B6216" s="1890">
        <f>'Assets-Liab 5-6'!J41</f>
        <v>162136</v>
      </c>
      <c r="D6216" s="2" t="str">
        <f t="shared" si="96"/>
        <v>Error?</v>
      </c>
      <c r="E6216" s="2" t="s">
        <v>189</v>
      </c>
    </row>
    <row r="6217" spans="1:5" x14ac:dyDescent="0.2">
      <c r="A6217">
        <v>6156</v>
      </c>
      <c r="B6217" s="1890">
        <f>'Assets-Liab 5-6'!J4</f>
        <v>162136</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51067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51067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51067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63600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63600</v>
      </c>
      <c r="D6229" s="2" t="str">
        <f t="shared" si="96"/>
        <v>Error?</v>
      </c>
      <c r="E6229" s="2" t="s">
        <v>189</v>
      </c>
    </row>
    <row r="6230" spans="1:5" x14ac:dyDescent="0.2">
      <c r="A6230">
        <v>6169</v>
      </c>
      <c r="B6230" s="1890">
        <f>'Acct Summary 7-8'!J20</f>
        <v>-12533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-12533</v>
      </c>
      <c r="D6263" s="2" t="str">
        <f t="shared" si="96"/>
        <v>Error?</v>
      </c>
      <c r="E6263" s="2" t="s">
        <v>189</v>
      </c>
    </row>
    <row r="6264" spans="1:5" x14ac:dyDescent="0.2">
      <c r="A6264">
        <v>6203</v>
      </c>
      <c r="B6264" s="1890">
        <f>'Acct Summary 7-8'!J79</f>
        <v>174669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162136</v>
      </c>
      <c r="D6266" s="2" t="str">
        <f t="shared" si="96"/>
        <v>Error?</v>
      </c>
      <c r="E6266" s="2" t="s">
        <v>189</v>
      </c>
    </row>
    <row r="6267" spans="1:5" x14ac:dyDescent="0.2">
      <c r="A6267">
        <v>6206</v>
      </c>
      <c r="B6267" s="1890">
        <f>'Acct Summary 7-8'!C82</f>
        <v>-2387761</v>
      </c>
      <c r="D6267" s="2" t="str">
        <f t="shared" si="96"/>
        <v>Error?</v>
      </c>
      <c r="E6267" s="2" t="s">
        <v>189</v>
      </c>
    </row>
    <row r="6268" spans="1:5" x14ac:dyDescent="0.2">
      <c r="A6268">
        <v>6207</v>
      </c>
      <c r="B6268" s="1890">
        <f>'Acct Summary 7-8'!D82</f>
        <v>1757471</v>
      </c>
      <c r="D6268" s="2" t="str">
        <f t="shared" si="96"/>
        <v>Error?</v>
      </c>
      <c r="E6268" s="2" t="s">
        <v>189</v>
      </c>
    </row>
    <row r="6269" spans="1:5" x14ac:dyDescent="0.2">
      <c r="A6269">
        <v>6208</v>
      </c>
      <c r="B6269" s="1890">
        <f>'Acct Summary 7-8'!E82</f>
        <v>10951</v>
      </c>
      <c r="D6269" s="2" t="str">
        <f t="shared" si="96"/>
        <v>Error?</v>
      </c>
      <c r="E6269" s="2" t="s">
        <v>189</v>
      </c>
    </row>
    <row r="6270" spans="1:5" x14ac:dyDescent="0.2">
      <c r="A6270">
        <v>6209</v>
      </c>
      <c r="B6270" s="1890">
        <f>'Acct Summary 7-8'!F82</f>
        <v>166360</v>
      </c>
      <c r="D6270" s="2" t="str">
        <f t="shared" si="96"/>
        <v>Error?</v>
      </c>
      <c r="E6270" s="2" t="s">
        <v>189</v>
      </c>
    </row>
    <row r="6271" spans="1:5" x14ac:dyDescent="0.2">
      <c r="A6271">
        <v>6210</v>
      </c>
      <c r="B6271" s="1890">
        <f>'Acct Summary 7-8'!G82</f>
        <v>77509</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77811</v>
      </c>
      <c r="D6273" s="2" t="str">
        <f t="shared" si="97"/>
        <v>Error?</v>
      </c>
      <c r="E6273" s="2" t="s">
        <v>189</v>
      </c>
    </row>
    <row r="6274" spans="1:5" x14ac:dyDescent="0.2">
      <c r="A6274">
        <v>6213</v>
      </c>
      <c r="B6274" s="1890">
        <f>'Acct Summary 7-8'!J82</f>
        <v>-12533</v>
      </c>
      <c r="D6274" s="2" t="str">
        <f t="shared" si="97"/>
        <v>Error?</v>
      </c>
      <c r="E6274" s="2" t="s">
        <v>189</v>
      </c>
    </row>
    <row r="6275" spans="1:5" x14ac:dyDescent="0.2">
      <c r="A6275">
        <v>6214</v>
      </c>
      <c r="B6275" s="1890">
        <f>'Acct Summary 7-8'!K82</f>
        <v>113540</v>
      </c>
      <c r="D6275" s="2" t="str">
        <f t="shared" si="97"/>
        <v>Error?</v>
      </c>
      <c r="E6275" s="2" t="s">
        <v>189</v>
      </c>
    </row>
    <row r="6276" spans="1:5" x14ac:dyDescent="0.2">
      <c r="A6276">
        <v>6215</v>
      </c>
      <c r="B6276" s="1890">
        <f>'Acct Summary 7-8'!C83</f>
        <v>-0.38351685787945028</v>
      </c>
      <c r="D6276" s="2" t="str">
        <f t="shared" si="97"/>
        <v>Error?</v>
      </c>
      <c r="E6276" s="2" t="s">
        <v>189</v>
      </c>
    </row>
    <row r="6277" spans="1:5" x14ac:dyDescent="0.2">
      <c r="A6277">
        <v>6216</v>
      </c>
      <c r="B6277" s="1890">
        <f>'Acct Summary 7-8'!D83</f>
        <v>0.51387560116396569</v>
      </c>
      <c r="D6277" s="2" t="str">
        <f t="shared" si="97"/>
        <v>Error?</v>
      </c>
      <c r="E6277" s="2" t="s">
        <v>189</v>
      </c>
    </row>
    <row r="6278" spans="1:5" x14ac:dyDescent="0.2">
      <c r="A6278">
        <v>6217</v>
      </c>
      <c r="B6278" s="1890">
        <f>'Acct Summary 7-8'!E83</f>
        <v>1.1884542714789424E-2</v>
      </c>
      <c r="D6278" s="2" t="str">
        <f t="shared" si="97"/>
        <v>Error?</v>
      </c>
      <c r="E6278" s="2" t="s">
        <v>189</v>
      </c>
    </row>
    <row r="6279" spans="1:5" x14ac:dyDescent="0.2">
      <c r="A6279">
        <v>6218</v>
      </c>
      <c r="B6279" s="1890">
        <f>'Acct Summary 7-8'!F83</f>
        <v>9.9689892286257881E-2</v>
      </c>
      <c r="D6279" s="2" t="str">
        <f t="shared" si="97"/>
        <v>Error?</v>
      </c>
      <c r="E6279" s="2" t="s">
        <v>189</v>
      </c>
    </row>
    <row r="6280" spans="1:5" x14ac:dyDescent="0.2">
      <c r="A6280">
        <v>6219</v>
      </c>
      <c r="B6280" s="1890">
        <f>'Acct Summary 7-8'!G83</f>
        <v>0.64160954935267045</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3.1496971375000606E-2</v>
      </c>
      <c r="D6282" s="2" t="str">
        <f t="shared" si="97"/>
        <v>Error?</v>
      </c>
      <c r="E6282" s="2" t="s">
        <v>189</v>
      </c>
    </row>
    <row r="6283" spans="1:5" x14ac:dyDescent="0.2">
      <c r="A6283">
        <v>6222</v>
      </c>
      <c r="B6283" s="1890">
        <f>'Acct Summary 7-8'!J83</f>
        <v>-7.7299304287758427E-2</v>
      </c>
      <c r="D6283" s="2" t="str">
        <f t="shared" si="97"/>
        <v>Error?</v>
      </c>
      <c r="E6283" s="2" t="s">
        <v>189</v>
      </c>
    </row>
    <row r="6284" spans="1:5" x14ac:dyDescent="0.2">
      <c r="A6284">
        <v>6223</v>
      </c>
      <c r="B6284" s="1890">
        <f>'Acct Summary 7-8'!K83</f>
        <v>0.29512756196145196</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51067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51067</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12500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51067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171958</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1274</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54726</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2004</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21977</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175236</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420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420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f>'Expenditures 15-22'!E52</f>
        <v>0</v>
      </c>
      <c r="D6934" s="2" t="str">
        <f t="shared" si="107"/>
        <v>Error?</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540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540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522</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987</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1509</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2469</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4338</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177705</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3930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3930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3930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63600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3930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51067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4059</v>
      </c>
      <c r="D7067" s="2" t="str">
        <f t="shared" si="109"/>
        <v>Error?</v>
      </c>
    </row>
    <row r="7068" spans="1:4" x14ac:dyDescent="0.2">
      <c r="A7068">
        <v>7007</v>
      </c>
      <c r="B7068" s="1890">
        <f>'Expenditures 15-22'!K205</f>
        <v>4059</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1544</v>
      </c>
      <c r="D7075" s="2" t="str">
        <f t="shared" si="109"/>
        <v>Error?</v>
      </c>
    </row>
    <row r="7076" spans="1:4" x14ac:dyDescent="0.2">
      <c r="A7076">
        <v>7015</v>
      </c>
      <c r="B7076" s="1890">
        <f>'Expenditures 15-22'!K218</f>
        <v>1544</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315</v>
      </c>
      <c r="D7079" s="2" t="str">
        <f t="shared" si="109"/>
        <v>Error?</v>
      </c>
    </row>
    <row r="7080" spans="1:4" x14ac:dyDescent="0.2">
      <c r="A7080">
        <v>7019</v>
      </c>
      <c r="B7080" s="1890">
        <f>'Expenditures 15-22'!K226</f>
        <v>315</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63600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63600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63600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63600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63600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63600</v>
      </c>
      <c r="D7224" s="2" t="str">
        <f t="shared" si="111"/>
        <v>Error?</v>
      </c>
    </row>
    <row r="7225" spans="1:4" x14ac:dyDescent="0.2">
      <c r="A7225">
        <v>7164</v>
      </c>
      <c r="B7225" s="1890">
        <f>'Expenditures 15-22'!K343</f>
        <v>-12533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45960</v>
      </c>
      <c r="D7251" s="2" t="str">
        <f t="shared" si="112"/>
        <v>Error?</v>
      </c>
    </row>
    <row r="7252" spans="1:4" x14ac:dyDescent="0.2">
      <c r="A7252">
        <f t="shared" si="113"/>
        <v>7191</v>
      </c>
      <c r="B7252" s="1890">
        <f>'Expenditures 15-22'!D9</f>
        <v>8464</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302</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21724</v>
      </c>
      <c r="D7263" s="2" t="str">
        <f t="shared" si="112"/>
        <v>Error?</v>
      </c>
    </row>
    <row r="7264" spans="1:4" x14ac:dyDescent="0.2">
      <c r="A7264">
        <f t="shared" si="113"/>
        <v>7203</v>
      </c>
      <c r="B7264" s="1890">
        <f>'Expenditures 15-22'!D17</f>
        <v>253</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205753</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205753</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205753</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657691</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657691</v>
      </c>
      <c r="D7618" s="2" t="str">
        <f t="shared" si="124"/>
        <v>Error?</v>
      </c>
      <c r="E7618" s="2" t="s">
        <v>19</v>
      </c>
    </row>
    <row r="7619" spans="1:5" x14ac:dyDescent="0.2">
      <c r="A7619">
        <f t="shared" si="123"/>
        <v>7558</v>
      </c>
      <c r="B7619" s="1890">
        <f>'Cap Outlay Deprec 26'!H14</f>
        <v>652023</v>
      </c>
      <c r="D7619" s="2" t="str">
        <f t="shared" si="124"/>
        <v>Error?</v>
      </c>
      <c r="E7619" s="2" t="s">
        <v>19</v>
      </c>
    </row>
    <row r="7620" spans="1:5" x14ac:dyDescent="0.2">
      <c r="A7620">
        <f t="shared" si="123"/>
        <v>7559</v>
      </c>
      <c r="B7620" s="1890">
        <f>'Cap Outlay Deprec 26'!I14</f>
        <v>3462</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655485</v>
      </c>
      <c r="D7622" s="2" t="str">
        <f t="shared" si="124"/>
        <v>Error?</v>
      </c>
      <c r="E7622" s="2" t="s">
        <v>19</v>
      </c>
    </row>
    <row r="7623" spans="1:5" x14ac:dyDescent="0.2">
      <c r="A7623">
        <f t="shared" si="123"/>
        <v>7562</v>
      </c>
      <c r="B7623" s="1890">
        <f>'Cap Outlay Deprec 26'!L14</f>
        <v>2206</v>
      </c>
      <c r="D7623" s="2" t="str">
        <f t="shared" si="124"/>
        <v>Error?</v>
      </c>
      <c r="E7623" s="2" t="s">
        <v>19</v>
      </c>
    </row>
    <row r="7624" spans="1:5" x14ac:dyDescent="0.2">
      <c r="A7624">
        <f t="shared" si="123"/>
        <v>7563</v>
      </c>
      <c r="B7624" s="1890">
        <f>'Cap Outlay Deprec 26'!F17</f>
        <v>181635</v>
      </c>
      <c r="D7624" s="2" t="str">
        <f t="shared" si="124"/>
        <v>Error?</v>
      </c>
      <c r="E7624" s="2" t="s">
        <v>19</v>
      </c>
    </row>
    <row r="7625" spans="1:5" x14ac:dyDescent="0.2">
      <c r="A7625">
        <f t="shared" si="123"/>
        <v>7564</v>
      </c>
      <c r="B7625" s="1890">
        <f>'Cap Outlay Deprec 26'!I17</f>
        <v>18163.5</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749277.5</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12500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7360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19860</v>
      </c>
      <c r="D7719" s="2" t="str">
        <f t="shared" si="126"/>
        <v>Error?</v>
      </c>
      <c r="E7719" s="2" t="s">
        <v>822</v>
      </c>
    </row>
    <row r="7720" spans="1:6" x14ac:dyDescent="0.2">
      <c r="A7720">
        <v>7659</v>
      </c>
      <c r="B7720" s="1890">
        <f>'Rest Tax Levies-Tort Im 25'!H14</f>
        <v>506542</v>
      </c>
      <c r="D7720" s="2" t="str">
        <f t="shared" si="126"/>
        <v>Error?</v>
      </c>
      <c r="E7720" s="2" t="s">
        <v>822</v>
      </c>
    </row>
    <row r="7721" spans="1:6" x14ac:dyDescent="0.2">
      <c r="A7721">
        <v>7660</v>
      </c>
      <c r="B7721" s="1890">
        <f>'Rest Tax Levies-Tort Im 25'!K14</f>
        <v>19860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19860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9185121</v>
      </c>
      <c r="D7817" s="2" t="str">
        <f t="shared" si="128"/>
        <v>Error?</v>
      </c>
      <c r="E7817" s="4" t="s">
        <v>1969</v>
      </c>
    </row>
    <row r="7818" spans="1:5" x14ac:dyDescent="0.2">
      <c r="A7818">
        <v>7757</v>
      </c>
      <c r="B7818" s="1890">
        <f>'PCTC-OEPP 27-28'!F172</f>
        <v>290507</v>
      </c>
      <c r="D7818" s="2" t="str">
        <f t="shared" si="128"/>
        <v>Error?</v>
      </c>
      <c r="E7818" s="4" t="s">
        <v>1983</v>
      </c>
    </row>
    <row r="7819" spans="1:5" x14ac:dyDescent="0.2">
      <c r="A7819">
        <v>7758</v>
      </c>
      <c r="B7819" s="1890">
        <f>'PCTC-OEPP 27-28'!F173</f>
        <v>138</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14472873</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54726</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9161</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3827955</v>
      </c>
      <c r="D7834" s="2" t="str">
        <f t="shared" si="129"/>
        <v>Error?</v>
      </c>
      <c r="E7834" s="4" t="s">
        <v>2001</v>
      </c>
    </row>
    <row r="7835" spans="1:5" x14ac:dyDescent="0.2">
      <c r="A7835">
        <v>7774</v>
      </c>
      <c r="B7835" s="1890">
        <f>'PCTC-OEPP 27-28'!F78</f>
        <v>10644918</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10463.892657033324</v>
      </c>
      <c r="D7837" s="2" t="str">
        <f t="shared" si="129"/>
        <v>Error?</v>
      </c>
      <c r="E7837" s="4" t="s">
        <v>2001</v>
      </c>
    </row>
    <row r="7838" spans="1:5" x14ac:dyDescent="0.2">
      <c r="A7838">
        <v>7777</v>
      </c>
      <c r="B7838" s="1890">
        <f>'PCTC-OEPP 27-28'!F96</f>
        <v>21459</v>
      </c>
      <c r="D7838" s="2" t="str">
        <f t="shared" si="129"/>
        <v>Error?</v>
      </c>
      <c r="E7838" s="4" t="s">
        <v>2001</v>
      </c>
    </row>
    <row r="7839" spans="1:5" x14ac:dyDescent="0.2">
      <c r="A7839">
        <v>7778</v>
      </c>
      <c r="B7839" s="1890">
        <f>'PCTC-OEPP 27-28'!F102</f>
        <v>4200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261947</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7360</v>
      </c>
      <c r="D7846" s="2" t="str">
        <f t="shared" si="129"/>
        <v>Error?</v>
      </c>
      <c r="E7846" s="4" t="s">
        <v>2001</v>
      </c>
    </row>
    <row r="7847" spans="1:5" x14ac:dyDescent="0.2">
      <c r="A7847">
        <v>7786</v>
      </c>
      <c r="B7847" s="1890">
        <f>'PCTC-OEPP 27-28'!F112</f>
        <v>431619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95805</v>
      </c>
      <c r="D7858" s="2" t="str">
        <f t="shared" si="129"/>
        <v>Error?</v>
      </c>
      <c r="E7858" s="4" t="s">
        <v>2001</v>
      </c>
    </row>
    <row r="7859" spans="1:5" x14ac:dyDescent="0.2">
      <c r="A7859">
        <v>7798</v>
      </c>
      <c r="B7859" s="1890">
        <f>'PCTC-OEPP 27-28'!F127</f>
        <v>151790</v>
      </c>
      <c r="D7859" s="2" t="str">
        <f t="shared" si="129"/>
        <v>Error?</v>
      </c>
      <c r="E7859" s="4" t="s">
        <v>2001</v>
      </c>
    </row>
    <row r="7860" spans="1:5" x14ac:dyDescent="0.2">
      <c r="A7860">
        <v>7799</v>
      </c>
      <c r="B7860" s="1890">
        <f>'PCTC-OEPP 27-28'!F128</f>
        <v>7320</v>
      </c>
      <c r="D7860" s="2" t="str">
        <f t="shared" si="129"/>
        <v>Error?</v>
      </c>
      <c r="E7860" s="4" t="s">
        <v>2001</v>
      </c>
    </row>
    <row r="7861" spans="1:5" x14ac:dyDescent="0.2">
      <c r="A7861">
        <v>7800</v>
      </c>
      <c r="B7861" s="1890">
        <f>'PCTC-OEPP 27-28'!F129</f>
        <v>145041</v>
      </c>
      <c r="D7861" s="2" t="str">
        <f t="shared" si="129"/>
        <v>Error?</v>
      </c>
      <c r="E7861" s="4" t="s">
        <v>2001</v>
      </c>
    </row>
    <row r="7862" spans="1:5" x14ac:dyDescent="0.2">
      <c r="A7862">
        <v>7801</v>
      </c>
      <c r="B7862" s="1890">
        <f>'PCTC-OEPP 27-28'!F130</f>
        <v>4670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32191</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611</v>
      </c>
      <c r="D7874" s="2" t="str">
        <f t="shared" si="129"/>
        <v>Error?</v>
      </c>
      <c r="E7874" s="4" t="s">
        <v>2001</v>
      </c>
    </row>
    <row r="7875" spans="1:5" x14ac:dyDescent="0.2">
      <c r="A7875">
        <v>7814</v>
      </c>
      <c r="B7875" s="1890">
        <f>'PCTC-OEPP 27-28'!F170</f>
        <v>283</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1765572</v>
      </c>
      <c r="D7877" s="2" t="str">
        <f t="shared" si="129"/>
        <v>Error?</v>
      </c>
      <c r="E7877" s="4" t="s">
        <v>2001</v>
      </c>
    </row>
    <row r="7878" spans="1:5" x14ac:dyDescent="0.2">
      <c r="A7878">
        <v>7817</v>
      </c>
      <c r="B7878" s="1890">
        <f>'PCTC-OEPP 27-28'!F176</f>
        <v>8879346</v>
      </c>
      <c r="D7878" s="2" t="str">
        <f t="shared" si="129"/>
        <v>Error?</v>
      </c>
      <c r="E7878" s="4" t="s">
        <v>2001</v>
      </c>
    </row>
    <row r="7879" spans="1:5" x14ac:dyDescent="0.2">
      <c r="A7879">
        <v>7818</v>
      </c>
      <c r="B7879" s="1890">
        <f>'PCTC-OEPP 27-28'!F178</f>
        <v>9628623.5</v>
      </c>
      <c r="D7879" s="2" t="str">
        <f t="shared" si="129"/>
        <v>Error?</v>
      </c>
      <c r="E7879" s="4" t="s">
        <v>2001</v>
      </c>
    </row>
    <row r="7880" spans="1:5" x14ac:dyDescent="0.2">
      <c r="A7880">
        <v>7819</v>
      </c>
      <c r="B7880" s="1890">
        <f>'PCTC-OEPP 27-28'!F180</f>
        <v>9464.8810577017593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1" t="s">
        <v>1183</v>
      </c>
      <c r="B2" s="2631"/>
      <c r="C2" s="2631"/>
      <c r="D2" s="2631"/>
      <c r="E2" s="2631"/>
      <c r="F2" s="2631"/>
      <c r="G2" s="2631"/>
      <c r="H2" s="2631"/>
      <c r="I2" s="2631"/>
      <c r="J2" s="2631"/>
      <c r="K2" s="2631"/>
      <c r="L2" s="2631"/>
    </row>
    <row r="3" spans="1:29" ht="13.5" customHeight="1" x14ac:dyDescent="0.2">
      <c r="A3" s="2617" t="s">
        <v>1182</v>
      </c>
      <c r="B3" s="2617"/>
      <c r="C3" s="2617"/>
      <c r="D3" s="2617"/>
      <c r="E3" s="2617"/>
      <c r="F3" s="2617"/>
      <c r="G3" s="2617"/>
      <c r="H3" s="2617"/>
      <c r="I3" s="2617"/>
      <c r="J3" s="2617"/>
      <c r="K3" s="2617"/>
      <c r="L3" s="2617"/>
    </row>
    <row r="4" spans="1:29" ht="13.5" customHeight="1" x14ac:dyDescent="0.2">
      <c r="A4" s="2648" t="str">
        <f>"Year Ending June 30, "&amp;'AFR20'!E2</f>
        <v>Year Ending June 30, 2020</v>
      </c>
      <c r="B4" s="2649"/>
      <c r="C4" s="2649"/>
      <c r="D4" s="2649"/>
      <c r="E4" s="2649"/>
      <c r="F4" s="2649"/>
      <c r="G4" s="2649"/>
      <c r="H4" s="2649"/>
      <c r="I4" s="2649"/>
      <c r="J4" s="2649"/>
      <c r="K4" s="2649"/>
      <c r="L4" s="264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1" t="str">
        <f>COVER!A17</f>
        <v xml:space="preserve">   Beecher CUSD 200U </v>
      </c>
      <c r="B7" s="2612"/>
      <c r="C7" s="2612"/>
      <c r="D7" s="2650"/>
      <c r="E7" s="2651" t="str">
        <f>COVER!A13</f>
        <v xml:space="preserve">56099200U26 </v>
      </c>
      <c r="F7" s="2652"/>
      <c r="G7" s="2618" t="str">
        <f>COVER!T23</f>
        <v>066-004945</v>
      </c>
      <c r="H7" s="2619"/>
      <c r="I7" s="2619"/>
      <c r="J7" s="2619"/>
      <c r="K7" s="2619"/>
      <c r="L7" s="262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1"/>
      <c r="B9" s="2622"/>
      <c r="C9" s="2622"/>
      <c r="D9" s="2622"/>
      <c r="E9" s="2622"/>
      <c r="F9" s="2623"/>
      <c r="G9" s="2624" t="str">
        <f>COVER!T13</f>
        <v>GASSENSMITH &amp; MICHALESKO, LTD.</v>
      </c>
      <c r="H9" s="2625"/>
      <c r="I9" s="2625"/>
      <c r="J9" s="2625"/>
      <c r="K9" s="2625"/>
      <c r="L9" s="2626"/>
    </row>
    <row r="10" spans="1:29" ht="13.5" customHeight="1" x14ac:dyDescent="0.2">
      <c r="A10" s="2608" t="str">
        <f>COVER!A38</f>
        <v>K. BRADLEY COX</v>
      </c>
      <c r="B10" s="2609"/>
      <c r="C10" s="2609"/>
      <c r="D10" s="2609"/>
      <c r="E10" s="2609"/>
      <c r="F10" s="2610"/>
      <c r="G10" s="2624" t="str">
        <f>COVER!T17</f>
        <v>323 SPRINGFIELD AVE</v>
      </c>
      <c r="H10" s="2637"/>
      <c r="I10" s="2637"/>
      <c r="J10" s="2637"/>
      <c r="K10" s="2637"/>
      <c r="L10" s="2638"/>
    </row>
    <row r="11" spans="1:29" ht="13.5" customHeight="1" x14ac:dyDescent="0.2">
      <c r="A11" s="1008" t="s">
        <v>1505</v>
      </c>
      <c r="B11" s="1009"/>
      <c r="C11" s="1010"/>
      <c r="D11" s="1015"/>
      <c r="E11" s="1010"/>
      <c r="F11" s="1014"/>
      <c r="G11" s="2624" t="str">
        <f>COVER!T19</f>
        <v>JOLIET</v>
      </c>
      <c r="H11" s="2637"/>
      <c r="I11" s="2637"/>
      <c r="J11" s="2637"/>
      <c r="K11" s="2637"/>
      <c r="L11" s="2638"/>
    </row>
    <row r="12" spans="1:29" ht="13.5" customHeight="1" x14ac:dyDescent="0.2">
      <c r="A12" s="2642" t="s">
        <v>1504</v>
      </c>
      <c r="B12" s="2643"/>
      <c r="C12" s="2643"/>
      <c r="D12" s="2643"/>
      <c r="E12" s="2643"/>
      <c r="F12" s="2644"/>
      <c r="G12" s="2639"/>
      <c r="H12" s="2640"/>
      <c r="I12" s="2640"/>
      <c r="J12" s="2640"/>
      <c r="K12" s="2640"/>
      <c r="L12" s="2641"/>
    </row>
    <row r="13" spans="1:29" ht="13.5" customHeight="1" x14ac:dyDescent="0.2">
      <c r="A13" s="2624"/>
      <c r="B13" s="2637"/>
      <c r="C13" s="2637"/>
      <c r="D13" s="2637"/>
      <c r="E13" s="2637"/>
      <c r="F13" s="2638"/>
      <c r="G13" s="2632" t="s">
        <v>1506</v>
      </c>
      <c r="H13" s="2633"/>
      <c r="I13" s="2645">
        <f>COVER!T25</f>
        <v>0</v>
      </c>
      <c r="J13" s="2646"/>
      <c r="K13" s="2646"/>
      <c r="L13" s="2647"/>
    </row>
    <row r="14" spans="1:29" ht="13.5" customHeight="1" x14ac:dyDescent="0.2">
      <c r="A14" s="2624" t="str">
        <f>COVER!A19</f>
        <v>528 MILLER</v>
      </c>
      <c r="B14" s="2637"/>
      <c r="C14" s="2637"/>
      <c r="D14" s="2637"/>
      <c r="E14" s="2637"/>
      <c r="F14" s="2638"/>
      <c r="G14" s="1019" t="s">
        <v>1177</v>
      </c>
      <c r="H14" s="1017"/>
      <c r="I14" s="1017"/>
      <c r="J14" s="1017"/>
      <c r="K14" s="1017"/>
      <c r="L14" s="1018"/>
    </row>
    <row r="15" spans="1:29" ht="13.5" customHeight="1" x14ac:dyDescent="0.2">
      <c r="A15" s="2624" t="str">
        <f>COVER!A21</f>
        <v xml:space="preserve">BEECHER  </v>
      </c>
      <c r="B15" s="2637"/>
      <c r="C15" s="2637"/>
      <c r="D15" s="2637"/>
      <c r="E15" s="2637"/>
      <c r="F15" s="2638"/>
      <c r="G15" s="2634" t="str">
        <f>COVER!T15</f>
        <v>JILL GASSENSMITH</v>
      </c>
      <c r="H15" s="2635"/>
      <c r="I15" s="2635"/>
      <c r="J15" s="2635"/>
      <c r="K15" s="2635"/>
      <c r="L15" s="2636"/>
    </row>
    <row r="16" spans="1:29" ht="12.2" customHeight="1" x14ac:dyDescent="0.2">
      <c r="A16" s="2614">
        <f>COVER!A25</f>
        <v>60401</v>
      </c>
      <c r="B16" s="2615"/>
      <c r="C16" s="2615"/>
      <c r="D16" s="2615"/>
      <c r="E16" s="2615"/>
      <c r="F16" s="2616"/>
      <c r="G16" s="2627"/>
      <c r="H16" s="2628"/>
      <c r="I16" s="2628"/>
      <c r="J16" s="2628"/>
      <c r="K16" s="2628"/>
      <c r="L16" s="2629"/>
    </row>
    <row r="17" spans="1:13" ht="12.2" customHeight="1" x14ac:dyDescent="0.2">
      <c r="A17" s="2630"/>
      <c r="B17" s="2615"/>
      <c r="C17" s="2615"/>
      <c r="D17" s="2615"/>
      <c r="E17" s="2615"/>
      <c r="F17" s="2616"/>
      <c r="G17" s="1019" t="s">
        <v>1176</v>
      </c>
      <c r="H17" s="1017"/>
      <c r="I17" s="1017"/>
      <c r="J17" s="1017"/>
      <c r="K17" s="1021" t="s">
        <v>1175</v>
      </c>
      <c r="L17" s="1014"/>
      <c r="M17" s="1007"/>
    </row>
    <row r="18" spans="1:13" ht="12.2" customHeight="1" x14ac:dyDescent="0.2">
      <c r="A18" s="2608"/>
      <c r="B18" s="2609"/>
      <c r="C18" s="2609"/>
      <c r="D18" s="2609"/>
      <c r="E18" s="2609"/>
      <c r="F18" s="2610"/>
      <c r="G18" s="2611" t="str">
        <f>COVER!T21</f>
        <v>(815)744-6200</v>
      </c>
      <c r="H18" s="2612"/>
      <c r="I18" s="2612"/>
      <c r="J18" s="2612"/>
      <c r="K18" s="2611" t="str">
        <f>COVER!X21</f>
        <v>(815)744-3822</v>
      </c>
      <c r="L18" s="261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Beecher CUSD 200U </v>
      </c>
      <c r="B1" s="2654"/>
      <c r="C1" s="2654"/>
      <c r="D1" s="2654"/>
    </row>
    <row r="2" spans="1:11" s="1036" customFormat="1" ht="12.75" x14ac:dyDescent="0.2">
      <c r="A2" s="2655" t="str">
        <f>'Single Audit Cover'!E7</f>
        <v xml:space="preserve">56099200U26 </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Beecher CUSD 200U </v>
      </c>
      <c r="B1" s="2658"/>
      <c r="C1" s="2658"/>
      <c r="D1" s="2658"/>
      <c r="E1" s="2658"/>
    </row>
    <row r="2" spans="1:5" x14ac:dyDescent="0.2">
      <c r="A2" s="2659" t="str">
        <f>'Single Audit Cover'!E7</f>
        <v xml:space="preserve">56099200U26 </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439452</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18098</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-283</v>
      </c>
    </row>
    <row r="19" spans="1:4" ht="13.5" thickBot="1" x14ac:dyDescent="0.25">
      <c r="A19" s="1086" t="s">
        <v>1226</v>
      </c>
      <c r="D19" s="1087">
        <f>SUM(D10:D17)</f>
        <v>457267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457267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457267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7" t="str">
        <f>'Single Audit Cover'!A7</f>
        <v xml:space="preserve">   Beecher CUSD 200U </v>
      </c>
      <c r="C1" s="2662"/>
      <c r="D1" s="2662"/>
      <c r="E1" s="2662"/>
      <c r="F1" s="2662"/>
      <c r="G1" s="2662"/>
      <c r="H1" s="2662"/>
      <c r="I1" s="2662"/>
      <c r="J1" s="2662"/>
      <c r="K1" s="2662"/>
      <c r="L1" s="2662"/>
      <c r="M1" s="2662"/>
    </row>
    <row r="2" spans="2:14" ht="15" x14ac:dyDescent="0.2">
      <c r="B2" s="2663" t="str">
        <f>'Single Audit Cover'!E7</f>
        <v xml:space="preserve">56099200U26 </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C34" sqref="C3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t="s">
        <v>2080</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2065</v>
      </c>
      <c r="C53" s="174">
        <v>22</v>
      </c>
      <c r="D53" s="242" t="s">
        <v>1448</v>
      </c>
      <c r="E53" s="243"/>
      <c r="F53" s="244"/>
      <c r="G53" s="244" t="s">
        <v>1447</v>
      </c>
      <c r="H53" s="245">
        <v>36495</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7" t="str">
        <f>'Single Audit Cover'!A7</f>
        <v xml:space="preserve">   Beecher CUSD 200U </v>
      </c>
      <c r="B1" s="2667"/>
      <c r="C1" s="2667"/>
      <c r="D1" s="2667"/>
      <c r="E1" s="2667"/>
      <c r="F1" s="2667"/>
    </row>
    <row r="2" spans="1:7" ht="13.5" customHeight="1" x14ac:dyDescent="0.2">
      <c r="A2" s="2663" t="str">
        <f>'Single Audit Cover'!E7</f>
        <v xml:space="preserve">56099200U26 </v>
      </c>
      <c r="B2" s="2663"/>
      <c r="C2" s="2663"/>
      <c r="D2" s="2663"/>
      <c r="E2" s="2663"/>
      <c r="F2" s="2663"/>
      <c r="G2" s="1096"/>
    </row>
    <row r="3" spans="1:7" ht="15.75" customHeight="1" x14ac:dyDescent="0.2">
      <c r="A3" s="2668" t="s">
        <v>1262</v>
      </c>
      <c r="B3" s="2668"/>
      <c r="C3" s="2668"/>
      <c r="D3" s="2668"/>
      <c r="E3" s="2668"/>
      <c r="F3" s="2668"/>
    </row>
    <row r="4" spans="1:7" ht="13.5" customHeight="1" x14ac:dyDescent="0.2">
      <c r="A4" s="2669" t="str">
        <f>'Single Audit Cover'!A4</f>
        <v>Year Ending June 30, 2020</v>
      </c>
      <c r="B4" s="2669"/>
      <c r="C4" s="2669"/>
      <c r="D4" s="2669"/>
      <c r="E4" s="2669"/>
      <c r="F4" s="2669"/>
    </row>
    <row r="5" spans="1:7" ht="8.25" customHeight="1" x14ac:dyDescent="0.2">
      <c r="C5" s="295"/>
      <c r="D5" s="295"/>
    </row>
    <row r="6" spans="1:7" ht="13.5" customHeight="1" x14ac:dyDescent="0.2">
      <c r="A6" s="1097" t="s">
        <v>1708</v>
      </c>
      <c r="C6" s="295"/>
      <c r="D6" s="295"/>
    </row>
    <row r="7" spans="1:7" ht="60.95" customHeight="1" x14ac:dyDescent="0.2">
      <c r="A7" s="2666" t="s">
        <v>1709</v>
      </c>
      <c r="B7" s="2666"/>
      <c r="C7" s="2666"/>
      <c r="D7" s="2666"/>
      <c r="E7" s="2666"/>
      <c r="F7" s="266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6" t="s">
        <v>1711</v>
      </c>
      <c r="B13" s="2666"/>
      <c r="C13" s="2666"/>
      <c r="D13" s="2666"/>
      <c r="E13" s="2666"/>
      <c r="F13" s="2666"/>
    </row>
    <row r="14" spans="1:7" ht="9.75" customHeight="1" x14ac:dyDescent="0.2">
      <c r="C14" s="1081"/>
      <c r="D14" s="1081"/>
    </row>
    <row r="15" spans="1:7" ht="13.5" customHeight="1" x14ac:dyDescent="0.2">
      <c r="C15" s="1525" t="s">
        <v>1261</v>
      </c>
      <c r="D15" s="2671" t="s">
        <v>1260</v>
      </c>
      <c r="E15" s="2671"/>
      <c r="F15" s="2671"/>
    </row>
    <row r="16" spans="1:7" ht="13.5" customHeight="1" x14ac:dyDescent="0.2">
      <c r="A16" s="1103"/>
      <c r="B16" s="1097" t="s">
        <v>1259</v>
      </c>
      <c r="C16" s="1525" t="s">
        <v>1258</v>
      </c>
      <c r="D16" s="2672" t="s">
        <v>1574</v>
      </c>
      <c r="E16" s="2672"/>
      <c r="F16" s="2672"/>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4" t="s">
        <v>1712</v>
      </c>
      <c r="B32" s="2674"/>
      <c r="C32" s="2674"/>
      <c r="D32" s="2674"/>
      <c r="E32" s="2674"/>
      <c r="F32" s="267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5">
        <f>+C33+C34</f>
        <v>0</v>
      </c>
      <c r="F34" s="267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7" t="s">
        <v>1576</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3" t="s">
        <v>1537</v>
      </c>
      <c r="C51" s="2673"/>
      <c r="D51" s="2673"/>
    </row>
    <row r="52" spans="1:5" ht="14.25" customHeight="1" x14ac:dyDescent="0.2">
      <c r="A52" s="1122"/>
      <c r="B52" s="2673"/>
      <c r="C52" s="2673"/>
      <c r="D52" s="26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 xml:space="preserve">   Beecher CUSD 200U </v>
      </c>
      <c r="C1" s="2683"/>
      <c r="D1" s="2683"/>
      <c r="E1" s="2683"/>
      <c r="F1" s="2683"/>
      <c r="G1" s="2683"/>
      <c r="H1" s="2683"/>
      <c r="I1" s="2683"/>
      <c r="J1" s="1223"/>
    </row>
    <row r="2" spans="2:10" s="295" customFormat="1" ht="12.75" customHeight="1" x14ac:dyDescent="0.2">
      <c r="B2" s="2684" t="str">
        <f>'Single Audit Cover'!E7</f>
        <v xml:space="preserve">56099200U26 </v>
      </c>
      <c r="C2" s="2685"/>
      <c r="D2" s="2685"/>
      <c r="E2" s="2685"/>
      <c r="F2" s="2685"/>
      <c r="G2" s="2685"/>
      <c r="H2" s="2685"/>
      <c r="I2" s="2685"/>
      <c r="J2" s="1223"/>
    </row>
    <row r="3" spans="2:10" s="295" customFormat="1" ht="12.75" customHeight="1" x14ac:dyDescent="0.2">
      <c r="B3" s="2686" t="s">
        <v>1276</v>
      </c>
      <c r="C3" s="2687"/>
      <c r="D3" s="2687"/>
      <c r="E3" s="2687"/>
      <c r="F3" s="2687"/>
      <c r="G3" s="2687"/>
      <c r="H3" s="2687"/>
      <c r="I3" s="2687"/>
      <c r="J3" s="1224"/>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6" t="s">
        <v>1275</v>
      </c>
      <c r="C7" s="2687"/>
      <c r="D7" s="2687"/>
      <c r="E7" s="2687"/>
      <c r="F7" s="2687"/>
      <c r="G7" s="2687"/>
      <c r="H7" s="2687"/>
      <c r="I7" s="268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8"/>
      <c r="D11" s="268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9"/>
      <c r="E29" s="2689"/>
      <c r="F29" s="2689"/>
      <c r="G29" s="2689"/>
      <c r="H29" s="2689"/>
      <c r="I29" s="268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0" t="s">
        <v>1731</v>
      </c>
      <c r="D37" s="2691"/>
      <c r="E37" s="2691"/>
      <c r="F37" s="2692"/>
      <c r="G37" s="2690" t="s">
        <v>1578</v>
      </c>
      <c r="H37" s="2691"/>
      <c r="I37" s="2692"/>
    </row>
    <row r="38" spans="2:9" ht="16.5" customHeight="1" x14ac:dyDescent="0.2">
      <c r="B38" s="1245"/>
      <c r="C38" s="2678"/>
      <c r="D38" s="2679"/>
      <c r="E38" s="2679"/>
      <c r="F38" s="2680"/>
      <c r="G38" s="2693"/>
      <c r="H38" s="2694"/>
      <c r="I38" s="2695"/>
    </row>
    <row r="39" spans="2:9" ht="16.5" customHeight="1" x14ac:dyDescent="0.2">
      <c r="B39" s="1245"/>
      <c r="C39" s="2678"/>
      <c r="D39" s="2679"/>
      <c r="E39" s="2679"/>
      <c r="F39" s="2680"/>
      <c r="G39" s="2681"/>
      <c r="H39" s="2681"/>
      <c r="I39" s="2681"/>
    </row>
    <row r="40" spans="2:9" ht="16.5" customHeight="1" x14ac:dyDescent="0.2">
      <c r="B40" s="1245"/>
      <c r="C40" s="2678"/>
      <c r="D40" s="2679"/>
      <c r="E40" s="2679"/>
      <c r="F40" s="2680"/>
      <c r="G40" s="2681"/>
      <c r="H40" s="2681"/>
      <c r="I40" s="2681"/>
    </row>
    <row r="41" spans="2:9" ht="16.5" customHeight="1" x14ac:dyDescent="0.2">
      <c r="B41" s="1245"/>
      <c r="C41" s="2678"/>
      <c r="D41" s="2679"/>
      <c r="E41" s="2679"/>
      <c r="F41" s="2680"/>
      <c r="G41" s="2681"/>
      <c r="H41" s="2681"/>
      <c r="I41" s="2681"/>
    </row>
    <row r="42" spans="2:9" ht="16.5" customHeight="1" x14ac:dyDescent="0.2">
      <c r="B42" s="1245"/>
      <c r="C42" s="2678"/>
      <c r="D42" s="2679"/>
      <c r="E42" s="2679"/>
      <c r="F42" s="2680"/>
      <c r="G42" s="2681"/>
      <c r="H42" s="2681"/>
      <c r="I42" s="2681"/>
    </row>
    <row r="43" spans="2:9" ht="16.5" customHeight="1" x14ac:dyDescent="0.2">
      <c r="B43" s="1245"/>
      <c r="C43" s="2696" t="s">
        <v>1579</v>
      </c>
      <c r="D43" s="2697"/>
      <c r="E43" s="2697"/>
      <c r="F43" s="2698"/>
      <c r="G43" s="2699">
        <f>SUM(G38:I42)</f>
        <v>0</v>
      </c>
      <c r="H43" s="2699"/>
      <c r="I43" s="2699"/>
    </row>
    <row r="44" spans="2:9" ht="12.75" customHeight="1" x14ac:dyDescent="0.2"/>
    <row r="45" spans="2:9" ht="12.75" customHeight="1" x14ac:dyDescent="0.2">
      <c r="B45" s="1985" t="str">
        <f>"Total Federal Expenditures for 7/1/"&amp;MID('AFR20'!E2,3,2)-1&amp;"-6/30/"&amp;MID('AFR20'!E2,3,2)</f>
        <v>Total Federal Expenditures for 7/1/19-6/30/20</v>
      </c>
      <c r="C45" s="1986"/>
      <c r="D45" s="2700">
        <v>0</v>
      </c>
      <c r="E45" s="270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2"/>
      <c r="F49" s="2702"/>
      <c r="G49" s="270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 xml:space="preserve">   Beecher CUSD 200U </v>
      </c>
      <c r="C1" s="2682"/>
      <c r="D1" s="2682"/>
      <c r="E1" s="2682"/>
      <c r="F1" s="2682"/>
      <c r="G1" s="2682"/>
      <c r="H1" s="2682"/>
      <c r="I1" s="2682"/>
      <c r="J1" s="2682"/>
      <c r="K1" s="2682"/>
      <c r="L1" s="1189"/>
      <c r="M1" s="1189"/>
    </row>
    <row r="2" spans="1:13" ht="12" customHeight="1" x14ac:dyDescent="0.2">
      <c r="B2" s="2684" t="str">
        <f>'Single Audit Cover'!E7</f>
        <v xml:space="preserve">56099200U26 </v>
      </c>
      <c r="C2" s="2684"/>
      <c r="D2" s="2684"/>
      <c r="E2" s="2684"/>
      <c r="F2" s="2684"/>
      <c r="G2" s="2684"/>
      <c r="H2" s="2684"/>
      <c r="I2" s="2684"/>
      <c r="J2" s="2684"/>
      <c r="K2" s="2684"/>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 xml:space="preserve">   Beecher CUSD 200U </v>
      </c>
      <c r="C1" s="2709"/>
      <c r="D1" s="2709"/>
      <c r="E1" s="2709"/>
      <c r="F1" s="2709"/>
      <c r="G1" s="2709"/>
      <c r="H1" s="2709"/>
      <c r="I1" s="2709"/>
      <c r="J1" s="2709"/>
      <c r="K1" s="2709"/>
      <c r="L1" s="1266"/>
    </row>
    <row r="2" spans="1:12" ht="12.75" customHeight="1" x14ac:dyDescent="0.2">
      <c r="B2" s="2710" t="str">
        <f>'Single Audit Cover'!E7</f>
        <v xml:space="preserve">56099200U26 </v>
      </c>
      <c r="C2" s="2710"/>
      <c r="D2" s="2710"/>
      <c r="E2" s="2710"/>
      <c r="F2" s="2710"/>
      <c r="G2" s="2710"/>
      <c r="H2" s="2710"/>
      <c r="I2" s="2710"/>
      <c r="J2" s="2710"/>
      <c r="K2" s="2710"/>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1" t="s">
        <v>1299</v>
      </c>
      <c r="C6" s="2711"/>
      <c r="D6" s="2711"/>
      <c r="E6" s="2711"/>
      <c r="F6" s="2711"/>
      <c r="G6" s="2711"/>
      <c r="H6" s="2711"/>
      <c r="I6" s="2711"/>
      <c r="J6" s="2711"/>
      <c r="K6" s="271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9"/>
      <c r="G12" s="2689"/>
      <c r="H12" s="2689"/>
      <c r="I12" s="2689"/>
      <c r="J12" s="2689"/>
      <c r="K12" s="268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2" t="str">
        <f>'Single Audit Cover'!A7</f>
        <v xml:space="preserve">   Beecher CUSD 200U </v>
      </c>
      <c r="C1" s="2682"/>
      <c r="D1" s="2682"/>
      <c r="E1" s="1285"/>
    </row>
    <row r="2" spans="2:5" s="1103" customFormat="1" ht="12.75" customHeight="1" x14ac:dyDescent="0.2">
      <c r="B2" s="2684" t="str">
        <f>'Single Audit Cover'!E7</f>
        <v xml:space="preserve">56099200U26 </v>
      </c>
      <c r="C2" s="2684"/>
      <c r="D2" s="2684"/>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34" sqref="C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164194076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3.5921000000000002E-2</v>
      </c>
      <c r="E10" s="333" t="s">
        <v>998</v>
      </c>
      <c r="F10" s="332">
        <v>7.0049999999999999E-3</v>
      </c>
      <c r="G10" s="333" t="s">
        <v>998</v>
      </c>
      <c r="H10" s="332">
        <v>4.0029999999999996E-3</v>
      </c>
      <c r="I10" s="333" t="s">
        <v>999</v>
      </c>
      <c r="J10" s="1473">
        <f>ROUND(D10+F10+H10,5)</f>
        <v>4.6929999999999999E-2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11636500</v>
      </c>
      <c r="E16" s="1597"/>
      <c r="F16" s="1596">
        <f>SUM('Acct Summary 7-8'!C17,'Acct Summary 7-8'!D17,'Acct Summary 7-8'!F17)</f>
        <v>12022619</v>
      </c>
      <c r="G16" s="1597"/>
      <c r="H16" s="1596">
        <f>SUM(D16-F16)</f>
        <v>-386119</v>
      </c>
      <c r="I16" s="1598"/>
      <c r="J16" s="1596">
        <f>SUM('Acct Summary 7-8'!C81,'Acct Summary 7-8'!D81,'Acct Summary 7-8'!F81,'Acct Summary 7-8'!I81)</f>
        <v>13785196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22658782.488000002</v>
      </c>
      <c r="I31" s="345"/>
      <c r="J31" s="217"/>
      <c r="K31" s="217"/>
      <c r="L31" s="217"/>
      <c r="M31" s="217"/>
    </row>
    <row r="32" spans="1:13" ht="13.35" customHeight="1" x14ac:dyDescent="0.2">
      <c r="B32" s="346" t="s">
        <v>2065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6166721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34" sqref="C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Beecher CUSD 200U </v>
      </c>
      <c r="E7" s="368"/>
      <c r="G7" s="247"/>
      <c r="H7" s="364"/>
      <c r="I7" s="364"/>
      <c r="J7" s="364"/>
      <c r="K7" s="364"/>
      <c r="L7" s="307"/>
      <c r="M7" s="307"/>
      <c r="N7" s="307"/>
      <c r="O7" s="307"/>
      <c r="P7" s="307"/>
    </row>
    <row r="8" spans="1:18" ht="12.75" x14ac:dyDescent="0.2">
      <c r="A8" s="307"/>
      <c r="B8" s="307"/>
      <c r="C8" s="366" t="s">
        <v>1117</v>
      </c>
      <c r="D8" s="369" t="str">
        <f>COVER!A13</f>
        <v xml:space="preserve">56099200U26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13785196</v>
      </c>
      <c r="I12" s="380"/>
      <c r="J12" s="380"/>
      <c r="K12" s="1609">
        <f>TRUNC((H12/H13*100000),5)/100000</f>
        <v>1.1846513986</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11636500</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12022619</v>
      </c>
      <c r="I17" s="380"/>
      <c r="J17" s="389"/>
      <c r="K17" s="1609">
        <f>TRUNC((H17/H18*100000),5)/100000</f>
        <v>1.0331817127</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11636500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32.688228199999998</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13785196</v>
      </c>
      <c r="I24" s="394"/>
      <c r="J24" s="394"/>
      <c r="K24" s="1605">
        <f>TRUNC(((H24/H25*100000)/100000),2)</f>
        <v>412.77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33396.163890000003</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6549783.7886800002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6166721</v>
      </c>
      <c r="I32" s="392"/>
      <c r="J32" s="392"/>
      <c r="K32" s="1605">
        <f>TRUNC(100-((((H32/H33*100))*100)/100),2)</f>
        <v>72.78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22658782.488000002</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3.55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selection activeCell="C34" sqref="C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6225961</v>
      </c>
      <c r="D4" s="1623">
        <v>3420032</v>
      </c>
      <c r="E4" s="1623">
        <v>921449</v>
      </c>
      <c r="F4" s="1623">
        <v>1668775</v>
      </c>
      <c r="G4" s="1623">
        <v>120804</v>
      </c>
      <c r="H4" s="1623">
        <v>0</v>
      </c>
      <c r="I4" s="1623">
        <v>2470428</v>
      </c>
      <c r="J4" s="1624">
        <v>162136</v>
      </c>
      <c r="K4" s="1623">
        <v>384715</v>
      </c>
      <c r="L4" s="1623">
        <v>132142</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6225961</v>
      </c>
      <c r="D13" s="1637">
        <f t="shared" ref="D13:L13" si="0">SUM(D4:D12)</f>
        <v>3420032</v>
      </c>
      <c r="E13" s="1637">
        <f t="shared" si="0"/>
        <v>921449</v>
      </c>
      <c r="F13" s="1637">
        <f t="shared" si="0"/>
        <v>1668775</v>
      </c>
      <c r="G13" s="1637">
        <f t="shared" si="0"/>
        <v>120804</v>
      </c>
      <c r="H13" s="1637">
        <f t="shared" si="0"/>
        <v>0</v>
      </c>
      <c r="I13" s="1637">
        <f t="shared" si="0"/>
        <v>2470428</v>
      </c>
      <c r="J13" s="1637">
        <f t="shared" si="0"/>
        <v>162136</v>
      </c>
      <c r="K13" s="1637">
        <f t="shared" si="0"/>
        <v>384715</v>
      </c>
      <c r="L13" s="1637">
        <f t="shared" si="0"/>
        <v>132142</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205753</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20839082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2673652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2044777+180316+3541147+657690</f>
        <v>6423930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921449</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5245272</v>
      </c>
    </row>
    <row r="23" spans="1:14" ht="13.5" customHeight="1" thickBot="1" x14ac:dyDescent="0.25">
      <c r="A23" s="1475" t="s">
        <v>638</v>
      </c>
      <c r="B23" s="1478"/>
      <c r="C23" s="1625"/>
      <c r="D23" s="1625"/>
      <c r="E23" s="1625"/>
      <c r="F23" s="1625"/>
      <c r="G23" s="1625"/>
      <c r="H23" s="1625"/>
      <c r="I23" s="1625"/>
      <c r="J23" s="1625"/>
      <c r="K23" s="1625"/>
      <c r="L23" s="1625"/>
      <c r="M23" s="1644">
        <f>SUM(M15:M22)</f>
        <v>30142417</v>
      </c>
      <c r="N23" s="1644">
        <f>SUM(N21:N22)</f>
        <v>6166721</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132142</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132142</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6166721</v>
      </c>
    </row>
    <row r="37" spans="1:14" ht="13.5" thickBot="1" x14ac:dyDescent="0.25">
      <c r="A37" s="1475" t="s">
        <v>648</v>
      </c>
      <c r="B37" s="1478"/>
      <c r="C37" s="1632"/>
      <c r="D37" s="1632"/>
      <c r="E37" s="1632"/>
      <c r="F37" s="1632"/>
      <c r="G37" s="1632"/>
      <c r="H37" s="1632"/>
      <c r="I37" s="1632"/>
      <c r="J37" s="1632"/>
      <c r="K37" s="1632"/>
      <c r="L37" s="1635"/>
      <c r="M37" s="1625"/>
      <c r="N37" s="1644">
        <f>SUM(N36:N36)</f>
        <v>6166721</v>
      </c>
    </row>
    <row r="38" spans="1:14" s="307" customFormat="1" ht="13.5" customHeight="1" thickTop="1" x14ac:dyDescent="0.2">
      <c r="A38" s="438" t="s">
        <v>417</v>
      </c>
      <c r="B38" s="432">
        <v>714</v>
      </c>
      <c r="C38" s="1623"/>
      <c r="D38" s="1623"/>
      <c r="E38" s="1623"/>
      <c r="F38" s="1623"/>
      <c r="G38" s="1623"/>
      <c r="H38" s="1623"/>
      <c r="I38" s="1623"/>
      <c r="J38" s="1624"/>
      <c r="K38" s="1623">
        <v>0</v>
      </c>
      <c r="L38" s="1636"/>
      <c r="M38" s="1654"/>
      <c r="N38" s="1654"/>
    </row>
    <row r="39" spans="1:14" s="307" customFormat="1" ht="13.5" customHeight="1" x14ac:dyDescent="0.2">
      <c r="A39" s="438" t="s">
        <v>339</v>
      </c>
      <c r="B39" s="432">
        <v>730</v>
      </c>
      <c r="C39" s="1623">
        <v>6225961</v>
      </c>
      <c r="D39" s="1623">
        <v>3420032</v>
      </c>
      <c r="E39" s="1623">
        <v>921449</v>
      </c>
      <c r="F39" s="1623">
        <v>1668775</v>
      </c>
      <c r="G39" s="1623">
        <v>120804</v>
      </c>
      <c r="H39" s="1623">
        <v>0</v>
      </c>
      <c r="I39" s="1623">
        <v>2470428</v>
      </c>
      <c r="J39" s="1624">
        <v>162136</v>
      </c>
      <c r="K39" s="1623">
        <v>384715</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30142417</v>
      </c>
      <c r="N40" s="1654"/>
    </row>
    <row r="41" spans="1:14" ht="13.5" customHeight="1" thickBot="1" x14ac:dyDescent="0.25">
      <c r="A41" s="1475" t="s">
        <v>650</v>
      </c>
      <c r="B41" s="1454"/>
      <c r="C41" s="1644">
        <f>(SUM(C34,C37,C38,C39))</f>
        <v>6225961</v>
      </c>
      <c r="D41" s="1644">
        <f t="shared" ref="D41:L41" si="2">SUM(D34,D37,D38:D39)</f>
        <v>3420032</v>
      </c>
      <c r="E41" s="1644">
        <f t="shared" si="2"/>
        <v>921449</v>
      </c>
      <c r="F41" s="1644">
        <f t="shared" si="2"/>
        <v>1668775</v>
      </c>
      <c r="G41" s="1644">
        <f t="shared" si="2"/>
        <v>120804</v>
      </c>
      <c r="H41" s="1644">
        <f t="shared" si="2"/>
        <v>0</v>
      </c>
      <c r="I41" s="1644">
        <f t="shared" si="2"/>
        <v>2470428</v>
      </c>
      <c r="J41" s="1644">
        <f t="shared" si="2"/>
        <v>162136</v>
      </c>
      <c r="K41" s="1644">
        <f t="shared" si="2"/>
        <v>384715</v>
      </c>
      <c r="L41" s="1644">
        <f t="shared" si="2"/>
        <v>132142</v>
      </c>
      <c r="M41" s="1644">
        <f>SUM(M40)</f>
        <v>30142417</v>
      </c>
      <c r="N41" s="1644">
        <f>SUM(N37)</f>
        <v>6166721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2" colorId="8" zoomScale="110" zoomScaleNormal="110" zoomScaleSheetLayoutView="100" workbookViewId="0">
      <selection activeCell="C34" sqref="C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6574810</v>
      </c>
      <c r="D4" s="1656">
        <f>'Revenues 9-14'!D109</f>
        <v>1297927</v>
      </c>
      <c r="E4" s="1656">
        <f>'Revenues 9-14'!E109</f>
        <v>2024951</v>
      </c>
      <c r="F4" s="1656">
        <f>'Revenues 9-14'!F109</f>
        <v>610035</v>
      </c>
      <c r="G4" s="1656">
        <f>'Revenues 9-14'!G109</f>
        <v>450163</v>
      </c>
      <c r="H4" s="1656">
        <f>'Revenues 9-14'!H109</f>
        <v>0</v>
      </c>
      <c r="I4" s="1656">
        <f>'Revenues 9-14'!I109</f>
        <v>77811</v>
      </c>
      <c r="J4" s="1656">
        <f>'Revenues 9-14'!J109</f>
        <v>51067</v>
      </c>
      <c r="K4" s="1656">
        <f>'Revenues 9-14'!K109</f>
        <v>116826</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270384</v>
      </c>
      <c r="D6" s="1657">
        <f>'Revenues 9-14'!D170</f>
        <v>1934462</v>
      </c>
      <c r="E6" s="1657">
        <f>'Revenues 9-14'!E170</f>
        <v>0</v>
      </c>
      <c r="F6" s="1657">
        <f>'Revenues 9-14'!F170</f>
        <v>431619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439452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7284646</v>
      </c>
      <c r="D8" s="1644">
        <f t="shared" ref="D8:K8" si="0">SUM(D4:D7)</f>
        <v>3232389</v>
      </c>
      <c r="E8" s="1644">
        <f t="shared" si="0"/>
        <v>2024951</v>
      </c>
      <c r="F8" s="1644">
        <f t="shared" si="0"/>
        <v>1041654</v>
      </c>
      <c r="G8" s="1644">
        <f t="shared" si="0"/>
        <v>450163</v>
      </c>
      <c r="H8" s="1644">
        <f t="shared" si="0"/>
        <v>0</v>
      </c>
      <c r="I8" s="1644">
        <f t="shared" si="0"/>
        <v>77811</v>
      </c>
      <c r="J8" s="1644">
        <f t="shared" si="0"/>
        <v>51067</v>
      </c>
      <c r="K8" s="1644">
        <f t="shared" si="0"/>
        <v>116826</v>
      </c>
      <c r="L8" s="325"/>
    </row>
    <row r="9" spans="1:13" ht="15.75" thickTop="1" x14ac:dyDescent="0.2">
      <c r="A9" s="449" t="s">
        <v>1637</v>
      </c>
      <c r="B9" s="450">
        <v>3998</v>
      </c>
      <c r="C9" s="1636">
        <v>4040246</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11324892</v>
      </c>
      <c r="D10" s="1644">
        <f t="shared" ref="D10:K10" si="1">SUM(D8:D9)</f>
        <v>3232389</v>
      </c>
      <c r="E10" s="1644">
        <f t="shared" si="1"/>
        <v>2024951</v>
      </c>
      <c r="F10" s="1644">
        <f t="shared" si="1"/>
        <v>1041654</v>
      </c>
      <c r="G10" s="1644">
        <f t="shared" si="1"/>
        <v>450163</v>
      </c>
      <c r="H10" s="1644">
        <f t="shared" si="1"/>
        <v>0</v>
      </c>
      <c r="I10" s="1644">
        <f t="shared" si="1"/>
        <v>77811</v>
      </c>
      <c r="J10" s="1644">
        <f t="shared" si="1"/>
        <v>51067</v>
      </c>
      <c r="K10" s="1644">
        <f t="shared" si="1"/>
        <v>116826</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6822350</v>
      </c>
      <c r="D12" s="1666" t="s">
        <v>1161</v>
      </c>
      <c r="E12" s="1625" t="s">
        <v>1161</v>
      </c>
      <c r="F12" s="1625" t="s">
        <v>1161</v>
      </c>
      <c r="G12" s="1656">
        <f>'Expenditures 15-22'!K229</f>
        <v>155934</v>
      </c>
      <c r="H12" s="1667"/>
      <c r="I12" s="1625" t="s">
        <v>1161</v>
      </c>
      <c r="J12" s="1625" t="s">
        <v>1161</v>
      </c>
      <c r="K12" s="1667" t="s">
        <v>1161</v>
      </c>
      <c r="L12" s="325"/>
    </row>
    <row r="13" spans="1:13" ht="15.75" customHeight="1" x14ac:dyDescent="0.2">
      <c r="A13" s="1359" t="s">
        <v>454</v>
      </c>
      <c r="B13" s="1361">
        <v>2000</v>
      </c>
      <c r="C13" s="1657">
        <f>'Expenditures 15-22'!K74</f>
        <v>1660281</v>
      </c>
      <c r="D13" s="1657">
        <f>'Expenditures 15-22'!K129</f>
        <v>1474918</v>
      </c>
      <c r="E13" s="1626" t="s">
        <v>1161</v>
      </c>
      <c r="F13" s="1657">
        <f>'Expenditures 15-22'!K184</f>
        <v>829106</v>
      </c>
      <c r="G13" s="1657">
        <f>'Expenditures 15-22'!K279</f>
        <v>216720</v>
      </c>
      <c r="H13" s="1657">
        <f>'Expenditures 15-22'!K303</f>
        <v>0</v>
      </c>
      <c r="I13" s="1625" t="s">
        <v>1161</v>
      </c>
      <c r="J13" s="1657">
        <f>'Expenditures 15-22'!K330</f>
        <v>63600</v>
      </c>
      <c r="K13" s="1668">
        <f>'Expenditures 15-22'!K352</f>
        <v>3286</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1189776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2014000</v>
      </c>
      <c r="F16" s="1657">
        <f>'Expenditures 15-22'!K208</f>
        <v>46188</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9672407</v>
      </c>
      <c r="D17" s="1644">
        <f t="shared" si="2"/>
        <v>1474918</v>
      </c>
      <c r="E17" s="1644">
        <f t="shared" si="2"/>
        <v>2014000</v>
      </c>
      <c r="F17" s="1644">
        <f t="shared" si="2"/>
        <v>875294</v>
      </c>
      <c r="G17" s="1644">
        <f t="shared" si="2"/>
        <v>372654</v>
      </c>
      <c r="H17" s="1644">
        <f t="shared" si="2"/>
        <v>0</v>
      </c>
      <c r="I17" s="1625"/>
      <c r="J17" s="1644">
        <f>SUM(J12:J16)</f>
        <v>63600</v>
      </c>
      <c r="K17" s="1644">
        <f>SUM(K12:K16)</f>
        <v>3286</v>
      </c>
      <c r="L17" s="325"/>
    </row>
    <row r="18" spans="1:12" ht="15" customHeight="1" thickTop="1" x14ac:dyDescent="0.2">
      <c r="A18" s="1479" t="s">
        <v>1638</v>
      </c>
      <c r="B18" s="1480">
        <v>4180</v>
      </c>
      <c r="C18" s="1656">
        <f t="shared" ref="C18:H18" si="3">C9</f>
        <v>4040246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13712653</v>
      </c>
      <c r="D19" s="1644">
        <f t="shared" si="4"/>
        <v>1474918</v>
      </c>
      <c r="E19" s="1644">
        <f t="shared" si="4"/>
        <v>2014000</v>
      </c>
      <c r="F19" s="1644">
        <f t="shared" si="4"/>
        <v>875294</v>
      </c>
      <c r="G19" s="1644">
        <f t="shared" si="4"/>
        <v>372654</v>
      </c>
      <c r="H19" s="1644">
        <f t="shared" si="4"/>
        <v>0</v>
      </c>
      <c r="I19" s="1625"/>
      <c r="J19" s="1644">
        <f>SUM(J17:J18)</f>
        <v>63600</v>
      </c>
      <c r="K19" s="1644">
        <f>SUM(K17:K18)</f>
        <v>3286</v>
      </c>
      <c r="L19" s="325"/>
    </row>
    <row r="20" spans="1:12" ht="16.5" thickTop="1" thickBot="1" x14ac:dyDescent="0.25">
      <c r="A20" s="2300" t="s">
        <v>1639</v>
      </c>
      <c r="B20" s="2301"/>
      <c r="C20" s="1672">
        <f>C8-C17</f>
        <v>-2387761</v>
      </c>
      <c r="D20" s="1672">
        <f t="shared" ref="D20:K20" si="5">D8-D17</f>
        <v>1757471</v>
      </c>
      <c r="E20" s="1672">
        <f t="shared" si="5"/>
        <v>10951</v>
      </c>
      <c r="F20" s="1672">
        <f t="shared" si="5"/>
        <v>166360</v>
      </c>
      <c r="G20" s="1672">
        <f t="shared" si="5"/>
        <v>77509</v>
      </c>
      <c r="H20" s="1672">
        <f t="shared" si="5"/>
        <v>0</v>
      </c>
      <c r="I20" s="1672">
        <f t="shared" si="5"/>
        <v>77811</v>
      </c>
      <c r="J20" s="1672">
        <f t="shared" si="5"/>
        <v>-12533</v>
      </c>
      <c r="K20" s="1672">
        <f t="shared" si="5"/>
        <v>113540</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1169</v>
      </c>
      <c r="B77" s="2293"/>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6" t="s">
        <v>593</v>
      </c>
      <c r="B78" s="2297"/>
      <c r="C78" s="1679">
        <f t="shared" ref="C78:K78" si="9">C20+C77</f>
        <v>-2387761</v>
      </c>
      <c r="D78" s="1679">
        <f t="shared" si="9"/>
        <v>1757471</v>
      </c>
      <c r="E78" s="1679">
        <f t="shared" si="9"/>
        <v>10951</v>
      </c>
      <c r="F78" s="1679">
        <f t="shared" si="9"/>
        <v>166360</v>
      </c>
      <c r="G78" s="1679">
        <f t="shared" si="9"/>
        <v>77509</v>
      </c>
      <c r="H78" s="1679">
        <f t="shared" si="9"/>
        <v>0</v>
      </c>
      <c r="I78" s="1679">
        <f t="shared" si="9"/>
        <v>77811</v>
      </c>
      <c r="J78" s="1679">
        <f t="shared" si="9"/>
        <v>-12533</v>
      </c>
      <c r="K78" s="1679">
        <f t="shared" si="9"/>
        <v>113540</v>
      </c>
      <c r="L78" s="457"/>
    </row>
    <row r="79" spans="1:12" ht="13.5" thickTop="1" x14ac:dyDescent="0.2">
      <c r="A79" s="1902" t="str">
        <f>"Fund Balances - July 1, "&amp;'AFR20'!E2-1</f>
        <v>Fund Balances - July 1, 2019</v>
      </c>
      <c r="B79" s="458"/>
      <c r="C79" s="1633">
        <v>8613722</v>
      </c>
      <c r="D79" s="1680">
        <v>1662561</v>
      </c>
      <c r="E79" s="1680">
        <v>910498</v>
      </c>
      <c r="F79" s="1680">
        <v>1502415</v>
      </c>
      <c r="G79" s="1680">
        <v>43295</v>
      </c>
      <c r="H79" s="1680">
        <v>0</v>
      </c>
      <c r="I79" s="1680">
        <v>2392617</v>
      </c>
      <c r="J79" s="1680">
        <v>174669</v>
      </c>
      <c r="K79" s="1680">
        <v>271175</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6225961</v>
      </c>
      <c r="D81" s="1644">
        <f>SUM(D78:D80)</f>
        <v>3420032</v>
      </c>
      <c r="E81" s="1644">
        <f t="shared" ref="E81:K81" si="10">SUM(E78:E80)</f>
        <v>921449</v>
      </c>
      <c r="F81" s="1644">
        <f t="shared" si="10"/>
        <v>1668775</v>
      </c>
      <c r="G81" s="1644">
        <f t="shared" si="10"/>
        <v>120804</v>
      </c>
      <c r="H81" s="1644">
        <f t="shared" si="10"/>
        <v>0</v>
      </c>
      <c r="I81" s="1644">
        <f t="shared" si="10"/>
        <v>2470428</v>
      </c>
      <c r="J81" s="1644">
        <f t="shared" si="10"/>
        <v>162136</v>
      </c>
      <c r="K81" s="1644">
        <f t="shared" si="10"/>
        <v>384715</v>
      </c>
      <c r="L81" s="325"/>
    </row>
    <row r="82" spans="1:12" ht="0.75" customHeight="1" thickTop="1" thickBot="1" x14ac:dyDescent="0.25">
      <c r="A82" s="459" t="s">
        <v>340</v>
      </c>
      <c r="B82" s="460"/>
      <c r="C82" s="461">
        <f>(C81-C79)</f>
        <v>-2387761</v>
      </c>
      <c r="D82" s="461">
        <f t="shared" ref="D82:K82" si="11">(D81-D79)</f>
        <v>1757471</v>
      </c>
      <c r="E82" s="461">
        <f t="shared" si="11"/>
        <v>10951</v>
      </c>
      <c r="F82" s="461">
        <f t="shared" si="11"/>
        <v>166360</v>
      </c>
      <c r="G82" s="461">
        <f t="shared" si="11"/>
        <v>77509</v>
      </c>
      <c r="H82" s="461">
        <f t="shared" si="11"/>
        <v>0</v>
      </c>
      <c r="I82" s="461">
        <f t="shared" si="11"/>
        <v>77811</v>
      </c>
      <c r="J82" s="461">
        <f t="shared" si="11"/>
        <v>-12533</v>
      </c>
      <c r="K82" s="461">
        <f t="shared" si="11"/>
        <v>113540</v>
      </c>
    </row>
    <row r="83" spans="1:12" ht="14.25" hidden="1" thickTop="1" thickBot="1" x14ac:dyDescent="0.25">
      <c r="A83" s="462" t="s">
        <v>341</v>
      </c>
      <c r="B83" s="428"/>
      <c r="C83" s="463">
        <f>C82/C81</f>
        <v>-0.38351685787945028</v>
      </c>
      <c r="D83" s="463">
        <f t="shared" ref="D83:K83" si="12">D82/D81</f>
        <v>0.51387560116396569</v>
      </c>
      <c r="E83" s="463">
        <f t="shared" si="12"/>
        <v>1.1884542714789424E-2</v>
      </c>
      <c r="F83" s="463">
        <f t="shared" si="12"/>
        <v>9.9689892286257881E-2</v>
      </c>
      <c r="G83" s="463">
        <f t="shared" si="12"/>
        <v>0.64160954935267045</v>
      </c>
      <c r="H83" s="463" t="e">
        <f t="shared" si="12"/>
        <v>#DIV/0!</v>
      </c>
      <c r="I83" s="463">
        <f t="shared" si="12"/>
        <v>3.1496971375000606E-2</v>
      </c>
      <c r="J83" s="463">
        <f t="shared" si="12"/>
        <v>-7.7299304287758427E-2</v>
      </c>
      <c r="K83" s="463">
        <f t="shared" si="12"/>
        <v>0.29512756196145196</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selection activeCell="D5" sqref="D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5501870</v>
      </c>
      <c r="D5" s="1636">
        <v>1116991</v>
      </c>
      <c r="E5" s="1623">
        <v>2024951</v>
      </c>
      <c r="F5" s="1681">
        <v>608745</v>
      </c>
      <c r="G5" s="1623">
        <v>182891</v>
      </c>
      <c r="H5" s="1623">
        <v>0</v>
      </c>
      <c r="I5" s="1623">
        <v>77811</v>
      </c>
      <c r="J5" s="1624">
        <v>51067</v>
      </c>
      <c r="K5" s="1623">
        <v>116826</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506542</v>
      </c>
      <c r="D7" s="1623">
        <v>0</v>
      </c>
      <c r="E7" s="1625"/>
      <c r="F7" s="1624">
        <v>0</v>
      </c>
      <c r="G7" s="1624">
        <v>0</v>
      </c>
      <c r="H7" s="1624">
        <v>0</v>
      </c>
      <c r="I7" s="1625"/>
      <c r="J7" s="1625"/>
      <c r="K7" s="1625"/>
    </row>
    <row r="8" spans="1:12" x14ac:dyDescent="0.2">
      <c r="A8" s="427" t="s">
        <v>410</v>
      </c>
      <c r="B8" s="429">
        <v>1150</v>
      </c>
      <c r="C8" s="1630"/>
      <c r="D8" s="1630"/>
      <c r="E8" s="1632"/>
      <c r="F8" s="1632"/>
      <c r="G8" s="1636">
        <v>182891</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6008412</v>
      </c>
      <c r="D12" s="1683">
        <f t="shared" si="0"/>
        <v>1116991</v>
      </c>
      <c r="E12" s="1683">
        <f t="shared" si="0"/>
        <v>2024951</v>
      </c>
      <c r="F12" s="1683">
        <f t="shared" si="0"/>
        <v>608745</v>
      </c>
      <c r="G12" s="1683">
        <f t="shared" si="0"/>
        <v>365782</v>
      </c>
      <c r="H12" s="1683">
        <f t="shared" si="0"/>
        <v>0</v>
      </c>
      <c r="I12" s="1683">
        <f t="shared" si="0"/>
        <v>77811</v>
      </c>
      <c r="J12" s="1683">
        <f t="shared" si="0"/>
        <v>51067</v>
      </c>
      <c r="K12" s="1644">
        <f t="shared" si="0"/>
        <v>116826</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0</v>
      </c>
      <c r="D16" s="1623">
        <v>156709</v>
      </c>
      <c r="E16" s="1623">
        <v>0</v>
      </c>
      <c r="F16" s="1623">
        <v>0</v>
      </c>
      <c r="G16" s="1623">
        <v>84381</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0</v>
      </c>
      <c r="D18" s="1685">
        <f t="shared" ref="D18:K18" si="1">SUM(D14:D17)</f>
        <v>156709</v>
      </c>
      <c r="E18" s="1685">
        <f t="shared" si="1"/>
        <v>0</v>
      </c>
      <c r="F18" s="1685">
        <f t="shared" si="1"/>
        <v>0</v>
      </c>
      <c r="G18" s="1685">
        <f t="shared" si="1"/>
        <v>84381</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214159</v>
      </c>
      <c r="D65" s="1623">
        <v>0</v>
      </c>
      <c r="E65" s="1623">
        <v>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214159</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110794</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23007</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60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133861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11944</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9515</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21459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125693</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125693</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4200</v>
      </c>
      <c r="E95" s="1667"/>
      <c r="F95" s="1667"/>
      <c r="G95" s="1667"/>
      <c r="H95" s="1667"/>
      <c r="I95" s="1667"/>
      <c r="J95" s="1667"/>
      <c r="K95" s="1667"/>
    </row>
    <row r="96" spans="1:11" ht="12.75" customHeight="1" x14ac:dyDescent="0.2">
      <c r="A96" s="427" t="s">
        <v>388</v>
      </c>
      <c r="B96" s="429">
        <v>1920</v>
      </c>
      <c r="C96" s="1682">
        <v>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388</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12500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58338</v>
      </c>
      <c r="D107" s="1623">
        <v>20027</v>
      </c>
      <c r="E107" s="1623">
        <v>0</v>
      </c>
      <c r="F107" s="1623">
        <v>1290</v>
      </c>
      <c r="G107" s="1623">
        <v>0</v>
      </c>
      <c r="H107" s="1623">
        <v>0</v>
      </c>
      <c r="I107" s="1623">
        <v>0</v>
      </c>
      <c r="J107" s="1624">
        <v>0</v>
      </c>
      <c r="K107" s="1623">
        <v>0</v>
      </c>
    </row>
    <row r="108" spans="1:12" ht="12.75" customHeight="1" thickBot="1" x14ac:dyDescent="0.25">
      <c r="A108" s="1455" t="s">
        <v>484</v>
      </c>
      <c r="B108" s="1457"/>
      <c r="C108" s="1683">
        <f>SUM(C95:C107)</f>
        <v>71226</v>
      </c>
      <c r="D108" s="1683">
        <f t="shared" ref="D108:K108" si="3">SUM(D95:D107)</f>
        <v>24227</v>
      </c>
      <c r="E108" s="1683">
        <f t="shared" si="3"/>
        <v>0</v>
      </c>
      <c r="F108" s="1683">
        <f t="shared" si="3"/>
        <v>1290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6574810</v>
      </c>
      <c r="D109" s="1691">
        <f t="shared" si="4"/>
        <v>1297927</v>
      </c>
      <c r="E109" s="1691">
        <f t="shared" si="4"/>
        <v>2024951</v>
      </c>
      <c r="F109" s="1691">
        <f t="shared" si="4"/>
        <v>610035</v>
      </c>
      <c r="G109" s="1691">
        <f t="shared" si="4"/>
        <v>450163</v>
      </c>
      <c r="H109" s="1691">
        <f t="shared" si="4"/>
        <v>0</v>
      </c>
      <c r="I109" s="1691">
        <f t="shared" si="4"/>
        <v>77811</v>
      </c>
      <c r="J109" s="1691">
        <f t="shared" si="4"/>
        <v>51067</v>
      </c>
      <c r="K109" s="1679">
        <f t="shared" si="4"/>
        <v>116826</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0</v>
      </c>
      <c r="D117" s="1636">
        <v>1884462</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0</v>
      </c>
      <c r="D122" s="1683">
        <f t="shared" si="5"/>
        <v>1884462</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184480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74064</v>
      </c>
      <c r="D128" s="1690"/>
      <c r="E128" s="1625"/>
      <c r="F128" s="1623">
        <v>0</v>
      </c>
      <c r="G128" s="1625"/>
      <c r="H128" s="1625"/>
      <c r="I128" s="1625"/>
      <c r="J128" s="1625"/>
      <c r="K128" s="1625"/>
    </row>
    <row r="129" spans="1:11" ht="12.75" customHeight="1" x14ac:dyDescent="0.2">
      <c r="A129" s="427" t="s">
        <v>1433</v>
      </c>
      <c r="B129" s="478">
        <v>3130</v>
      </c>
      <c r="C129" s="1623">
        <v>3403</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261947</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1077</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7360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219312</v>
      </c>
      <c r="G152" s="1624">
        <v>0</v>
      </c>
      <c r="H152" s="1625"/>
      <c r="I152" s="1625"/>
      <c r="J152" s="1625"/>
      <c r="K152" s="1625"/>
    </row>
    <row r="153" spans="1:11" ht="12.75" customHeight="1" x14ac:dyDescent="0.2">
      <c r="A153" s="427" t="s">
        <v>1050</v>
      </c>
      <c r="B153" s="478">
        <v>3510</v>
      </c>
      <c r="C153" s="1682">
        <v>0</v>
      </c>
      <c r="D153" s="1623">
        <v>0</v>
      </c>
      <c r="E153" s="1690"/>
      <c r="F153" s="1623">
        <v>212307</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431619</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270384</v>
      </c>
      <c r="D169" s="1708">
        <f t="shared" si="6"/>
        <v>50000</v>
      </c>
      <c r="E169" s="1708">
        <f t="shared" si="6"/>
        <v>0</v>
      </c>
      <c r="F169" s="1708">
        <f t="shared" si="6"/>
        <v>431619</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270384</v>
      </c>
      <c r="D170" s="1691">
        <f t="shared" si="7"/>
        <v>1934462</v>
      </c>
      <c r="E170" s="1691">
        <f t="shared" si="7"/>
        <v>0</v>
      </c>
      <c r="F170" s="1691">
        <f t="shared" si="7"/>
        <v>431619</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95764</v>
      </c>
      <c r="D191" s="1625"/>
      <c r="E191" s="1690"/>
      <c r="F191" s="1625"/>
      <c r="G191" s="1714">
        <v>0</v>
      </c>
      <c r="H191" s="1625"/>
      <c r="I191" s="1625"/>
      <c r="J191" s="1625"/>
      <c r="K191" s="1625"/>
    </row>
    <row r="192" spans="1:11" ht="12.75" customHeight="1" x14ac:dyDescent="0.2">
      <c r="A192" s="427" t="s">
        <v>1040</v>
      </c>
      <c r="B192" s="429">
        <v>4215</v>
      </c>
      <c r="C192" s="1682">
        <v>41</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95805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151790</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151790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7320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7320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1741</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145041</v>
      </c>
      <c r="D213" s="1623">
        <v>0</v>
      </c>
      <c r="E213" s="1625"/>
      <c r="F213" s="1623">
        <v>0</v>
      </c>
      <c r="G213" s="1623">
        <v>0</v>
      </c>
      <c r="H213" s="1625"/>
      <c r="I213" s="1625"/>
      <c r="J213" s="1625"/>
      <c r="K213" s="1625"/>
    </row>
    <row r="214" spans="1:11" ht="12.75" customHeight="1" x14ac:dyDescent="0.2">
      <c r="A214" s="427" t="s">
        <v>1047</v>
      </c>
      <c r="B214" s="429">
        <v>4625</v>
      </c>
      <c r="C214" s="1682">
        <v>4670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151452</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32191</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611</v>
      </c>
      <c r="D263" s="1701">
        <v>0</v>
      </c>
      <c r="E263" s="1625"/>
      <c r="F263" s="1701">
        <v>0</v>
      </c>
      <c r="G263" s="1701">
        <v>0</v>
      </c>
      <c r="H263" s="1625"/>
      <c r="I263" s="1625"/>
      <c r="J263" s="1625"/>
      <c r="K263" s="1625"/>
    </row>
    <row r="264" spans="1:11" ht="12.75" customHeight="1" thickTop="1" thickBot="1" x14ac:dyDescent="0.25">
      <c r="A264" s="427" t="s">
        <v>374</v>
      </c>
      <c r="B264" s="429">
        <v>4992</v>
      </c>
      <c r="C264" s="1700">
        <v>283</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439452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439452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7284646</v>
      </c>
      <c r="D268" s="1691">
        <f t="shared" si="12"/>
        <v>3232389</v>
      </c>
      <c r="E268" s="1691">
        <f t="shared" si="12"/>
        <v>2024951</v>
      </c>
      <c r="F268" s="1691">
        <f t="shared" si="12"/>
        <v>1041654</v>
      </c>
      <c r="G268" s="1691">
        <f t="shared" si="12"/>
        <v>450163</v>
      </c>
      <c r="H268" s="1691">
        <f t="shared" si="12"/>
        <v>0</v>
      </c>
      <c r="I268" s="1691">
        <f t="shared" si="12"/>
        <v>77811</v>
      </c>
      <c r="J268" s="1691">
        <f t="shared" si="12"/>
        <v>51067</v>
      </c>
      <c r="K268" s="1679">
        <f t="shared" si="12"/>
        <v>116826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36" colorId="8" zoomScale="90" zoomScaleNormal="90" workbookViewId="0">
      <selection activeCell="C34" sqref="C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3963237</v>
      </c>
      <c r="D5" s="1623">
        <v>545983</v>
      </c>
      <c r="E5" s="1623">
        <v>106700</v>
      </c>
      <c r="F5" s="1623">
        <v>319107</v>
      </c>
      <c r="G5" s="1623">
        <v>69083</v>
      </c>
      <c r="H5" s="1623">
        <v>10455</v>
      </c>
      <c r="I5" s="1624">
        <v>171958</v>
      </c>
      <c r="J5" s="1624">
        <v>0</v>
      </c>
      <c r="K5" s="1722">
        <f>SUM(C5:J5)</f>
        <v>5186523</v>
      </c>
      <c r="L5" s="1623">
        <v>4887141</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932792</v>
      </c>
      <c r="D8" s="1623">
        <v>130401</v>
      </c>
      <c r="E8" s="1623">
        <v>5037</v>
      </c>
      <c r="F8" s="1623">
        <v>10933</v>
      </c>
      <c r="G8" s="1623">
        <v>849</v>
      </c>
      <c r="H8" s="1623">
        <v>344</v>
      </c>
      <c r="I8" s="1624">
        <v>1274</v>
      </c>
      <c r="J8" s="1624">
        <v>0</v>
      </c>
      <c r="K8" s="1722">
        <f t="shared" si="0"/>
        <v>1081630</v>
      </c>
      <c r="L8" s="1623">
        <v>1065462</v>
      </c>
    </row>
    <row r="9" spans="1:14" x14ac:dyDescent="0.2">
      <c r="A9" s="1319" t="s">
        <v>716</v>
      </c>
      <c r="B9" s="503" t="s">
        <v>962</v>
      </c>
      <c r="C9" s="1624">
        <v>45960</v>
      </c>
      <c r="D9" s="1624">
        <v>8464</v>
      </c>
      <c r="E9" s="1624">
        <v>0</v>
      </c>
      <c r="F9" s="1624">
        <v>302</v>
      </c>
      <c r="G9" s="1624">
        <v>0</v>
      </c>
      <c r="H9" s="1624">
        <v>0</v>
      </c>
      <c r="I9" s="1624">
        <v>0</v>
      </c>
      <c r="J9" s="1624">
        <v>0</v>
      </c>
      <c r="K9" s="1722">
        <f t="shared" si="0"/>
        <v>54726</v>
      </c>
      <c r="L9" s="1623">
        <v>70047</v>
      </c>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v>145597</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121510</v>
      </c>
      <c r="D13" s="1623">
        <v>16756</v>
      </c>
      <c r="E13" s="1623">
        <v>90</v>
      </c>
      <c r="F13" s="1623">
        <v>5750</v>
      </c>
      <c r="G13" s="1623">
        <v>0</v>
      </c>
      <c r="H13" s="1623">
        <v>0</v>
      </c>
      <c r="I13" s="1624">
        <v>0</v>
      </c>
      <c r="J13" s="1624">
        <v>0</v>
      </c>
      <c r="K13" s="1722">
        <f t="shared" si="0"/>
        <v>144106</v>
      </c>
      <c r="L13" s="1623">
        <v>150072</v>
      </c>
    </row>
    <row r="14" spans="1:14" x14ac:dyDescent="0.2">
      <c r="A14" s="1319" t="s">
        <v>957</v>
      </c>
      <c r="B14" s="503">
        <v>1500</v>
      </c>
      <c r="C14" s="1623">
        <v>220847</v>
      </c>
      <c r="D14" s="1623">
        <v>2535</v>
      </c>
      <c r="E14" s="1623">
        <v>47796</v>
      </c>
      <c r="F14" s="1623">
        <v>1048</v>
      </c>
      <c r="G14" s="1623">
        <v>34226</v>
      </c>
      <c r="H14" s="1623">
        <v>15771</v>
      </c>
      <c r="I14" s="1624">
        <v>2004</v>
      </c>
      <c r="J14" s="1624">
        <v>0</v>
      </c>
      <c r="K14" s="1722">
        <f t="shared" si="0"/>
        <v>324227</v>
      </c>
      <c r="L14" s="1623">
        <v>310023</v>
      </c>
    </row>
    <row r="15" spans="1:14" x14ac:dyDescent="0.2">
      <c r="A15" s="1319" t="s">
        <v>958</v>
      </c>
      <c r="B15" s="503">
        <v>1600</v>
      </c>
      <c r="C15" s="1623">
        <v>9120</v>
      </c>
      <c r="D15" s="1623">
        <v>41</v>
      </c>
      <c r="E15" s="1623">
        <v>0</v>
      </c>
      <c r="F15" s="1623">
        <v>0</v>
      </c>
      <c r="G15" s="1623">
        <v>0</v>
      </c>
      <c r="H15" s="1623">
        <v>0</v>
      </c>
      <c r="I15" s="1624">
        <v>0</v>
      </c>
      <c r="J15" s="1624">
        <v>0</v>
      </c>
      <c r="K15" s="1722">
        <f t="shared" si="0"/>
        <v>9161</v>
      </c>
      <c r="L15" s="1623">
        <v>4628</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21724</v>
      </c>
      <c r="D17" s="1624">
        <v>253</v>
      </c>
      <c r="E17" s="1624">
        <v>0</v>
      </c>
      <c r="F17" s="1624">
        <v>0</v>
      </c>
      <c r="G17" s="1624">
        <v>0</v>
      </c>
      <c r="H17" s="1624">
        <v>0</v>
      </c>
      <c r="I17" s="1624">
        <v>0</v>
      </c>
      <c r="J17" s="1624">
        <v>0</v>
      </c>
      <c r="K17" s="1722">
        <f t="shared" si="0"/>
        <v>21977</v>
      </c>
      <c r="L17" s="1623">
        <v>24583</v>
      </c>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4000</v>
      </c>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5315190</v>
      </c>
      <c r="D33" s="1724">
        <f t="shared" ref="D33:L33" si="1">SUM(D5:D32)</f>
        <v>704433</v>
      </c>
      <c r="E33" s="1724">
        <f t="shared" si="1"/>
        <v>159623</v>
      </c>
      <c r="F33" s="1724">
        <f t="shared" si="1"/>
        <v>337140</v>
      </c>
      <c r="G33" s="1724">
        <f t="shared" si="1"/>
        <v>104158</v>
      </c>
      <c r="H33" s="1724">
        <f t="shared" si="1"/>
        <v>26570</v>
      </c>
      <c r="I33" s="1724">
        <f t="shared" si="1"/>
        <v>175236</v>
      </c>
      <c r="J33" s="1724">
        <f t="shared" si="1"/>
        <v>0</v>
      </c>
      <c r="K33" s="1724">
        <f t="shared" si="1"/>
        <v>6822350</v>
      </c>
      <c r="L33" s="1724">
        <f t="shared" si="1"/>
        <v>6661553</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row>
    <row r="37" spans="1:14" x14ac:dyDescent="0.2">
      <c r="A37" s="1319" t="s">
        <v>1083</v>
      </c>
      <c r="B37" s="503">
        <v>2120</v>
      </c>
      <c r="C37" s="1623">
        <v>65395</v>
      </c>
      <c r="D37" s="1623">
        <v>9989</v>
      </c>
      <c r="E37" s="1623">
        <v>3853</v>
      </c>
      <c r="F37" s="1623">
        <v>0</v>
      </c>
      <c r="G37" s="1623">
        <v>0</v>
      </c>
      <c r="H37" s="1623">
        <v>81</v>
      </c>
      <c r="I37" s="1624">
        <v>420</v>
      </c>
      <c r="J37" s="1624">
        <v>0</v>
      </c>
      <c r="K37" s="1722">
        <f t="shared" si="2"/>
        <v>79738</v>
      </c>
      <c r="L37" s="1623">
        <v>80833</v>
      </c>
    </row>
    <row r="38" spans="1:14" x14ac:dyDescent="0.2">
      <c r="A38" s="1319" t="s">
        <v>196</v>
      </c>
      <c r="B38" s="503">
        <v>2130</v>
      </c>
      <c r="C38" s="1623">
        <v>57292</v>
      </c>
      <c r="D38" s="1623">
        <v>7245</v>
      </c>
      <c r="E38" s="1623">
        <v>4614</v>
      </c>
      <c r="F38" s="1623">
        <v>3138</v>
      </c>
      <c r="G38" s="1623">
        <v>5795</v>
      </c>
      <c r="H38" s="1623">
        <v>30</v>
      </c>
      <c r="I38" s="1624">
        <v>0</v>
      </c>
      <c r="J38" s="1624">
        <v>0</v>
      </c>
      <c r="K38" s="1722">
        <f t="shared" si="2"/>
        <v>78114</v>
      </c>
      <c r="L38" s="1623">
        <v>79898</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v>4110</v>
      </c>
    </row>
    <row r="42" spans="1:14" ht="12.75" customHeight="1" thickBot="1" x14ac:dyDescent="0.25">
      <c r="A42" s="1429" t="s">
        <v>556</v>
      </c>
      <c r="B42" s="1430" t="s">
        <v>711</v>
      </c>
      <c r="C42" s="1724">
        <f>SUM(C36:C41)</f>
        <v>122687</v>
      </c>
      <c r="D42" s="1724">
        <f t="shared" ref="D42:L42" si="3">SUM(D36:D41)</f>
        <v>17234</v>
      </c>
      <c r="E42" s="1724">
        <f t="shared" si="3"/>
        <v>8467</v>
      </c>
      <c r="F42" s="1724">
        <f t="shared" si="3"/>
        <v>3138</v>
      </c>
      <c r="G42" s="1724">
        <f t="shared" si="3"/>
        <v>5795</v>
      </c>
      <c r="H42" s="1724">
        <f t="shared" si="3"/>
        <v>111</v>
      </c>
      <c r="I42" s="1724">
        <f t="shared" si="3"/>
        <v>420</v>
      </c>
      <c r="J42" s="1724">
        <f t="shared" si="3"/>
        <v>0</v>
      </c>
      <c r="K42" s="1724">
        <f t="shared" si="3"/>
        <v>157852</v>
      </c>
      <c r="L42" s="1724">
        <f t="shared" si="3"/>
        <v>164841</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0</v>
      </c>
      <c r="E44" s="1636">
        <v>0</v>
      </c>
      <c r="F44" s="1636">
        <v>0</v>
      </c>
      <c r="G44" s="1636">
        <v>0</v>
      </c>
      <c r="H44" s="1636">
        <v>0</v>
      </c>
      <c r="I44" s="1624">
        <v>0</v>
      </c>
      <c r="J44" s="1624">
        <v>0</v>
      </c>
      <c r="K44" s="1728">
        <f>SUM(C44:J44)</f>
        <v>0</v>
      </c>
      <c r="L44" s="1636"/>
    </row>
    <row r="45" spans="1:14" x14ac:dyDescent="0.2">
      <c r="A45" s="1319" t="s">
        <v>810</v>
      </c>
      <c r="B45" s="503">
        <v>2220</v>
      </c>
      <c r="C45" s="1623">
        <v>50103</v>
      </c>
      <c r="D45" s="1623">
        <v>6796</v>
      </c>
      <c r="E45" s="1623">
        <v>860</v>
      </c>
      <c r="F45" s="1623">
        <v>13365</v>
      </c>
      <c r="G45" s="1623">
        <v>0</v>
      </c>
      <c r="H45" s="1623">
        <v>0</v>
      </c>
      <c r="I45" s="1624">
        <v>0</v>
      </c>
      <c r="J45" s="1624">
        <v>0</v>
      </c>
      <c r="K45" s="1728">
        <f>SUM(C45:J45)</f>
        <v>71124</v>
      </c>
      <c r="L45" s="1623">
        <v>63255</v>
      </c>
    </row>
    <row r="46" spans="1:14" x14ac:dyDescent="0.2">
      <c r="A46" s="1319" t="s">
        <v>811</v>
      </c>
      <c r="B46" s="503">
        <v>2230</v>
      </c>
      <c r="C46" s="1623">
        <v>0</v>
      </c>
      <c r="D46" s="1623">
        <v>0</v>
      </c>
      <c r="E46" s="1623">
        <v>0</v>
      </c>
      <c r="F46" s="1623">
        <v>3503</v>
      </c>
      <c r="G46" s="1623">
        <v>0</v>
      </c>
      <c r="H46" s="1623">
        <v>0</v>
      </c>
      <c r="I46" s="1624">
        <v>0</v>
      </c>
      <c r="J46" s="1624">
        <v>0</v>
      </c>
      <c r="K46" s="1728">
        <f>SUM(C46:J46)</f>
        <v>3503</v>
      </c>
      <c r="L46" s="1623">
        <v>13500</v>
      </c>
    </row>
    <row r="47" spans="1:14" ht="12.75" customHeight="1" thickBot="1" x14ac:dyDescent="0.25">
      <c r="A47" s="1429" t="s">
        <v>557</v>
      </c>
      <c r="B47" s="1430" t="s">
        <v>32</v>
      </c>
      <c r="C47" s="1724">
        <f>SUM(C44:C46)</f>
        <v>50103</v>
      </c>
      <c r="D47" s="1724">
        <f t="shared" ref="D47:K47" si="4">SUM(D44:D46)</f>
        <v>6796</v>
      </c>
      <c r="E47" s="1724">
        <f t="shared" si="4"/>
        <v>860</v>
      </c>
      <c r="F47" s="1724">
        <f t="shared" si="4"/>
        <v>16868</v>
      </c>
      <c r="G47" s="1724">
        <f t="shared" si="4"/>
        <v>0</v>
      </c>
      <c r="H47" s="1724">
        <f t="shared" si="4"/>
        <v>0</v>
      </c>
      <c r="I47" s="1724">
        <f t="shared" si="4"/>
        <v>0</v>
      </c>
      <c r="J47" s="1724">
        <f t="shared" si="4"/>
        <v>0</v>
      </c>
      <c r="K47" s="1724">
        <f t="shared" si="4"/>
        <v>74627</v>
      </c>
      <c r="L47" s="1724">
        <f>SUM(L44:L46)</f>
        <v>76755</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10098</v>
      </c>
      <c r="F49" s="1636">
        <v>108</v>
      </c>
      <c r="G49" s="1636">
        <v>0</v>
      </c>
      <c r="H49" s="1636">
        <v>5066</v>
      </c>
      <c r="I49" s="1624">
        <v>0</v>
      </c>
      <c r="J49" s="1624">
        <v>0</v>
      </c>
      <c r="K49" s="1728">
        <f>SUM(C49:J49)</f>
        <v>15272</v>
      </c>
      <c r="L49" s="1636">
        <v>27300</v>
      </c>
    </row>
    <row r="50" spans="1:14" x14ac:dyDescent="0.2">
      <c r="A50" s="1319" t="s">
        <v>813</v>
      </c>
      <c r="B50" s="503">
        <v>2320</v>
      </c>
      <c r="C50" s="1623">
        <v>151859</v>
      </c>
      <c r="D50" s="1623">
        <v>47815</v>
      </c>
      <c r="E50" s="1623">
        <v>4255</v>
      </c>
      <c r="F50" s="1623">
        <v>0</v>
      </c>
      <c r="G50" s="1623">
        <v>0</v>
      </c>
      <c r="H50" s="1623">
        <v>1591</v>
      </c>
      <c r="I50" s="1624">
        <v>0</v>
      </c>
      <c r="J50" s="1624">
        <v>0</v>
      </c>
      <c r="K50" s="1728">
        <f>SUM(C50:J50)</f>
        <v>205520</v>
      </c>
      <c r="L50" s="1623">
        <v>183264</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v>0</v>
      </c>
      <c r="F52" s="1629" t="s">
        <v>1161</v>
      </c>
      <c r="G52" s="1629" t="s">
        <v>1161</v>
      </c>
      <c r="H52" s="1629" t="s">
        <v>1161</v>
      </c>
      <c r="I52" s="1629" t="s">
        <v>1161</v>
      </c>
      <c r="J52" s="1629" t="s">
        <v>1161</v>
      </c>
      <c r="K52" s="1728">
        <f>SUM(C52:J52)</f>
        <v>0</v>
      </c>
      <c r="L52" s="1629">
        <v>10000</v>
      </c>
    </row>
    <row r="53" spans="1:14" ht="12.75" customHeight="1" thickBot="1" x14ac:dyDescent="0.25">
      <c r="A53" s="1429" t="s">
        <v>712</v>
      </c>
      <c r="B53" s="1430" t="s">
        <v>33</v>
      </c>
      <c r="C53" s="1724">
        <f>SUM(C49:C52)</f>
        <v>151859</v>
      </c>
      <c r="D53" s="1724">
        <f t="shared" ref="D53:L53" si="5">SUM(D49:D52)</f>
        <v>47815</v>
      </c>
      <c r="E53" s="1724">
        <f t="shared" si="5"/>
        <v>14353</v>
      </c>
      <c r="F53" s="1724">
        <f t="shared" si="5"/>
        <v>108</v>
      </c>
      <c r="G53" s="1724">
        <f t="shared" si="5"/>
        <v>0</v>
      </c>
      <c r="H53" s="1724">
        <f t="shared" si="5"/>
        <v>6657</v>
      </c>
      <c r="I53" s="1724">
        <f t="shared" si="5"/>
        <v>0</v>
      </c>
      <c r="J53" s="1724">
        <f t="shared" si="5"/>
        <v>0</v>
      </c>
      <c r="K53" s="1724">
        <f t="shared" si="5"/>
        <v>220792</v>
      </c>
      <c r="L53" s="1724">
        <f t="shared" si="5"/>
        <v>220564</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427406</v>
      </c>
      <c r="D55" s="1636">
        <v>84332</v>
      </c>
      <c r="E55" s="1636">
        <v>6483</v>
      </c>
      <c r="F55" s="1636">
        <v>10420</v>
      </c>
      <c r="G55" s="1636">
        <v>0</v>
      </c>
      <c r="H55" s="1636">
        <v>7947</v>
      </c>
      <c r="I55" s="1624">
        <v>540</v>
      </c>
      <c r="J55" s="1624">
        <v>0</v>
      </c>
      <c r="K55" s="1728">
        <f>SUM(C55:J55)</f>
        <v>537128</v>
      </c>
      <c r="L55" s="1636">
        <v>529580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427406</v>
      </c>
      <c r="D57" s="1729">
        <f t="shared" ref="D57:K57" si="6">SUM(D55:D56)</f>
        <v>84332</v>
      </c>
      <c r="E57" s="1729">
        <f t="shared" si="6"/>
        <v>6483</v>
      </c>
      <c r="F57" s="1729">
        <f t="shared" si="6"/>
        <v>10420</v>
      </c>
      <c r="G57" s="1729">
        <f t="shared" si="6"/>
        <v>0</v>
      </c>
      <c r="H57" s="1729">
        <f t="shared" si="6"/>
        <v>7947</v>
      </c>
      <c r="I57" s="1729">
        <f t="shared" si="6"/>
        <v>540</v>
      </c>
      <c r="J57" s="1729">
        <f t="shared" si="6"/>
        <v>0</v>
      </c>
      <c r="K57" s="1729">
        <f t="shared" si="6"/>
        <v>537128</v>
      </c>
      <c r="L57" s="1724">
        <f>SUM(L55:L56)</f>
        <v>529580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131542</v>
      </c>
      <c r="D60" s="1623">
        <v>67495</v>
      </c>
      <c r="E60" s="1623">
        <v>179134</v>
      </c>
      <c r="F60" s="1623">
        <v>15448</v>
      </c>
      <c r="G60" s="1623">
        <v>0</v>
      </c>
      <c r="H60" s="1623">
        <v>25385</v>
      </c>
      <c r="I60" s="1624">
        <v>522</v>
      </c>
      <c r="J60" s="1624">
        <v>0</v>
      </c>
      <c r="K60" s="1728">
        <f t="shared" si="7"/>
        <v>419526</v>
      </c>
      <c r="L60" s="1623">
        <v>423009</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91703</v>
      </c>
      <c r="D63" s="1623">
        <v>110</v>
      </c>
      <c r="E63" s="1623">
        <v>60082</v>
      </c>
      <c r="F63" s="1623">
        <v>93850</v>
      </c>
      <c r="G63" s="1623">
        <v>3149</v>
      </c>
      <c r="H63" s="1623">
        <v>475</v>
      </c>
      <c r="I63" s="1624">
        <v>987</v>
      </c>
      <c r="J63" s="1624">
        <v>0</v>
      </c>
      <c r="K63" s="1728">
        <f t="shared" si="7"/>
        <v>250356</v>
      </c>
      <c r="L63" s="1623">
        <v>187102</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223245</v>
      </c>
      <c r="D65" s="1724">
        <f t="shared" ref="D65:L65" si="8">SUM(D59:D64)</f>
        <v>67605</v>
      </c>
      <c r="E65" s="1724">
        <f t="shared" si="8"/>
        <v>239216</v>
      </c>
      <c r="F65" s="1724">
        <f t="shared" si="8"/>
        <v>109298</v>
      </c>
      <c r="G65" s="1724">
        <f t="shared" si="8"/>
        <v>3149</v>
      </c>
      <c r="H65" s="1724">
        <f t="shared" si="8"/>
        <v>25860</v>
      </c>
      <c r="I65" s="1724">
        <f t="shared" si="8"/>
        <v>1509</v>
      </c>
      <c r="J65" s="1724">
        <f t="shared" si="8"/>
        <v>0</v>
      </c>
      <c r="K65" s="1724">
        <f t="shared" si="8"/>
        <v>669882</v>
      </c>
      <c r="L65" s="1724">
        <f t="shared" si="8"/>
        <v>610111</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975300</v>
      </c>
      <c r="D74" s="1731">
        <f t="shared" ref="D74:K74" si="10">SUM(D42,D47,D53,D57,D65,D72,D73)</f>
        <v>223782</v>
      </c>
      <c r="E74" s="1731">
        <f t="shared" si="10"/>
        <v>269379</v>
      </c>
      <c r="F74" s="1731">
        <f t="shared" si="10"/>
        <v>139832</v>
      </c>
      <c r="G74" s="1731">
        <f t="shared" si="10"/>
        <v>8944</v>
      </c>
      <c r="H74" s="1731">
        <f t="shared" si="10"/>
        <v>40575</v>
      </c>
      <c r="I74" s="1731">
        <f t="shared" si="10"/>
        <v>2469</v>
      </c>
      <c r="J74" s="1731">
        <f t="shared" si="10"/>
        <v>0</v>
      </c>
      <c r="K74" s="1731">
        <f t="shared" si="10"/>
        <v>1660281</v>
      </c>
      <c r="L74" s="1731">
        <f>SUM(L42,L47,L53,L57,L65,L72,L73)</f>
        <v>1601851</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0</v>
      </c>
      <c r="F79" s="1723"/>
      <c r="G79" s="1723"/>
      <c r="H79" s="1623">
        <v>1131586</v>
      </c>
      <c r="I79" s="1632"/>
      <c r="J79" s="1632"/>
      <c r="K79" s="1722">
        <f t="shared" si="11"/>
        <v>1131586</v>
      </c>
      <c r="L79" s="1623">
        <v>1320388</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53852</v>
      </c>
      <c r="I81" s="1632"/>
      <c r="J81" s="1632"/>
      <c r="K81" s="1722">
        <f t="shared" si="11"/>
        <v>53852</v>
      </c>
      <c r="L81" s="1623">
        <v>59185</v>
      </c>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1185438</v>
      </c>
      <c r="I84" s="1632"/>
      <c r="J84" s="1632"/>
      <c r="K84" s="1724">
        <f>SUM(K78:K83)</f>
        <v>1185438</v>
      </c>
      <c r="L84" s="1724">
        <f>SUM(L78:L83)</f>
        <v>1379573</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4338</v>
      </c>
      <c r="F101" s="1723"/>
      <c r="G101" s="1723"/>
      <c r="H101" s="1677">
        <v>0</v>
      </c>
      <c r="I101" s="1632"/>
      <c r="J101" s="1632"/>
      <c r="K101" s="1737">
        <f>SUM(C101:J101)</f>
        <v>4338</v>
      </c>
      <c r="L101" s="1676"/>
    </row>
    <row r="102" spans="1:14" ht="12.75" customHeight="1" thickTop="1" thickBot="1" x14ac:dyDescent="0.25">
      <c r="A102" s="1429" t="s">
        <v>1473</v>
      </c>
      <c r="B102" s="1434">
        <v>4000</v>
      </c>
      <c r="C102" s="1723"/>
      <c r="D102" s="1723"/>
      <c r="E102" s="1731">
        <f>SUM(E84,E92,E100,E101)</f>
        <v>4338</v>
      </c>
      <c r="F102" s="1723"/>
      <c r="G102" s="1723"/>
      <c r="H102" s="1731">
        <f>SUM(H84,H92,H100,H101)</f>
        <v>1185438</v>
      </c>
      <c r="I102" s="1632"/>
      <c r="J102" s="1632"/>
      <c r="K102" s="1731">
        <f>SUM(K84,K92,K100,K101)</f>
        <v>1189776</v>
      </c>
      <c r="L102" s="1731">
        <f>SUM(L84,L92,L100,L101)</f>
        <v>1379573</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6290490</v>
      </c>
      <c r="D114" s="1724">
        <f t="shared" ref="D114:K114" si="13">SUM(D33,D74,D75,D102,D112,D113)</f>
        <v>928215</v>
      </c>
      <c r="E114" s="1724">
        <f t="shared" si="13"/>
        <v>433340</v>
      </c>
      <c r="F114" s="1724">
        <f t="shared" si="13"/>
        <v>476972</v>
      </c>
      <c r="G114" s="1724">
        <f t="shared" si="13"/>
        <v>113102</v>
      </c>
      <c r="H114" s="1724">
        <f>SUM(H33,H74,H75,H102,H112,H113)</f>
        <v>1252583</v>
      </c>
      <c r="I114" s="1724">
        <f t="shared" si="13"/>
        <v>177705</v>
      </c>
      <c r="J114" s="1724">
        <f t="shared" si="13"/>
        <v>0</v>
      </c>
      <c r="K114" s="1724">
        <f t="shared" si="13"/>
        <v>9672407</v>
      </c>
      <c r="L114" s="1724">
        <f>SUM(L33,L74,L75,L102,L112,L113)</f>
        <v>9642977</v>
      </c>
    </row>
    <row r="115" spans="1:14" ht="13.5" thickTop="1" x14ac:dyDescent="0.2">
      <c r="A115" s="2330" t="s">
        <v>989</v>
      </c>
      <c r="B115" s="2331"/>
      <c r="C115" s="1725"/>
      <c r="D115" s="1725"/>
      <c r="E115" s="1725"/>
      <c r="F115" s="1725"/>
      <c r="G115" s="1725"/>
      <c r="H115" s="1725"/>
      <c r="I115" s="1725"/>
      <c r="J115" s="1725"/>
      <c r="K115" s="1739">
        <f>'Revenues 9-14'!C268-'Expenditures 15-22'!K114</f>
        <v>-2387761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5" t="s">
        <v>293</v>
      </c>
      <c r="B117" s="233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419128</v>
      </c>
      <c r="D124" s="1623">
        <v>65599</v>
      </c>
      <c r="E124" s="1623">
        <v>454674</v>
      </c>
      <c r="F124" s="1623">
        <v>269813</v>
      </c>
      <c r="G124" s="1623">
        <v>259430</v>
      </c>
      <c r="H124" s="1623">
        <v>2344</v>
      </c>
      <c r="I124" s="1624">
        <v>3930</v>
      </c>
      <c r="J124" s="1624">
        <v>0</v>
      </c>
      <c r="K124" s="1724">
        <f>SUM(C124:J124)</f>
        <v>1474918</v>
      </c>
      <c r="L124" s="1623">
        <v>1458234</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419128</v>
      </c>
      <c r="D127" s="1724">
        <f t="shared" ref="D127:L127" si="14">SUM(D122:D126)</f>
        <v>65599</v>
      </c>
      <c r="E127" s="1724">
        <f t="shared" si="14"/>
        <v>454674</v>
      </c>
      <c r="F127" s="1724">
        <f t="shared" si="14"/>
        <v>269813</v>
      </c>
      <c r="G127" s="1724">
        <f t="shared" si="14"/>
        <v>259430</v>
      </c>
      <c r="H127" s="1724">
        <f t="shared" si="14"/>
        <v>2344</v>
      </c>
      <c r="I127" s="1724">
        <f t="shared" si="14"/>
        <v>3930</v>
      </c>
      <c r="J127" s="1724">
        <f t="shared" si="14"/>
        <v>0</v>
      </c>
      <c r="K127" s="1724">
        <f t="shared" si="14"/>
        <v>1474918</v>
      </c>
      <c r="L127" s="1724">
        <f t="shared" si="14"/>
        <v>1458234</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419128</v>
      </c>
      <c r="D129" s="1731">
        <f t="shared" ref="D129:L129" si="15">SUM(D120,D127,D128)</f>
        <v>65599</v>
      </c>
      <c r="E129" s="1731">
        <f t="shared" si="15"/>
        <v>454674</v>
      </c>
      <c r="F129" s="1731">
        <f t="shared" si="15"/>
        <v>269813</v>
      </c>
      <c r="G129" s="1731">
        <f t="shared" si="15"/>
        <v>259430</v>
      </c>
      <c r="H129" s="1731">
        <f t="shared" si="15"/>
        <v>2344</v>
      </c>
      <c r="I129" s="1731">
        <f t="shared" si="15"/>
        <v>3930</v>
      </c>
      <c r="J129" s="1731">
        <f t="shared" si="15"/>
        <v>0</v>
      </c>
      <c r="K129" s="1731">
        <f t="shared" si="15"/>
        <v>1474918</v>
      </c>
      <c r="L129" s="1731">
        <f t="shared" si="15"/>
        <v>1458234</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7" t="s">
        <v>616</v>
      </c>
      <c r="B151" s="2327"/>
      <c r="C151" s="1724">
        <f>SUM(C129,C130,C139,C149,C150)</f>
        <v>419128</v>
      </c>
      <c r="D151" s="1724">
        <f t="shared" ref="D151:K151" si="16">SUM(D129,D130,D139,D149,D150)</f>
        <v>65599</v>
      </c>
      <c r="E151" s="1724">
        <f t="shared" si="16"/>
        <v>454674</v>
      </c>
      <c r="F151" s="1724">
        <f t="shared" si="16"/>
        <v>269813</v>
      </c>
      <c r="G151" s="1724">
        <f t="shared" si="16"/>
        <v>259430</v>
      </c>
      <c r="H151" s="1724">
        <f t="shared" si="16"/>
        <v>2344</v>
      </c>
      <c r="I151" s="1724">
        <f t="shared" si="16"/>
        <v>3930</v>
      </c>
      <c r="J151" s="1724">
        <f t="shared" si="16"/>
        <v>0</v>
      </c>
      <c r="K151" s="1724">
        <f t="shared" si="16"/>
        <v>1474918</v>
      </c>
      <c r="L151" s="1724">
        <f>SUM(L129,L130,L139,L149,L150)</f>
        <v>1458234</v>
      </c>
    </row>
    <row r="152" spans="1:14" ht="12.75" customHeight="1" thickTop="1" x14ac:dyDescent="0.2">
      <c r="A152" s="2350" t="s">
        <v>1170</v>
      </c>
      <c r="B152" s="2351"/>
      <c r="C152" s="1725"/>
      <c r="D152" s="1725"/>
      <c r="E152" s="1725"/>
      <c r="F152" s="1725"/>
      <c r="G152" s="1725"/>
      <c r="H152" s="1725"/>
      <c r="I152" s="1725"/>
      <c r="J152" s="1723"/>
      <c r="K152" s="1739">
        <f>'Revenues 9-14'!D268-'Expenditures 15-22'!K151</f>
        <v>1757471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5" t="s">
        <v>617</v>
      </c>
      <c r="B154" s="233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278500</v>
      </c>
      <c r="I169" s="1723"/>
      <c r="J169" s="1723"/>
      <c r="K169" s="1722">
        <f>SUM(C169:H169)</f>
        <v>278500</v>
      </c>
      <c r="L169" s="1745">
        <v>278551</v>
      </c>
    </row>
    <row r="170" spans="1:14" ht="33.75" customHeight="1" x14ac:dyDescent="0.2">
      <c r="A170" s="543" t="s">
        <v>1654</v>
      </c>
      <c r="B170" s="545" t="s">
        <v>31</v>
      </c>
      <c r="C170" s="1723"/>
      <c r="D170" s="1723"/>
      <c r="E170" s="1723"/>
      <c r="F170" s="1723"/>
      <c r="G170" s="1723"/>
      <c r="H170" s="1696">
        <v>1735000</v>
      </c>
      <c r="I170" s="1723"/>
      <c r="J170" s="1723"/>
      <c r="K170" s="1722">
        <f>SUM(C170:J170)</f>
        <v>1735000</v>
      </c>
      <c r="L170" s="1696">
        <v>1735000</v>
      </c>
    </row>
    <row r="171" spans="1:14" ht="15.75" customHeight="1" x14ac:dyDescent="0.2">
      <c r="A171" s="507" t="s">
        <v>761</v>
      </c>
      <c r="B171" s="546" t="s">
        <v>84</v>
      </c>
      <c r="C171" s="1723"/>
      <c r="D171" s="1723"/>
      <c r="E171" s="1623">
        <v>0</v>
      </c>
      <c r="F171" s="1723"/>
      <c r="G171" s="1723"/>
      <c r="H171" s="1696">
        <v>500</v>
      </c>
      <c r="I171" s="1632"/>
      <c r="J171" s="1723"/>
      <c r="K171" s="1722">
        <f>SUM(C171:J171)</f>
        <v>500</v>
      </c>
      <c r="L171" s="1696">
        <v>1400</v>
      </c>
    </row>
    <row r="172" spans="1:14" ht="12.75" customHeight="1" thickBot="1" x14ac:dyDescent="0.25">
      <c r="A172" s="1429" t="s">
        <v>633</v>
      </c>
      <c r="B172" s="1430" t="s">
        <v>489</v>
      </c>
      <c r="C172" s="1723"/>
      <c r="D172" s="1723"/>
      <c r="E172" s="1731">
        <f>SUM(E168,E169,E170,E171)</f>
        <v>0</v>
      </c>
      <c r="F172" s="1723"/>
      <c r="G172" s="1723"/>
      <c r="H172" s="1731">
        <f>SUM(H168,H169,H170,H171)</f>
        <v>2014000</v>
      </c>
      <c r="I172" s="1734"/>
      <c r="J172" s="1723"/>
      <c r="K172" s="1731">
        <f>SUM(K168,K169,K170,K171)</f>
        <v>2014000</v>
      </c>
      <c r="L172" s="1731">
        <f>SUM(L168,L169,L170,L171)</f>
        <v>2014951</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2014000</v>
      </c>
      <c r="I174" s="1734"/>
      <c r="J174" s="1723"/>
      <c r="K174" s="1731">
        <f>SUM(K160,K172,K173)</f>
        <v>2014000</v>
      </c>
      <c r="L174" s="1731">
        <f>SUM(L160,L172,L173)</f>
        <v>2014951</v>
      </c>
    </row>
    <row r="175" spans="1:14" ht="13.5" thickTop="1" x14ac:dyDescent="0.2">
      <c r="A175" s="2330" t="s">
        <v>989</v>
      </c>
      <c r="B175" s="2331"/>
      <c r="C175" s="1723"/>
      <c r="D175" s="1723"/>
      <c r="E175" s="1723"/>
      <c r="F175" s="1723"/>
      <c r="G175" s="1723"/>
      <c r="H175" s="1725"/>
      <c r="I175" s="1723"/>
      <c r="J175" s="1723"/>
      <c r="K175" s="1739">
        <f>'Revenues 9-14'!E268-'Expenditures 15-22'!K174</f>
        <v>10951</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392610</v>
      </c>
      <c r="D182" s="1623">
        <v>50817</v>
      </c>
      <c r="E182" s="1623">
        <v>51851</v>
      </c>
      <c r="F182" s="1623">
        <v>90890</v>
      </c>
      <c r="G182" s="1623">
        <v>241320</v>
      </c>
      <c r="H182" s="1623">
        <v>1618</v>
      </c>
      <c r="I182" s="1624">
        <v>0</v>
      </c>
      <c r="J182" s="1624">
        <v>0</v>
      </c>
      <c r="K182" s="1722">
        <f>SUM(C182:J182)</f>
        <v>829106</v>
      </c>
      <c r="L182" s="1623">
        <v>894776</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392610</v>
      </c>
      <c r="D184" s="1731">
        <f t="shared" ref="D184:J184" si="17">SUM(D180,D182,D183)</f>
        <v>50817</v>
      </c>
      <c r="E184" s="1731">
        <f t="shared" si="17"/>
        <v>51851</v>
      </c>
      <c r="F184" s="1731">
        <f t="shared" si="17"/>
        <v>90890</v>
      </c>
      <c r="G184" s="1731">
        <f t="shared" si="17"/>
        <v>241320</v>
      </c>
      <c r="H184" s="1731">
        <f t="shared" si="17"/>
        <v>1618</v>
      </c>
      <c r="I184" s="1731">
        <f t="shared" si="17"/>
        <v>0</v>
      </c>
      <c r="J184" s="1731">
        <f t="shared" si="17"/>
        <v>0</v>
      </c>
      <c r="K184" s="1731">
        <f>SUM(K180,K182,K183)</f>
        <v>829106</v>
      </c>
      <c r="L184" s="1731">
        <f>SUM(L180, L182:L183)</f>
        <v>894776</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4059</v>
      </c>
      <c r="I205" s="1723"/>
      <c r="J205" s="1723"/>
      <c r="K205" s="1746">
        <f>SUM(H205)</f>
        <v>4059</v>
      </c>
      <c r="L205" s="1680">
        <v>4059</v>
      </c>
    </row>
    <row r="206" spans="1:14" ht="30" customHeight="1" x14ac:dyDescent="0.2">
      <c r="A206" s="555" t="s">
        <v>1655</v>
      </c>
      <c r="B206" s="546" t="s">
        <v>31</v>
      </c>
      <c r="C206" s="1723"/>
      <c r="D206" s="1723"/>
      <c r="E206" s="1723"/>
      <c r="F206" s="1723"/>
      <c r="G206" s="1723"/>
      <c r="H206" s="1623">
        <v>42129</v>
      </c>
      <c r="I206" s="1723"/>
      <c r="J206" s="1723"/>
      <c r="K206" s="1722">
        <f>SUM(H206)</f>
        <v>42129</v>
      </c>
      <c r="L206" s="1623">
        <v>42129</v>
      </c>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46188</v>
      </c>
      <c r="I208" s="1723"/>
      <c r="J208" s="1723"/>
      <c r="K208" s="1731">
        <f>SUM(K204,K205,K206,K207)</f>
        <v>46188</v>
      </c>
      <c r="L208" s="1731">
        <f>SUM(L204,L205,L206,L207)</f>
        <v>46188</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392610</v>
      </c>
      <c r="D210" s="1724">
        <f>SUM(D184,D185)</f>
        <v>50817</v>
      </c>
      <c r="E210" s="1724">
        <f>SUM(E184,E185,E196)</f>
        <v>51851</v>
      </c>
      <c r="F210" s="1724">
        <f>SUM(F184,F185)</f>
        <v>90890</v>
      </c>
      <c r="G210" s="1724">
        <f>SUM(G184,G185)</f>
        <v>241320</v>
      </c>
      <c r="H210" s="1724">
        <f>SUM(H184,H185,H196,H208,H209)</f>
        <v>47806</v>
      </c>
      <c r="I210" s="1724">
        <f>SUM(I184,I185)</f>
        <v>0</v>
      </c>
      <c r="J210" s="1724">
        <f>SUM(J184,J185)</f>
        <v>0</v>
      </c>
      <c r="K210" s="1722">
        <f>SUM(K184,K185,K196,K208,K209)</f>
        <v>875294</v>
      </c>
      <c r="L210" s="1724">
        <f>SUM(L184,L185,L196,L208,L209)</f>
        <v>940964</v>
      </c>
    </row>
    <row r="211" spans="1:14" ht="13.5" thickTop="1" x14ac:dyDescent="0.2">
      <c r="A211" s="2330" t="s">
        <v>989</v>
      </c>
      <c r="B211" s="2331"/>
      <c r="C211" s="1725"/>
      <c r="D211" s="1725"/>
      <c r="E211" s="1725"/>
      <c r="F211" s="1725"/>
      <c r="G211" s="1725"/>
      <c r="H211" s="1725"/>
      <c r="I211" s="1723"/>
      <c r="J211" s="1723"/>
      <c r="K211" s="1739">
        <f>'Revenues 9-14'!F268-'Expenditures 15-22'!K210</f>
        <v>166360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2" t="s">
        <v>959</v>
      </c>
      <c r="B213" s="235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93095</v>
      </c>
      <c r="E215" s="1723"/>
      <c r="F215" s="1723"/>
      <c r="G215" s="1723"/>
      <c r="H215" s="1723"/>
      <c r="I215" s="1723"/>
      <c r="J215" s="1723"/>
      <c r="K215" s="1722">
        <f>D215</f>
        <v>93095</v>
      </c>
      <c r="L215" s="1623">
        <v>85054</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53774</v>
      </c>
      <c r="E217" s="1723"/>
      <c r="F217" s="1723"/>
      <c r="G217" s="1723"/>
      <c r="H217" s="1723"/>
      <c r="I217" s="1723"/>
      <c r="J217" s="1723"/>
      <c r="K217" s="1722">
        <f t="shared" si="19"/>
        <v>53774</v>
      </c>
      <c r="L217" s="1623">
        <v>48421</v>
      </c>
    </row>
    <row r="218" spans="1:14" x14ac:dyDescent="0.2">
      <c r="A218" s="1319" t="s">
        <v>276</v>
      </c>
      <c r="B218" s="503" t="s">
        <v>962</v>
      </c>
      <c r="C218" s="1723"/>
      <c r="D218" s="1624">
        <v>1544</v>
      </c>
      <c r="E218" s="1723"/>
      <c r="F218" s="1723"/>
      <c r="G218" s="1723"/>
      <c r="H218" s="1723"/>
      <c r="I218" s="1723"/>
      <c r="J218" s="1723"/>
      <c r="K218" s="1722">
        <f t="shared" si="19"/>
        <v>1544</v>
      </c>
      <c r="L218" s="1623">
        <v>1964</v>
      </c>
    </row>
    <row r="219" spans="1:14" x14ac:dyDescent="0.2">
      <c r="A219" s="1319" t="s">
        <v>277</v>
      </c>
      <c r="B219" s="503">
        <v>1250</v>
      </c>
      <c r="C219" s="1723"/>
      <c r="D219" s="1623">
        <v>0</v>
      </c>
      <c r="E219" s="1723"/>
      <c r="F219" s="1723"/>
      <c r="G219" s="1723"/>
      <c r="H219" s="1723"/>
      <c r="I219" s="1723"/>
      <c r="J219" s="1723"/>
      <c r="K219" s="1722">
        <f t="shared" si="19"/>
        <v>0</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1762</v>
      </c>
      <c r="E222" s="1723"/>
      <c r="F222" s="1723"/>
      <c r="G222" s="1723"/>
      <c r="H222" s="1723"/>
      <c r="I222" s="1723"/>
      <c r="J222" s="1723"/>
      <c r="K222" s="1722">
        <f t="shared" si="19"/>
        <v>1762</v>
      </c>
      <c r="L222" s="1623">
        <v>1674</v>
      </c>
    </row>
    <row r="223" spans="1:14" x14ac:dyDescent="0.2">
      <c r="A223" s="1319" t="s">
        <v>957</v>
      </c>
      <c r="B223" s="503">
        <v>1500</v>
      </c>
      <c r="C223" s="1723"/>
      <c r="D223" s="1623">
        <v>5312</v>
      </c>
      <c r="E223" s="1723"/>
      <c r="F223" s="1723"/>
      <c r="G223" s="1723"/>
      <c r="H223" s="1723"/>
      <c r="I223" s="1723"/>
      <c r="J223" s="1723"/>
      <c r="K223" s="1722">
        <f t="shared" si="19"/>
        <v>5312</v>
      </c>
      <c r="L223" s="1623">
        <v>4649</v>
      </c>
    </row>
    <row r="224" spans="1:14" x14ac:dyDescent="0.2">
      <c r="A224" s="1319" t="s">
        <v>958</v>
      </c>
      <c r="B224" s="503">
        <v>1600</v>
      </c>
      <c r="C224" s="1723"/>
      <c r="D224" s="1623">
        <v>132</v>
      </c>
      <c r="E224" s="1723"/>
      <c r="F224" s="1723"/>
      <c r="G224" s="1723"/>
      <c r="H224" s="1723"/>
      <c r="I224" s="1723"/>
      <c r="J224" s="1723"/>
      <c r="K224" s="1722">
        <f t="shared" si="19"/>
        <v>132</v>
      </c>
      <c r="L224" s="1623">
        <v>67</v>
      </c>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315</v>
      </c>
      <c r="E226" s="1723"/>
      <c r="F226" s="1723"/>
      <c r="G226" s="1723"/>
      <c r="H226" s="1723"/>
      <c r="I226" s="1723"/>
      <c r="J226" s="1723"/>
      <c r="K226" s="1722">
        <f t="shared" si="19"/>
        <v>315</v>
      </c>
      <c r="L226" s="1623">
        <v>314</v>
      </c>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155934</v>
      </c>
      <c r="E229" s="1723"/>
      <c r="F229" s="1723"/>
      <c r="G229" s="1723"/>
      <c r="H229" s="1723"/>
      <c r="I229" s="1723"/>
      <c r="J229" s="1723"/>
      <c r="K229" s="1724">
        <f>SUM(K215:K228)</f>
        <v>155934</v>
      </c>
      <c r="L229" s="1724">
        <f>SUM(L215:L228)</f>
        <v>142143</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row>
    <row r="233" spans="1:12" x14ac:dyDescent="0.2">
      <c r="A233" s="1319" t="s">
        <v>1083</v>
      </c>
      <c r="B233" s="503">
        <v>2120</v>
      </c>
      <c r="C233" s="1723"/>
      <c r="D233" s="1623">
        <v>948</v>
      </c>
      <c r="E233" s="1723"/>
      <c r="F233" s="1723"/>
      <c r="G233" s="1723"/>
      <c r="H233" s="1723"/>
      <c r="I233" s="1723"/>
      <c r="J233" s="1723"/>
      <c r="K233" s="1722">
        <f t="shared" si="20"/>
        <v>948</v>
      </c>
      <c r="L233" s="1623">
        <v>953</v>
      </c>
    </row>
    <row r="234" spans="1:12" x14ac:dyDescent="0.2">
      <c r="A234" s="1319" t="s">
        <v>196</v>
      </c>
      <c r="B234" s="503">
        <v>2130</v>
      </c>
      <c r="C234" s="1723"/>
      <c r="D234" s="1623">
        <v>9239</v>
      </c>
      <c r="E234" s="1723"/>
      <c r="F234" s="1723"/>
      <c r="G234" s="1723"/>
      <c r="H234" s="1723"/>
      <c r="I234" s="1723"/>
      <c r="J234" s="1723"/>
      <c r="K234" s="1722">
        <f t="shared" si="20"/>
        <v>9239</v>
      </c>
      <c r="L234" s="1623">
        <v>5344</v>
      </c>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v>58</v>
      </c>
    </row>
    <row r="238" spans="1:12" ht="12.75" customHeight="1" thickBot="1" x14ac:dyDescent="0.25">
      <c r="A238" s="1429" t="s">
        <v>556</v>
      </c>
      <c r="B238" s="1432" t="s">
        <v>711</v>
      </c>
      <c r="C238" s="1723"/>
      <c r="D238" s="1724">
        <f>SUM(D232:D237)</f>
        <v>10187</v>
      </c>
      <c r="E238" s="1723"/>
      <c r="F238" s="1723"/>
      <c r="G238" s="1723"/>
      <c r="H238" s="1723"/>
      <c r="I238" s="1723"/>
      <c r="J238" s="1723"/>
      <c r="K238" s="1724">
        <f>SUM(K232:K237)</f>
        <v>10187</v>
      </c>
      <c r="L238" s="1724">
        <f>SUM(L232:L237)</f>
        <v>6355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row>
    <row r="241" spans="1:12" x14ac:dyDescent="0.2">
      <c r="A241" s="1319" t="s">
        <v>810</v>
      </c>
      <c r="B241" s="503">
        <v>2220</v>
      </c>
      <c r="C241" s="1723"/>
      <c r="D241" s="1623">
        <v>8111</v>
      </c>
      <c r="E241" s="1723"/>
      <c r="F241" s="1723"/>
      <c r="G241" s="1723"/>
      <c r="H241" s="1723"/>
      <c r="I241" s="1723"/>
      <c r="J241" s="1723"/>
      <c r="K241" s="1728">
        <f>D241</f>
        <v>8111</v>
      </c>
      <c r="L241" s="1623">
        <v>3493</v>
      </c>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8111</v>
      </c>
      <c r="E243" s="1723"/>
      <c r="F243" s="1723"/>
      <c r="G243" s="1723"/>
      <c r="H243" s="1723"/>
      <c r="I243" s="1723"/>
      <c r="J243" s="1723"/>
      <c r="K243" s="1724">
        <f>SUM(K240:K242)</f>
        <v>8111</v>
      </c>
      <c r="L243" s="1724">
        <f>SUM(L240:L242)</f>
        <v>3493</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row>
    <row r="246" spans="1:12" x14ac:dyDescent="0.2">
      <c r="A246" s="1319" t="s">
        <v>813</v>
      </c>
      <c r="B246" s="503">
        <v>2320</v>
      </c>
      <c r="C246" s="1723"/>
      <c r="D246" s="1623">
        <v>2208</v>
      </c>
      <c r="E246" s="1723"/>
      <c r="F246" s="1723"/>
      <c r="G246" s="1723"/>
      <c r="H246" s="1723"/>
      <c r="I246" s="1723"/>
      <c r="J246" s="1723"/>
      <c r="K246" s="1728">
        <f t="shared" ref="K246:K256" si="21">D246</f>
        <v>2208</v>
      </c>
      <c r="L246" s="1623">
        <v>2121</v>
      </c>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2208</v>
      </c>
      <c r="E257" s="1723"/>
      <c r="F257" s="1723"/>
      <c r="G257" s="1723"/>
      <c r="H257" s="1723"/>
      <c r="I257" s="1723"/>
      <c r="J257" s="1723"/>
      <c r="K257" s="1724">
        <f>SUM(K245:K256)</f>
        <v>2208</v>
      </c>
      <c r="L257" s="1724">
        <f>SUM(L245:L256)</f>
        <v>2121</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31137</v>
      </c>
      <c r="E259" s="1723"/>
      <c r="F259" s="1723"/>
      <c r="G259" s="1723"/>
      <c r="H259" s="1723"/>
      <c r="I259" s="1723"/>
      <c r="J259" s="1723"/>
      <c r="K259" s="1728">
        <f>D259</f>
        <v>31137</v>
      </c>
      <c r="L259" s="1636">
        <v>28401</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31137</v>
      </c>
      <c r="E261" s="1723"/>
      <c r="F261" s="1723"/>
      <c r="G261" s="1723"/>
      <c r="H261" s="1723"/>
      <c r="I261" s="1723"/>
      <c r="J261" s="1723"/>
      <c r="K261" s="1724">
        <f>SUM(K259:K260)</f>
        <v>31137</v>
      </c>
      <c r="L261" s="1724">
        <f>SUM(L259:L260)</f>
        <v>28401</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20964</v>
      </c>
      <c r="E264" s="1723"/>
      <c r="F264" s="1723"/>
      <c r="G264" s="1723"/>
      <c r="H264" s="1723"/>
      <c r="I264" s="1723"/>
      <c r="J264" s="1723"/>
      <c r="K264" s="1728">
        <f t="shared" ref="K264:K269" si="22">D264</f>
        <v>20964</v>
      </c>
      <c r="L264" s="1623">
        <v>20379</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66846</v>
      </c>
      <c r="E266" s="1723"/>
      <c r="F266" s="1723"/>
      <c r="G266" s="1723"/>
      <c r="H266" s="1723"/>
      <c r="I266" s="1723"/>
      <c r="J266" s="1723"/>
      <c r="K266" s="1728">
        <f t="shared" si="22"/>
        <v>66846</v>
      </c>
      <c r="L266" s="1623">
        <v>59005</v>
      </c>
    </row>
    <row r="267" spans="1:14" x14ac:dyDescent="0.2">
      <c r="A267" s="1319" t="s">
        <v>947</v>
      </c>
      <c r="B267" s="503">
        <v>2550</v>
      </c>
      <c r="C267" s="1723"/>
      <c r="D267" s="1623">
        <v>62841</v>
      </c>
      <c r="E267" s="1723"/>
      <c r="F267" s="1723"/>
      <c r="G267" s="1723"/>
      <c r="H267" s="1723"/>
      <c r="I267" s="1723"/>
      <c r="J267" s="1723"/>
      <c r="K267" s="1728">
        <f t="shared" si="22"/>
        <v>62841</v>
      </c>
      <c r="L267" s="1623">
        <v>63663</v>
      </c>
    </row>
    <row r="268" spans="1:14" x14ac:dyDescent="0.2">
      <c r="A268" s="1319" t="s">
        <v>100</v>
      </c>
      <c r="B268" s="503">
        <v>2560</v>
      </c>
      <c r="C268" s="1723"/>
      <c r="D268" s="1623">
        <v>14426</v>
      </c>
      <c r="E268" s="1723"/>
      <c r="F268" s="1723"/>
      <c r="G268" s="1723"/>
      <c r="H268" s="1723"/>
      <c r="I268" s="1723"/>
      <c r="J268" s="1723"/>
      <c r="K268" s="1728">
        <f t="shared" si="22"/>
        <v>14426</v>
      </c>
      <c r="L268" s="1623">
        <v>13246</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165077</v>
      </c>
      <c r="E270" s="1723"/>
      <c r="F270" s="1723"/>
      <c r="G270" s="1723"/>
      <c r="H270" s="1723"/>
      <c r="I270" s="1723"/>
      <c r="J270" s="1723"/>
      <c r="K270" s="1724">
        <f>SUM(K263:K269)</f>
        <v>165077</v>
      </c>
      <c r="L270" s="1724">
        <f>SUM(L263:L269)</f>
        <v>156293</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216720</v>
      </c>
      <c r="E279" s="1723"/>
      <c r="F279" s="1723"/>
      <c r="G279" s="1723"/>
      <c r="H279" s="1723"/>
      <c r="I279" s="1723"/>
      <c r="J279" s="1723"/>
      <c r="K279" s="1731">
        <f>SUM(K238,K243,K257,K261,K270,K277,K278)</f>
        <v>216720</v>
      </c>
      <c r="L279" s="1731">
        <f>SUM(L238,L243,L257,L261,L270,L277,L278)</f>
        <v>196663</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v>524</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8" t="s">
        <v>502</v>
      </c>
      <c r="B295" s="2349"/>
      <c r="C295" s="1723"/>
      <c r="D295" s="1724">
        <f>SUM(D229,D279,D280,D285)</f>
        <v>372654</v>
      </c>
      <c r="E295" s="1723"/>
      <c r="F295" s="1723"/>
      <c r="G295" s="1723"/>
      <c r="H295" s="1724">
        <f>H293</f>
        <v>0</v>
      </c>
      <c r="I295" s="1723"/>
      <c r="J295" s="1723"/>
      <c r="K295" s="1724">
        <f>SUM(K229,K279,K280,K285,K293,K294)</f>
        <v>372654</v>
      </c>
      <c r="L295" s="1724">
        <f>SUM(L229,L279,L280,L285,L293,L294)</f>
        <v>339330</v>
      </c>
    </row>
    <row r="296" spans="1:14" ht="13.5" thickTop="1" x14ac:dyDescent="0.2">
      <c r="A296" s="2330" t="s">
        <v>989</v>
      </c>
      <c r="B296" s="2331"/>
      <c r="C296" s="1723"/>
      <c r="D296" s="1725"/>
      <c r="E296" s="1723"/>
      <c r="F296" s="1723"/>
      <c r="G296" s="1723"/>
      <c r="H296" s="1757"/>
      <c r="I296" s="1723"/>
      <c r="J296" s="1723"/>
      <c r="K296" s="1739">
        <f>'Revenues 9-14'!G268-'Expenditures 15-22'!K295</f>
        <v>77509</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0" t="s">
        <v>142</v>
      </c>
      <c r="B298" s="233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5" t="s">
        <v>275</v>
      </c>
      <c r="B312" s="2346"/>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1" t="s">
        <v>989</v>
      </c>
      <c r="B313" s="2342"/>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4" t="s">
        <v>148</v>
      </c>
      <c r="B315" s="235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6" t="s">
        <v>892</v>
      </c>
      <c r="B317" s="235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22">
        <f t="shared" ref="K320:K327" si="24">SUM(C320:J320)</f>
        <v>0</v>
      </c>
      <c r="L320" s="1624"/>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63600</v>
      </c>
      <c r="F322" s="1624">
        <v>0</v>
      </c>
      <c r="G322" s="1624">
        <v>0</v>
      </c>
      <c r="H322" s="1624">
        <v>0</v>
      </c>
      <c r="I322" s="1624">
        <v>0</v>
      </c>
      <c r="J322" s="1624">
        <v>0</v>
      </c>
      <c r="K322" s="1722">
        <f t="shared" si="24"/>
        <v>63600</v>
      </c>
      <c r="L322" s="1624">
        <v>63600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v>21667</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63600</v>
      </c>
      <c r="F330" s="1724">
        <f t="shared" si="25"/>
        <v>0</v>
      </c>
      <c r="G330" s="1724">
        <f t="shared" si="25"/>
        <v>0</v>
      </c>
      <c r="H330" s="1724">
        <f t="shared" si="25"/>
        <v>0</v>
      </c>
      <c r="I330" s="1724">
        <f t="shared" si="25"/>
        <v>0</v>
      </c>
      <c r="J330" s="1724">
        <f t="shared" si="25"/>
        <v>0</v>
      </c>
      <c r="K330" s="1724">
        <f>SUM(K319:K329)</f>
        <v>63600</v>
      </c>
      <c r="L330" s="1724">
        <f>SUM(L319:L329)</f>
        <v>85267</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63600</v>
      </c>
      <c r="F342" s="1724">
        <f>SUM(F330)</f>
        <v>0</v>
      </c>
      <c r="G342" s="1724">
        <f>SUM(G330)</f>
        <v>0</v>
      </c>
      <c r="H342" s="1724">
        <f>SUM(H330,H334,H340)</f>
        <v>0</v>
      </c>
      <c r="I342" s="1724">
        <f>SUM(I330)</f>
        <v>0</v>
      </c>
      <c r="J342" s="1724">
        <f>SUM(J330)</f>
        <v>0</v>
      </c>
      <c r="K342" s="1724">
        <f>SUM(K330,K334,K340)</f>
        <v>63600</v>
      </c>
      <c r="L342" s="1731">
        <f>SUM(L330,L334,L340,L341)</f>
        <v>85267</v>
      </c>
    </row>
    <row r="343" spans="1:14" ht="12.75" customHeight="1" thickTop="1" x14ac:dyDescent="0.2">
      <c r="A343" s="2343" t="s">
        <v>989</v>
      </c>
      <c r="B343" s="2344"/>
      <c r="C343" s="1723"/>
      <c r="D343" s="1723"/>
      <c r="E343" s="1723"/>
      <c r="F343" s="1723"/>
      <c r="G343" s="1723"/>
      <c r="H343" s="1723"/>
      <c r="I343" s="1723"/>
      <c r="J343" s="1723"/>
      <c r="K343" s="1739">
        <f>'Revenues 9-14'!J268-'Expenditures 15-22'!K342</f>
        <v>-12533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3" t="s">
        <v>960</v>
      </c>
      <c r="B345" s="233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v>25000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35000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60000</v>
      </c>
    </row>
    <row r="351" spans="1:14" ht="12.75" customHeight="1" thickTop="1" x14ac:dyDescent="0.2">
      <c r="A351" s="1325" t="s">
        <v>973</v>
      </c>
      <c r="B351" s="521" t="s">
        <v>570</v>
      </c>
      <c r="C351" s="1636">
        <v>3286</v>
      </c>
      <c r="D351" s="1636">
        <v>0</v>
      </c>
      <c r="E351" s="1636">
        <v>0</v>
      </c>
      <c r="F351" s="1636">
        <v>0</v>
      </c>
      <c r="G351" s="1636">
        <v>0</v>
      </c>
      <c r="H351" s="1636">
        <v>0</v>
      </c>
      <c r="I351" s="1633">
        <v>0</v>
      </c>
      <c r="J351" s="1633">
        <v>0</v>
      </c>
      <c r="K351" s="1765">
        <f>SUM(C351:J351)</f>
        <v>3286</v>
      </c>
      <c r="L351" s="1636">
        <v>3300</v>
      </c>
    </row>
    <row r="352" spans="1:14" ht="12.75" customHeight="1" thickBot="1" x14ac:dyDescent="0.25">
      <c r="A352" s="1429" t="s">
        <v>620</v>
      </c>
      <c r="B352" s="1432" t="s">
        <v>565</v>
      </c>
      <c r="C352" s="1724">
        <f>SUM(C350:C351)</f>
        <v>3286</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3286</v>
      </c>
      <c r="L352" s="1724">
        <f t="shared" si="27"/>
        <v>63300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3286</v>
      </c>
      <c r="D367" s="1724">
        <f t="shared" si="28"/>
        <v>0</v>
      </c>
      <c r="E367" s="1724">
        <f t="shared" si="28"/>
        <v>0</v>
      </c>
      <c r="F367" s="1724">
        <f t="shared" si="28"/>
        <v>0</v>
      </c>
      <c r="G367" s="1724">
        <f t="shared" si="28"/>
        <v>0</v>
      </c>
      <c r="H367" s="1724">
        <f t="shared" si="28"/>
        <v>0</v>
      </c>
      <c r="I367" s="1724">
        <f t="shared" si="28"/>
        <v>0</v>
      </c>
      <c r="J367" s="1724">
        <f t="shared" si="28"/>
        <v>0</v>
      </c>
      <c r="K367" s="1724">
        <f t="shared" si="28"/>
        <v>3286</v>
      </c>
      <c r="L367" s="1724">
        <f t="shared" si="28"/>
        <v>63300</v>
      </c>
    </row>
    <row r="368" spans="1:14" ht="13.5" thickTop="1" x14ac:dyDescent="0.2">
      <c r="A368" s="2330" t="s">
        <v>989</v>
      </c>
      <c r="B368" s="2331"/>
      <c r="C368" s="1744"/>
      <c r="D368" s="1744"/>
      <c r="E368" s="1727"/>
      <c r="F368" s="1727"/>
      <c r="G368" s="1727"/>
      <c r="H368" s="1727"/>
      <c r="I368" s="1727"/>
      <c r="J368" s="1726"/>
      <c r="K368" s="1722">
        <f>'Revenues 9-14'!K268-'Expenditures 15-22'!K367</f>
        <v>113540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terms/"/>
    <ds:schemaRef ds:uri="http://schemas.microsoft.com/sharepoint/v3"/>
    <ds:schemaRef ds:uri="http://schemas.microsoft.com/office/infopath/2007/PartnerControls"/>
    <ds:schemaRef ds:uri="http://schemas.openxmlformats.org/package/2006/metadata/core-properties"/>
    <ds:schemaRef ds:uri="4d435f69-8686-490b-bd6d-b153bf22ab50"/>
    <ds:schemaRef ds:uri="http://schemas.microsoft.com/office/2006/documentManagement/types"/>
    <ds:schemaRef ds:uri="http://purl.org/dc/elements/1.1/"/>
    <ds:schemaRef ds:uri="d21dc803-237d-4c68-8692-8d731fd29118"/>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2020-11-05T16:27:50Z</cp:lastPrinted>
  <dcterms:created xsi:type="dcterms:W3CDTF">2003-10-29T19:06:34Z</dcterms:created>
  <dcterms:modified xsi:type="dcterms:W3CDTF">2020-11-30T23:37:32Z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