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A4079E8-BFB9-40B2-9E1D-ED44E84C4EE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L68" i="184" l="1"/>
  <c r="K68" i="184"/>
  <c r="G16" i="184" s="1"/>
  <c r="J68" i="184"/>
  <c r="I68" i="184"/>
  <c r="H68" i="184"/>
  <c r="G68" i="184"/>
  <c r="L53" i="184"/>
  <c r="L52" i="184"/>
  <c r="K19" i="184"/>
  <c r="J19" i="184"/>
  <c r="I19" i="184"/>
  <c r="L18" i="184"/>
  <c r="H18" i="184"/>
  <c r="L17" i="184"/>
  <c r="G17" i="184"/>
  <c r="L16" i="184"/>
  <c r="L15" i="184"/>
  <c r="G15" i="184"/>
  <c r="L14" i="184"/>
  <c r="G14" i="184"/>
  <c r="L13" i="184"/>
  <c r="G13" i="184"/>
  <c r="L12" i="184"/>
  <c r="G12" i="184"/>
  <c r="G19" i="184" s="1"/>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H12" i="184" l="1"/>
  <c r="B7189" i="106"/>
  <c r="D7189" i="106" s="1"/>
  <c r="E64" i="184"/>
  <c r="N64" i="184" s="1"/>
  <c r="B7153" i="106"/>
  <c r="D7153" i="106" s="1"/>
  <c r="E60" i="184"/>
  <c r="N60" i="184" s="1"/>
  <c r="E13" i="145"/>
  <c r="G13" i="145" s="1"/>
  <c r="E13" i="184"/>
  <c r="H13" i="184" s="1"/>
  <c r="G33" i="108"/>
  <c r="E17" i="184"/>
  <c r="H17" i="184" s="1"/>
  <c r="B7705" i="106"/>
  <c r="D7705" i="106" s="1"/>
  <c r="E67" i="184"/>
  <c r="N67" i="184" s="1"/>
  <c r="B7180" i="106"/>
  <c r="D7180" i="106" s="1"/>
  <c r="E63" i="184"/>
  <c r="E14" i="145"/>
  <c r="G14" i="145" s="1"/>
  <c r="E14" i="184"/>
  <c r="H14" i="184" s="1"/>
  <c r="F15" i="145"/>
  <c r="F19" i="145" s="1"/>
  <c r="F15" i="184"/>
  <c r="F19" i="184" s="1"/>
  <c r="B7696" i="106"/>
  <c r="D7696" i="106" s="1"/>
  <c r="E66" i="184"/>
  <c r="N66" i="184" s="1"/>
  <c r="B7171" i="106"/>
  <c r="D7171" i="106" s="1"/>
  <c r="E62" i="184"/>
  <c r="N62" i="184" s="1"/>
  <c r="B7135" i="106"/>
  <c r="D7135" i="106" s="1"/>
  <c r="E58" i="184"/>
  <c r="N58" i="184" s="1"/>
  <c r="E15" i="145"/>
  <c r="G15" i="145" s="1"/>
  <c r="E15" i="184"/>
  <c r="H15" i="184" s="1"/>
  <c r="B7198" i="106"/>
  <c r="D7198" i="106" s="1"/>
  <c r="E65" i="184"/>
  <c r="N65" i="184" s="1"/>
  <c r="B7162" i="106"/>
  <c r="D7162" i="106" s="1"/>
  <c r="E61" i="184"/>
  <c r="N61" i="184" s="1"/>
  <c r="B7126" i="106"/>
  <c r="D7126" i="106" s="1"/>
  <c r="E57" i="184"/>
  <c r="B7074" i="106"/>
  <c r="D7074" i="106" s="1"/>
  <c r="D31" i="108"/>
  <c r="E16" i="184"/>
  <c r="H16" i="184" s="1"/>
  <c r="F36" i="108"/>
  <c r="B7047" i="106"/>
  <c r="D7047" i="106" s="1"/>
  <c r="B2836" i="106"/>
  <c r="D2836" i="106" s="1"/>
  <c r="B2805" i="106"/>
  <c r="D2805" i="106" s="1"/>
  <c r="F70" i="34"/>
  <c r="F37" i="34"/>
  <c r="B7829" i="106" s="1"/>
  <c r="D7829" i="106" s="1"/>
  <c r="F31" i="108"/>
  <c r="B6289" i="106"/>
  <c r="D6289"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M63" i="184" l="1"/>
  <c r="M68" i="184" s="1"/>
  <c r="E68" i="184"/>
  <c r="N57" i="184"/>
  <c r="H19" i="184"/>
  <c r="L20" i="184" s="1"/>
  <c r="E19" i="184"/>
  <c r="L16" i="11"/>
  <c r="B2061" i="106" s="1"/>
  <c r="D2061" i="106" s="1"/>
  <c r="N23" i="3"/>
  <c r="B284" i="106" s="1"/>
  <c r="D284" i="106" s="1"/>
  <c r="B1381" i="106"/>
  <c r="D138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N63" i="184" l="1"/>
  <c r="N68" i="184" s="1"/>
  <c r="K16" i="4"/>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<sst xmlns="http://schemas.openxmlformats.org/spreadsheetml/2006/main" count="5215" uniqueCount="2090">
  <si>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</si>
  <si>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</si>
  <si>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</si>
  <si>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</si>
  <si>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</si>
  <si>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</si>
  <si>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</si>
  <si>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</si>
  <si>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</si>
  <si>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</si>
  <si>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</si>
  <si>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</si>
  <si>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</si>
  <si>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</si>
  <si>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</si>
  <si>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</si>
  <si>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</si>
  <si>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</si>
  <si>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</si>
  <si>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</si>
  <si>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</si>
  <si>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</si>
  <si>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</si>
  <si>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</si>
  <si>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</si>
  <si>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</si>
  <si>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</si>
  <si>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</si>
  <si>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</si>
  <si>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</si>
  <si>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</si>
  <si>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</si>
  <si>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</si>
  <si>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</si>
  <si>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</si>
  <si>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</si>
  <si>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</si>
  <si>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</si>
  <si>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</si>
  <si>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</si>
  <si>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</si>
  <si>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</si>
  <si>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</si>
  <si>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</si>
  <si>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</si>
  <si>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</si>
  <si>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</si>
  <si>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</si>
  <si>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</si>
  <si>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</si>
  <si>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</si>
  <si>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</si>
  <si>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</si>
  <si>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</si>
  <si>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</si>
  <si>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</si>
  <si>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</si>
  <si>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</si>
  <si>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</si>
  <si>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</si>
  <si>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</si>
  <si>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</si>
  <si>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</si>
  <si>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</si>
  <si>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</si>
  <si>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</si>
  <si>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</si>
  <si>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</si>
  <si>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</si>
  <si>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</si>
  <si>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</si>
  <si>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</si>
  <si>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</si>
  <si>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</si>
  <si>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</si>
  <si>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</si>
  <si>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</si>
  <si>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</si>
  <si>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</si>
  <si>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</si>
  <si>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</si>
  <si>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</si>
  <si>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</si>
  <si>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</si>
  <si>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</si>
  <si>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</si>
  <si>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</si>
  <si>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</si>
  <si>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</si>
  <si>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</si>
  <si>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</si>
  <si>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</si>
  <si>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</si>
  <si>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</si>
  <si>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</si>
  <si>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</si>
  <si>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</si>
  <si>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</si>
  <si>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</si>
  <si>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</si>
  <si>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</si>
  <si>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</si>
  <si>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</si>
  <si>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</si>
  <si>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</si>
  <si>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</si>
  <si>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</si>
  <si>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</si>
  <si>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</si>
  <si>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</si>
  <si>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</si>
  <si>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</si>
  <si>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</si>
  <si>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</si>
  <si>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</si>
  <si>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</si>
  <si>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</si>
  <si>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</si>
  <si>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</si>
  <si>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</si>
  <si>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</si>
  <si>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</si>
  <si>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</si>
  <si>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</si>
  <si>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</si>
  <si>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</si>
  <si>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</si>
  <si>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</si>
  <si>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</si>
  <si>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</si>
  <si>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</si>
  <si>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</si>
  <si>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</si>
  <si>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</si>
  <si>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</si>
  <si>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</si>
  <si>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</si>
  <si>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</si>
  <si>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</si>
  <si>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</si>
  <si>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</si>
  <si>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</si>
  <si>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</si>
  <si>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</si>
  <si>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</si>
  <si>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</si>
  <si>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</si>
  <si>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</si>
  <si>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</si>
  <si>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</si>
  <si>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</si>
  <si>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</si>
  <si>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</si>
  <si>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</si>
  <si>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</si>
  <si>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</si>
  <si>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</si>
  <si>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</si>
  <si>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</si>
  <si>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</si>
  <si>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</si>
  <si>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</si>
  <si>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</si>
  <si>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</si>
  <si>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</si>
  <si>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</si>
  <si>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</si>
  <si>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</si>
  <si>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</si>
  <si>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</si>
  <si>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</si>
  <si>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</si>
  <si>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</si>
  <si>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</si>
  <si>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</si>
  <si>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</si>
  <si>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</si>
  <si>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</si>
  <si>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</si>
  <si>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</si>
  <si>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</si>
  <si>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</si>
  <si>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</si>
  <si>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</si>
  <si>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</si>
  <si>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</si>
  <si>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</si>
  <si>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</si>
  <si>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</si>
  <si>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</si>
  <si>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</si>
  <si>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</si>
  <si>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</si>
  <si>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</si>
  <si>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</si>
  <si>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</si>
  <si>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</si>
  <si>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</si>
  <si>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</si>
  <si>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</si>
  <si>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</si>
  <si>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</si>
  <si>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</si>
  <si>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</si>
  <si>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</si>
  <si>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</si>
  <si>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</si>
  <si>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</si>
  <si>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</si>
  <si>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</si>
  <si>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</si>
  <si>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</si>
  <si>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</si>
  <si>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</si>
  <si>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</si>
  <si>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</si>
  <si>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</si>
  <si>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</si>
  <si>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</si>
  <si>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</si>
  <si>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</si>
  <si>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</si>
  <si>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</si>
  <si>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</si>
  <si>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</si>
  <si>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</si>
  <si>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</si>
  <si>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</si>
  <si>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</si>
  <si>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</si>
  <si>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</si>
  <si>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</si>
  <si>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</si>
  <si>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</si>
  <si>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</si>
  <si>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</si>
  <si>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</si>
  <si>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</si>
  <si>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</si>
  <si>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</si>
  <si>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</si>
  <si>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</si>
  <si>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</si>
  <si>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</si>
  <si>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</si>
  <si>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</si>
  <si>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</si>
  <si>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</si>
  <si>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</si>
  <si>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</si>
  <si>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</si>
  <si>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</si>
  <si>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</si>
  <si>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</si>
  <si>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</si>
  <si>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</si>
  <si>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</si>
  <si>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</si>
  <si>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</si>
  <si>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</si>
  <si>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</si>
  <si>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</si>
  <si>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</si>
  <si>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</si>
  <si>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</si>
  <si>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</si>
  <si>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</si>
  <si>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</si>
  <si>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</si>
  <si>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</si>
  <si>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</si>
  <si>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</si>
  <si>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</si>
  <si>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</si>
  <si>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</si>
  <si>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</si>
  <si>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</si>
  <si>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</si>
  <si>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</si>
  <si>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</si>
  <si>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</si>
  <si>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</si>
  <si>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</si>
  <si>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</si>
  <si>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</si>
  <si>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</si>
  <si>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</si>
  <si>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</si>
  <si>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</si>
  <si>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</si>
  <si>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</si>
  <si>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</si>
  <si>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</si>
  <si>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</si>
  <si>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</si>
  <si>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</si>
  <si>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</si>
  <si>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</si>
  <si>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</si>
  <si>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</si>
  <si>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</si>
  <si>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</si>
  <si>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</si>
  <si>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</si>
  <si>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</si>
  <si>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</si>
  <si>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</si>
  <si>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</si>
  <si>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</si>
  <si>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</si>
  <si>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</si>
  <si>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</si>
  <si>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</si>
  <si>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</si>
  <si>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</si>
  <si>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</si>
  <si>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</si>
  <si>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</si>
  <si>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</si>
  <si>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</si>
  <si>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</si>
  <si>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</si>
  <si>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</si>
  <si>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</si>
  <si>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</si>
  <si>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</si>
  <si>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</si>
  <si>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</si>
  <si>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</si>
  <si>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</si>
  <si>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</si>
  <si>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</si>
  <si>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</si>
  <si>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</si>
  <si>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</si>
  <si>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</si>
  <si>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</si>
  <si>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</si>
  <si>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</si>
  <si>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</si>
  <si>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</si>
  <si>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</si>
  <si>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</si>
  <si>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</si>
  <si>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</si>
  <si>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</si>
  <si>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</si>
  <si>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</si>
  <si>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</si>
  <si>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</si>
  <si>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</si>
  <si>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</si>
  <si>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</si>
  <si>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</si>
  <si>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</si>
  <si>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</si>
  <si>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</si>
  <si>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</si>
  <si>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</si>
  <si>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</si>
  <si>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</si>
  <si>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</si>
  <si>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</si>
  <si>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</si>
  <si>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</si>
  <si>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</si>
  <si>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</si>
  <si>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</si>
  <si>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</si>
  <si>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</si>
  <si>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</si>
  <si>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</si>
  <si>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</si>
  <si>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</si>
  <si>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</si>
  <si>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</si>
  <si>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</si>
  <si>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</si>
  <si>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</si>
  <si>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</si>
  <si>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</si>
  <si>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</si>
  <si>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</si>
  <si>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</si>
  <si>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</si>
  <si>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</si>
  <si>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</si>
  <si>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</si>
  <si>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</si>
  <si>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</si>
  <si>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</si>
  <si>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</si>
  <si>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</si>
  <si>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</si>
  <si>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</si>
  <si>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</si>
  <si>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</si>
  <si>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</si>
  <si>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</si>
  <si>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</si>
  <si>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</si>
  <si>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</si>
  <si>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</si>
  <si>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</si>
  <si>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</si>
  <si>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</si>
  <si>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</si>
  <si>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</si>
  <si>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</si>
  <si>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</si>
  <si>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</si>
  <si>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</si>
  <si>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</si>
  <si>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</si>
  <si>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</si>
  <si>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</si>
  <si>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</si>
  <si>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</si>
  <si>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</si>
  <si>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</si>
  <si>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</si>
  <si>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</si>
  <si>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</si>
  <si>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</si>
  <si>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</si>
  <si>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</si>
  <si>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</si>
  <si>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</si>
  <si>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</si>
  <si>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</si>
  <si>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</si>
  <si>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</si>
  <si>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</si>
  <si>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</si>
  <si>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</si>
  <si>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</si>
  <si>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</si>
  <si>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</si>
  <si>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</si>
  <si>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</si>
  <si>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</si>
  <si>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</si>
  <si>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</si>
  <si>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</si>
  <si>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</si>
  <si>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</si>
  <si>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</si>
  <si>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</si>
  <si>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</si>
  <si>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</si>
  <si>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</si>
  <si>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</si>
  <si>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</si>
  <si>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</si>
  <si>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</si>
  <si>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</si>
  <si>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</si>
  <si>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</si>
  <si>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</si>
  <si>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</si>
  <si>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</si>
  <si>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</si>
  <si>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</si>
  <si>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</si>
  <si>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</si>
  <si>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</si>
  <si>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</si>
  <si>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</si>
  <si>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</si>
  <si>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</si>
  <si>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</si>
  <si>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</si>
  <si>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</si>
  <si>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</si>
  <si>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</si>
  <si>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</si>
  <si>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</si>
  <si>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</si>
  <si>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</si>
  <si>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</si>
  <si>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</si>
  <si>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</si>
  <si>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</si>
  <si>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</si>
  <si>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</si>
  <si>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</si>
  <si>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</si>
  <si>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</si>
  <si>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</si>
  <si>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</si>
  <si>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</si>
  <si>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</si>
  <si>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</si>
  <si>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</si>
  <si>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</si>
  <si>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</si>
  <si>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</si>
  <si>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</si>
  <si>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</si>
  <si>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</si>
  <si>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</si>
  <si>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</si>
  <si>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</si>
  <si>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</si>
  <si>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</si>
  <si>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</si>
  <si>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</si>
  <si>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</si>
  <si>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</si>
  <si>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</si>
  <si>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</si>
  <si>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</si>
  <si>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</si>
  <si>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</si>
  <si>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</si>
  <si>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</si>
  <si>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</si>
  <si>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</si>
  <si>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</si>
  <si>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</si>
  <si>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</si>
  <si>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</si>
  <si>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</si>
  <si>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</si>
  <si>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</si>
  <si>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</si>
  <si>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</si>
  <si>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</si>
  <si>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</si>
  <si>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</si>
  <si>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</si>
  <si>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</si>
  <si>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</si>
  <si>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</si>
  <si>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</si>
  <si>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</si>
  <si>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</si>
  <si>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</si>
  <si>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</si>
  <si>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</si>
  <si>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</si>
  <si>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</si>
  <si>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</si>
  <si>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</si>
  <si>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</si>
  <si>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</si>
  <si>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</si>
  <si>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</si>
  <si>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</si>
  <si>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</si>
  <si>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</si>
  <si>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</si>
  <si>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</si>
  <si>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</si>
  <si>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</si>
  <si>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</si>
  <si>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</si>
  <si>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</si>
  <si>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</si>
  <si>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</si>
  <si>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</si>
  <si>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</si>
  <si>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</si>
  <si>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</si>
  <si>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</si>
  <si>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</si>
  <si>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</si>
  <si>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</si>
  <si>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</si>
  <si>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</si>
  <si>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</si>
  <si>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</si>
  <si>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</si>
  <si>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</si>
  <si>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</si>
  <si>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</si>
  <si>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</si>
  <si>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</si>
  <si>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</si>
  <si>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</si>
  <si>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</si>
  <si>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</si>
  <si>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</si>
  <si>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</si>
  <si>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</si>
  <si>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</si>
  <si>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</si>
  <si>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</si>
  <si>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</si>
  <si>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</si>
  <si>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</si>
  <si>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</si>
  <si>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</si>
  <si>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</si>
  <si>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</si>
  <si>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</si>
  <si>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</si>
  <si>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</si>
  <si>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</si>
  <si>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</si>
  <si>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</si>
  <si>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</si>
  <si>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</si>
  <si>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</si>
  <si>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</si>
  <si>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</si>
  <si>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</si>
  <si>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</si>
  <si>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</si>
  <si>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</si>
  <si>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</si>
  <si>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</si>
  <si>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</si>
  <si>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</si>
  <si>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</si>
  <si>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</si>
  <si>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</si>
  <si>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</si>
  <si>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</si>
  <si>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</si>
  <si>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</si>
  <si>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</si>
  <si>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</si>
  <si>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</si>
  <si>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</si>
  <si>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</si>
  <si>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</si>
  <si>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</si>
  <si>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</si>
  <si>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</si>
  <si>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</si>
  <si>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</si>
  <si>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</si>
  <si>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</si>
  <si>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</si>
  <si>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</si>
  <si>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</si>
  <si>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</si>
  <si>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</si>
  <si>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</si>
  <si>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</si>
  <si>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</si>
  <si>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</si>
  <si>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</si>
  <si>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</si>
  <si>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</si>
  <si>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</si>
  <si>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</si>
  <si>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</si>
  <si>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</si>
  <si>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</si>
  <si>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</si>
  <si>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</si>
  <si>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</si>
  <si>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</si>
  <si>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</si>
  <si>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</si>
  <si>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</si>
  <si>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</si>
  <si>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</si>
  <si>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</si>
  <si>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</si>
  <si>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</si>
  <si>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</si>
  <si>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</si>
  <si>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</si>
  <si>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</si>
  <si>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</si>
  <si>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</si>
  <si>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</si>
  <si>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</si>
  <si>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</si>
  <si>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</si>
  <si>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</si>
  <si>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</si>
  <si>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</si>
  <si>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</si>
  <si>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</si>
  <si>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</si>
  <si>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</si>
  <si>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</si>
  <si>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</si>
  <si>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</si>
  <si>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</si>
  <si>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</si>
  <si>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</si>
  <si>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</si>
  <si>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</si>
  <si>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</si>
  <si>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</si>
  <si>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</si>
  <si>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</si>
  <si>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</si>
  <si>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</si>
  <si>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</si>
  <si>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</si>
  <si>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</si>
  <si>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</si>
  <si>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</si>
  <si>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</si>
  <si>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</si>
  <si>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</si>
  <si>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</si>
  <si>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</si>
  <si>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</si>
  <si>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</si>
  <si>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</si>
  <si>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</si>
  <si>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</si>
  <si>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</si>
  <si>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</si>
  <si>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</si>
  <si>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</si>
  <si>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</si>
  <si>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</si>
  <si>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</si>
  <si>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</si>
  <si>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</si>
  <si>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</si>
  <si>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</si>
  <si>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</si>
  <si>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</si>
  <si>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</si>
  <si>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</si>
  <si>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</si>
  <si>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</si>
  <si>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</si>
  <si>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</si>
  <si>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</si>
  <si>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</si>
  <si>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</si>
  <si>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</si>
  <si>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</si>
  <si>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</si>
  <si>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</si>
  <si>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</si>
  <si>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</si>
  <si>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</si>
  <si>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</si>
  <si>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</si>
  <si>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</si>
  <si>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</si>
  <si>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</si>
  <si>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</si>
  <si>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</si>
  <si>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</si>
  <si>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</si>
  <si>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</si>
  <si>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</si>
  <si>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</si>
  <si>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</si>
  <si>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</si>
  <si>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</si>
  <si>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</si>
  <si>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</si>
  <si>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</si>
  <si>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</si>
  <si>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</si>
  <si>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</si>
  <si>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</si>
  <si>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</si>
  <si>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</si>
  <si>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</si>
  <si>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</si>
  <si>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</si>
  <si>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</si>
  <si>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</si>
  <si>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</si>
  <si>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</si>
  <si>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</si>
  <si>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</si>
  <si>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</si>
  <si>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</si>
  <si>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</si>
  <si>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</si>
  <si>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</si>
  <si>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</si>
  <si>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</si>
  <si>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</si>
  <si>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</si>
  <si>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</si>
  <si>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</si>
  <si>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</si>
  <si>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</si>
  <si>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</si>
  <si>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</si>
  <si>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</si>
  <si>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</si>
  <si>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</si>
  <si>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</si>
  <si>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</si>
  <si>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</si>
  <si>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</si>
  <si>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</si>
  <si>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</si>
  <si>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</si>
  <si>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</si>
  <si>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</si>
  <si>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</si>
  <si>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</si>
  <si>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</si>
  <si>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</si>
  <si>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</si>
  <si>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</si>
  <si>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</si>
  <si>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</si>
  <si>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</si>
  <si>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</si>
  <si>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</si>
  <si>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</si>
  <si>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</si>
  <si>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</si>
  <si>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</si>
  <si>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</si>
  <si>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</si>
  <si>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</si>
  <si>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</si>
  <si>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</si>
  <si>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</si>
  <si>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</si>
  <si>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</si>
  <si>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</si>
  <si>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</si>
  <si>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</si>
  <si>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</si>
  <si>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</si>
  <si>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</si>
  <si>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</si>
  <si>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</si>
  <si>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</si>
  <si>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</si>
  <si>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</si>
  <si>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</si>
  <si>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</si>
  <si>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</si>
  <si>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</si>
  <si>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</si>
  <si>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</si>
  <si>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</si>
  <si>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</si>
  <si>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</si>
  <si>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</si>
  <si>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</si>
  <si>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</si>
  <si>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</si>
  <si>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</si>
  <si>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</si>
  <si>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</si>
  <si>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</si>
  <si>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</si>
  <si>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</si>
  <si>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</si>
  <si>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</si>
  <si>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</si>
  <si>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</si>
  <si>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</si>
  <si>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</si>
  <si>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</si>
  <si>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</si>
  <si>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</si>
  <si>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</si>
  <si>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</si>
  <si>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</si>
  <si>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</si>
  <si>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</si>
  <si>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</si>
  <si>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</si>
  <si>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</si>
  <si>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</si>
  <si>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</si>
  <si>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</si>
  <si>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</si>
  <si>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</si>
  <si>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</si>
  <si>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</si>
  <si>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</si>
  <si>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</si>
  <si>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</si>
  <si>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</si>
  <si>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</si>
  <si>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</si>
  <si>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</si>
  <si>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</si>
  <si>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</si>
  <si>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</si>
  <si>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</si>
  <si>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</si>
  <si>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</si>
  <si>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</si>
  <si>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</si>
  <si>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</si>
  <si>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</si>
  <si>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</si>
  <si>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</si>
  <si>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</si>
  <si>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</si>
  <si>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</si>
  <si>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</si>
  <si>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</si>
  <si>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</si>
  <si>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</si>
  <si>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</si>
  <si>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</si>
  <si>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</si>
  <si>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</si>
  <si>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</si>
  <si>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</si>
  <si>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</si>
  <si>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</si>
  <si>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</si>
  <si>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</si>
  <si>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</si>
  <si>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</si>
  <si>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</si>
  <si>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</si>
  <si>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</si>
  <si>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</si>
  <si>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</si>
  <si>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</si>
  <si>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</si>
  <si>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</si>
  <si>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</si>
  <si>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</si>
  <si>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</si>
  <si>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</si>
  <si>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</si>
  <si>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</si>
  <si>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</si>
  <si>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</si>
  <si>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</si>
  <si>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</si>
  <si>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</si>
  <si>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</si>
  <si>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</si>
  <si>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</si>
  <si>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</si>
  <si>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</si>
  <si>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</si>
  <si>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</si>
  <si>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</si>
  <si>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</si>
  <si>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</si>
  <si>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</si>
  <si>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</si>
  <si>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</si>
  <si>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</si>
  <si>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</si>
  <si>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</si>
  <si>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</si>
  <si>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</si>
  <si>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</si>
  <si>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</si>
  <si>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</si>
  <si>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</si>
  <si>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</si>
  <si>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</si>
  <si>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</si>
  <si>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</si>
  <si>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</si>
  <si>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</si>
  <si>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</si>
  <si>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</si>
  <si>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</si>
  <si>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</si>
  <si>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</si>
  <si>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</si>
  <si>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</si>
  <si>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</si>
  <si>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</si>
  <si>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</si>
  <si>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</si>
  <si>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</si>
  <si>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</si>
  <si>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</si>
  <si>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</si>
  <si>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</si>
  <si>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</si>
  <si>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</si>
  <si>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</si>
  <si>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</si>
  <si>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</si>
  <si>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</si>
  <si>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</si>
  <si>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</si>
  <si>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</si>
  <si>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</si>
  <si>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</si>
  <si>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</si>
  <si>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</si>
  <si>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</si>
  <si>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</si>
  <si>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</si>
  <si>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</si>
  <si>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</si>
  <si>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</si>
  <si>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</si>
  <si>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</si>
  <si>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</si>
  <si>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</si>
  <si>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</si>
  <si>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</si>
  <si>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</si>
  <si>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</si>
  <si>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</si>
  <si>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</si>
  <si>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</si>
  <si>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</si>
  <si>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</si>
  <si>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</si>
  <si>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</si>
  <si>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</si>
  <si>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</si>
  <si>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</si>
  <si>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</si>
  <si>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</si>
  <si>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</si>
  <si>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</si>
  <si>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</si>
  <si>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</si>
  <si>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</si>
  <si>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</si>
  <si>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</si>
  <si>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</si>
  <si>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</si>
  <si>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</si>
  <si>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</si>
  <si>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</si>
  <si>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</si>
  <si>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</si>
  <si>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</si>
  <si>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</si>
  <si>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</si>
  <si>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</si>
  <si>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</si>
  <si>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</si>
  <si>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</si>
  <si>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</si>
  <si>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</si>
  <si>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</si>
  <si>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</si>
  <si>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</si>
  <si>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</si>
  <si>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</si>
  <si>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</si>
  <si>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</si>
  <si>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</si>
  <si>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</si>
  <si>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</si>
  <si>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</si>
  <si>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</si>
  <si>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</si>
  <si>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</si>
  <si>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</si>
  <si>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</si>
  <si>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</si>
  <si>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</si>
  <si>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</si>
  <si>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</si>
  <si>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</si>
  <si>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</si>
  <si>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</si>
  <si>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</si>
  <si>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</si>
  <si>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</si>
  <si>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</si>
  <si>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</si>
  <si>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</si>
  <si>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</si>
  <si>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</si>
  <si>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</si>
  <si>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</si>
  <si>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</si>
  <si>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</si>
  <si>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</si>
  <si>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</si>
  <si>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</si>
  <si>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</si>
  <si>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</si>
  <si>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</si>
  <si>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</si>
  <si>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</si>
  <si>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</si>
  <si>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</si>
  <si>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</si>
  <si>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</si>
  <si>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</si>
  <si>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</si>
  <si>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</si>
  <si>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</si>
  <si>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</si>
  <si>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</si>
  <si>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</si>
  <si>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</si>
  <si>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</si>
  <si>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</si>
  <si>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</si>
  <si>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</si>
  <si>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</si>
  <si>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</si>
  <si>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</si>
  <si>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</si>
  <si>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</si>
  <si>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</si>
  <si>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</si>
  <si>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</si>
  <si>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</si>
  <si>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</si>
  <si>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</si>
  <si>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</si>
  <si>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</si>
  <si>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</si>
  <si>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</si>
  <si>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</si>
  <si>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</si>
  <si>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</si>
  <si>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</si>
  <si>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</si>
  <si>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</si>
  <si>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</si>
  <si>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</si>
  <si>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</si>
  <si>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</si>
  <si>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</si>
  <si>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</si>
  <si>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</si>
  <si>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</si>
  <si>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</si>
  <si>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</si>
  <si>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</si>
  <si>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</si>
  <si>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</si>
  <si>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</si>
  <si>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</si>
  <si>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</si>
  <si>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</si>
  <si>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</si>
  <si>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</si>
  <si>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</si>
  <si>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</si>
  <si>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</si>
  <si>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</si>
  <si>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</si>
  <si>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</si>
  <si>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</si>
  <si>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</si>
  <si>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</si>
  <si>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</si>
  <si>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</si>
  <si>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</si>
  <si>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</si>
  <si>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</si>
  <si>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</si>
  <si>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</si>
  <si>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</si>
  <si>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</si>
  <si>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</si>
  <si>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</si>
  <si>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</si>
  <si>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</si>
  <si>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</si>
  <si>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</si>
  <si>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</si>
  <si>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</si>
  <si>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</si>
  <si>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</si>
  <si>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</si>
  <si>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</si>
  <si>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</si>
  <si>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</si>
  <si>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</si>
  <si>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</si>
  <si>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</si>
  <si>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</si>
  <si>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</si>
  <si>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</si>
  <si>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</si>
  <si>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</si>
  <si>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</si>
  <si>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</si>
  <si>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</si>
  <si>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</si>
  <si>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</si>
  <si>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</si>
  <si>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</si>
  <si>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</si>
  <si>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</si>
  <si>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</si>
  <si>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</si>
  <si>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</si>
  <si>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</si>
  <si>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</si>
  <si>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</si>
  <si>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</si>
  <si>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</si>
  <si>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</si>
  <si>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</si>
  <si>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</si>
  <si>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</si>
  <si>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</si>
  <si>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</si>
  <si>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</si>
  <si>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</si>
  <si>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</si>
  <si>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</si>
  <si>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</si>
  <si>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</si>
  <si>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</si>
  <si>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</si>
  <si>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</si>
  <si>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</si>
  <si>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</si>
  <si>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</si>
  <si>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</si>
  <si>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</si>
  <si>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</si>
  <si>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</si>
  <si>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</si>
  <si>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</si>
  <si>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</si>
  <si>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</si>
  <si>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</si>
  <si>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</si>
  <si>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</si>
  <si>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</si>
  <si>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</si>
  <si>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</si>
  <si>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</si>
  <si>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</si>
  <si>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</si>
  <si>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</si>
  <si>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</si>
  <si>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</si>
  <si>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</si>
  <si>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</si>
  <si>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</si>
  <si>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</si>
  <si>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</si>
  <si>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</si>
  <si>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</si>
  <si>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</si>
  <si>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</si>
  <si>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</si>
  <si>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</si>
  <si>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</si>
  <si>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</si>
  <si>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</si>
  <si>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</si>
  <si>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</si>
  <si>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</si>
  <si>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</si>
  <si>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</si>
  <si>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</si>
  <si>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</si>
  <si>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</si>
  <si>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</si>
  <si>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</si>
  <si>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</si>
  <si>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</si>
  <si>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</si>
  <si>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</si>
  <si>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</si>
  <si>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</si>
  <si>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</si>
  <si>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</si>
  <si>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</si>
  <si>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</si>
  <si>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</si>
  <si>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</si>
  <si>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</si>
  <si>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</si>
  <si>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</si>
  <si>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</si>
  <si>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</si>
  <si>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</si>
  <si>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</si>
  <si>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</si>
  <si>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</si>
  <si>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</si>
  <si>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</si>
  <si>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</si>
  <si>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</si>
  <si>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</si>
  <si>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</si>
  <si>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</si>
  <si>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</si>
  <si>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</si>
  <si>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</si>
  <si>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</si>
  <si>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</si>
  <si>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</si>
  <si>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</si>
  <si>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</si>
  <si>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</si>
  <si>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</si>
  <si>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</si>
  <si>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</si>
  <si>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</si>
  <si>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</si>
  <si>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</si>
  <si>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</si>
  <si>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</si>
  <si>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</si>
  <si>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</si>
  <si>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</si>
  <si>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</si>
  <si>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</si>
  <si>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</si>
  <si>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</si>
  <si>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</si>
  <si>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</si>
  <si>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</si>
  <si>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</si>
  <si>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</si>
  <si>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</si>
  <si>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</si>
  <si>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</si>
  <si>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</si>
  <si>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</si>
  <si>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</si>
  <si>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</si>
  <si>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</si>
  <si>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</si>
  <si>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</si>
  <si>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</si>
  <si>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</si>
  <si>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</si>
  <si>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</si>
  <si>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</si>
  <si>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</si>
  <si>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</si>
  <si>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</si>
  <si>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</si>
  <si>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</si>
  <si>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</si>
  <si>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</si>
  <si>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</si>
  <si>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</si>
  <si>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</si>
  <si>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</si>
  <si>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</si>
  <si>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</si>
  <si>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</si>
  <si>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</si>
  <si>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</si>
  <si>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</si>
  <si>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</si>
  <si>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</si>
  <si>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</si>
  <si>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</si>
  <si>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</si>
  <si>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</si>
  <si>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</si>
  <si>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</si>
  <si>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</si>
  <si>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</si>
  <si>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</si>
  <si>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</si>
  <si>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</si>
  <si>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</si>
  <si>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</si>
  <si>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</si>
  <si>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</si>
  <si>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</si>
  <si>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</si>
  <si>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</si>
  <si>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</si>
  <si>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</si>
  <si>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</si>
  <si>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</si>
  <si>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</si>
  <si>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</si>
  <si>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</si>
  <si>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</si>
  <si>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</si>
  <si>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</si>
  <si>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</si>
  <si>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</si>
  <si>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</si>
  <si>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</si>
  <si>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</si>
  <si>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</si>
  <si>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</si>
  <si>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</si>
  <si>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</si>
  <si>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</si>
  <si>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</si>
  <si>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</si>
  <si>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</si>
  <si>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</si>
  <si>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</si>
  <si>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</si>
  <si>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</si>
  <si>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</si>
  <si>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</si>
  <si>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</si>
  <si>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</si>
  <si>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</si>
  <si>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</si>
  <si>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</si>
  <si>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</si>
  <si>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</si>
  <si>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</si>
  <si>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</si>
  <si>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</si>
  <si>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</si>
  <si>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</si>
  <si>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</si>
  <si>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</si>
  <si>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</si>
  <si>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</si>
  <si>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</si>
  <si>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</si>
  <si>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</si>
  <si>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</si>
  <si>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</si>
  <si>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</si>
  <si>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</si>
  <si>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</si>
  <si>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</si>
  <si>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</si>
  <si>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</si>
  <si>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</si>
  <si>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</si>
  <si>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</si>
  <si>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</si>
  <si>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</si>
  <si>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</si>
  <si>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</si>
  <si>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</si>
  <si>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</si>
  <si>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</si>
  <si>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</si>
  <si>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</si>
  <si>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</si>
  <si>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</si>
  <si>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</si>
  <si>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</si>
  <si>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</si>
  <si>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</si>
  <si>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</si>
  <si>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</si>
  <si>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</si>
  <si>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</si>
  <si>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</si>
  <si>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</si>
  <si>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</si>
  <si>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</si>
  <si>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</si>
  <si>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</si>
  <si>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</si>
  <si>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</si>
  <si>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</si>
  <si>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</si>
  <si>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</si>
  <si>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</si>
  <si>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</si>
  <si>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</si>
  <si>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</si>
  <si>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</si>
  <si>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</si>
  <si>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</si>
  <si>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</si>
  <si>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</si>
  <si>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</si>
  <si>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</si>
  <si>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</si>
  <si>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</si>
  <si>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</si>
  <si>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</si>
  <si>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</si>
  <si>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</si>
  <si>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</si>
  <si>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</si>
  <si>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</si>
  <si>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</si>
  <si>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</si>
  <si>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</si>
  <si>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</si>
  <si>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</si>
  <si>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</si>
  <si>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</si>
  <si>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</si>
  <si>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</si>
  <si>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</si>
  <si>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</si>
  <si>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</si>
  <si>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</si>
  <si>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</si>
  <si>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</si>
  <si>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</si>
  <si>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</si>
  <si>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</si>
  <si>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</si>
  <si>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</si>
  <si>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</si>
  <si>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</si>
  <si>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</si>
  <si>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</si>
  <si>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</si>
  <si>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</si>
  <si>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</si>
  <si>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</si>
  <si>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</si>
  <si>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</si>
  <si>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</si>
  <si>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</si>
  <si>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</si>
  <si>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</si>
  <si>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</si>
  <si>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</si>
  <si>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</si>
  <si>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</si>
  <si>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</si>
  <si>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</si>
  <si>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</si>
  <si>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</si>
  <si>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</si>
  <si>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</si>
  <si>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</si>
  <si>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</si>
  <si>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</si>
  <si>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</si>
  <si>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</si>
  <si>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</si>
  <si>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</si>
  <si>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</si>
  <si>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</si>
  <si>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</si>
  <si>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</si>
  <si>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</si>
  <si>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</si>
  <si>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</si>
  <si>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</si>
  <si>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</si>
  <si>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</si>
  <si>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</si>
  <si>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</si>
  <si>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</si>
  <si>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</si>
  <si>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</si>
  <si>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</si>
  <si>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</si>
  <si>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</si>
  <si>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</si>
  <si>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</si>
  <si>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</si>
  <si>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</si>
  <si>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</si>
  <si>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</si>
  <si>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</si>
  <si>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</si>
  <si>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</si>
  <si>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</si>
  <si>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</si>
  <si>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</si>
  <si>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</si>
  <si>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</si>
  <si>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</si>
  <si>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</si>
  <si>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</si>
  <si>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</si>
  <si>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</si>
  <si>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</si>
  <si>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</si>
  <si>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</si>
  <si>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</si>
  <si>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</si>
  <si>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</si>
  <si>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</si>
  <si>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</si>
  <si>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</si>
  <si>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</si>
  <si>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</si>
  <si>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</si>
  <si>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</si>
  <si>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</si>
  <si>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</si>
  <si>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</si>
  <si>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</si>
  <si>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</si>
  <si>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</si>
  <si>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</si>
  <si>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</si>
  <si>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</si>
  <si>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</si>
  <si>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</si>
  <si>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</si>
  <si>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</si>
  <si>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</si>
  <si>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</si>
  <si>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</si>
  <si>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</si>
  <si>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</si>
  <si>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</si>
  <si>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</si>
  <si>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</si>
  <si>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</si>
  <si>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</si>
  <si>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</si>
  <si>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</si>
  <si>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</si>
  <si>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</si>
  <si>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</si>
  <si>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</si>
  <si>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</si>
  <si>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</si>
  <si>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</si>
  <si>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</si>
  <si>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</si>
  <si>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</si>
  <si>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</si>
  <si>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</si>
  <si>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</si>
  <si>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</si>
  <si>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</si>
  <si>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</si>
  <si>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</si>
  <si>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</si>
  <si>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</si>
  <si>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</si>
  <si>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</si>
  <si>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</si>
  <si>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</si>
  <si>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</si>
  <si>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</si>
  <si>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</si>
  <si>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</si>
  <si>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</si>
  <si>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</si>
  <si>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</si>
  <si>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</si>
  <si>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</si>
  <si>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</si>
  <si>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</si>
  <si>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</si>
  <si>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</si>
  <si>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</si>
  <si>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</si>
  <si>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</si>
  <si>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</si>
  <si>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</si>
  <si>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</si>
  <si>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</si>
  <si>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</si>
  <si>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</si>
  <si>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</si>
  <si>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</si>
  <si>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</si>
  <si>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</si>
  <si>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</si>
  <si>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</si>
  <si>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</si>
  <si>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</si>
  <si>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</si>
  <si>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</si>
  <si>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</si>
  <si>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</si>
  <si>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</si>
  <si>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</si>
  <si>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</si>
  <si>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</si>
  <si>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</si>
  <si>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</si>
  <si>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</si>
  <si>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</si>
  <si>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</si>
  <si>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</si>
  <si>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</si>
  <si>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</si>
  <si>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</si>
  <si>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</si>
  <si>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</si>
  <si>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</si>
  <si>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</si>
  <si>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</si>
  <si>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</si>
  <si>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</si>
  <si>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</si>
  <si>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</si>
  <si>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</si>
  <si>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</si>
  <si>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</si>
  <si>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</si>
  <si>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</si>
  <si>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</si>
  <si>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</si>
  <si>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</si>
  <si>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</si>
  <si>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</si>
  <si>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</si>
  <si>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</si>
  <si>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</si>
  <si>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</si>
  <si>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</si>
  <si>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</si>
  <si>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</si>
  <si>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</si>
  <si>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</si>
  <si>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</si>
  <si>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</si>
  <si>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</si>
  <si>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</si>
  <si>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</si>
  <si>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</si>
  <si>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</si>
  <si>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</si>
  <si>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</si>
  <si>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</si>
  <si>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</si>
  <si>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</si>
  <si>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</si>
  <si>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</si>
  <si>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</si>
  <si>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</si>
  <si>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</si>
  <si>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</si>
  <si>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</si>
  <si>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</si>
  <si>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</si>
  <si>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</si>
  <si>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</si>
  <si>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</si>
  <si>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</si>
  <si>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</si>
  <si>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</si>
  <si>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</si>
  <si>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</si>
  <si>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</si>
  <si>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</si>
  <si>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</si>
  <si>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</si>
  <si>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</si>
  <si>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</si>
  <si>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</si>
  <si>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</si>
  <si>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</si>
  <si>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</si>
  <si>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</si>
  <si>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</si>
  <si>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</si>
  <si>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</si>
  <si>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</si>
  <si>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</si>
  <si>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</si>
  <si>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</si>
  <si>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</si>
  <si>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</si>
  <si>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</si>
  <si>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</si>
  <si>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</si>
  <si>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</si>
  <si>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</si>
  <si>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</si>
  <si>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</si>
  <si>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</si>
  <si>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</si>
  <si>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</si>
  <si>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</si>
  <si>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</si>
  <si>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</si>
  <si>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</si>
  <si>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</si>
  <si>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</si>
  <si>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</si>
  <si>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</si>
  <si>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</si>
  <si>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</si>
  <si>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</si>
  <si>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</si>
  <si>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</si>
  <si>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</si>
  <si>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</si>
  <si>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</si>
  <si>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</si>
  <si>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</si>
  <si>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</si>
  <si>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</si>
  <si>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</si>
  <si>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</si>
  <si>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</si>
  <si>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</si>
  <si>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</si>
  <si>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</si>
  <si>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</si>
  <si>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</si>
  <si>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</si>
  <si>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</si>
  <si>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</si>
  <si>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</si>
  <si>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</si>
  <si>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</si>
  <si>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</si>
  <si>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</si>
  <si>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</si>
  <si>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</si>
  <si>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</si>
  <si>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</si>
  <si>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</si>
  <si>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</si>
  <si>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</si>
  <si>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</si>
  <si>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</si>
  <si>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</si>
  <si>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</si>
  <si>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</si>
  <si>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</si>
  <si>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</si>
  <si>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</si>
  <si>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</si>
  <si>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</si>
  <si>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</si>
  <si>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</si>
  <si>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</si>
  <si>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</si>
  <si>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</si>
  <si>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</si>
  <si>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</si>
  <si>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</si>
  <si>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</si>
  <si>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</si>
  <si>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</si>
  <si>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</si>
  <si>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</si>
  <si>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</si>
  <si>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</si>
  <si>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</si>
  <si>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</si>
  <si>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</si>
  <si>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</si>
  <si>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</si>
  <si>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</si>
  <si>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</si>
  <si>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</si>
  <si>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</si>
  <si>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</si>
  <si>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</si>
  <si>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</si>
  <si>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</si>
  <si>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</si>
  <si>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</si>
  <si>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</si>
  <si>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</si>
  <si>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</si>
  <si>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</si>
  <si>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</si>
  <si>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</si>
  <si>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</si>
  <si>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</si>
  <si>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</si>
  <si>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</si>
  <si>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</si>
  <si>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</si>
  <si>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</si>
  <si>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</si>
  <si>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</si>
  <si>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</si>
  <si>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</si>
  <si>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</si>
  <si>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</si>
  <si>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</si>
  <si>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</si>
  <si>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</si>
  <si>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</si>
  <si>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</si>
  <si>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</si>
  <si>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</si>
  <si>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</si>
  <si>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</si>
  <si>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</si>
  <si>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</si>
  <si>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</si>
  <si>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</si>
  <si>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</si>
  <si>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</si>
  <si>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</si>
  <si>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</si>
  <si>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</si>
  <si>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</si>
  <si>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</si>
  <si>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</si>
  <si>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</si>
  <si>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</si>
  <si>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</si>
  <si>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</si>
  <si>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</si>
  <si>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</si>
  <si>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</si>
  <si>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</si>
  <si>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</si>
  <si>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</si>
  <si>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</si>
  <si>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</si>
  <si>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</si>
  <si>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</si>
  <si>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</si>
  <si>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</si>
  <si>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</si>
  <si>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</si>
  <si>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</si>
  <si>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</si>
  <si>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</si>
  <si>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</si>
  <si>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</si>
  <si>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</si>
  <si>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</si>
  <si>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</si>
  <si>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</si>
  <si>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</si>
  <si>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</si>
  <si>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</si>
  <si>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</si>
  <si>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</si>
  <si>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</si>
  <si>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</si>
  <si>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</si>
  <si>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</si>
  <si>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</si>
  <si>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</si>
  <si>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</si>
  <si>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</si>
  <si>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</si>
  <si>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</si>
  <si>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</si>
  <si>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</si>
  <si>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</si>
  <si>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</si>
  <si>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</si>
  <si>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</si>
  <si>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</si>
  <si>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</si>
  <si>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</si>
  <si>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</si>
  <si>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</si>
  <si>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</si>
  <si>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</si>
  <si>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</si>
  <si>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</si>
  <si>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</si>
  <si>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</si>
  <si>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</si>
  <si>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</si>
  <si>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</si>
  <si>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</si>
  <si>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</si>
  <si>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</si>
  <si>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</si>
  <si>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</si>
  <si>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</si>
  <si>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</si>
  <si>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</si>
  <si>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</si>
  <si>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</si>
  <si>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</si>
  <si>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</si>
  <si>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</si>
  <si>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</si>
  <si>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</si>
  <si>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</si>
  <si>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</si>
  <si>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</si>
  <si>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</si>
  <si>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</si>
  <si>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</si>
  <si>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</si>
  <si>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</si>
  <si>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</si>
  <si>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</si>
  <si>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</si>
  <si>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</si>
  <si>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</si>
  <si>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</si>
  <si>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</si>
  <si>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</si>
  <si>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</si>
  <si>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</si>
  <si>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</si>
  <si>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</si>
  <si>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</si>
  <si>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</si>
  <si>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</si>
  <si>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</si>
  <si>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</si>
  <si>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</si>
  <si>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</si>
  <si>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</si>
  <si>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</si>
  <si>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</si>
  <si>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</si>
  <si>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</si>
  <si>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</si>
  <si>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</si>
  <si>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</si>
  <si>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</si>
  <si>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</si>
  <si>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</si>
  <si>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</si>
  <si>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</si>
  <si>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</si>
  <si>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</si>
  <si>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</si>
  <si>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</si>
  <si>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</si>
  <si>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</si>
  <si>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</si>
  <si>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</si>
  <si>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</si>
  <si>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</si>
  <si>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</si>
  <si>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</si>
  <si>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</si>
  <si>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</si>
  <si>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</si>
  <si>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</si>
  <si>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</si>
  <si>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</si>
  <si>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</si>
  <si>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</si>
  <si>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</si>
  <si>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</si>
  <si>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</si>
  <si>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</si>
  <si>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</si>
  <si>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</si>
  <si>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</si>
  <si>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</si>
  <si>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</si>
  <si>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</si>
  <si>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</si>
  <si>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WILL</t>
  </si>
  <si>
    <t>808 ADAMS ST</t>
  </si>
  <si>
    <t xml:space="preserve">LOCKPORT  </t>
  </si>
  <si>
    <t>DONNA GRAY</t>
  </si>
  <si>
    <t>DGRAY@D91.NET</t>
  </si>
  <si>
    <t>(815)834-4330</t>
  </si>
  <si>
    <t>JILL E GASSENSMITH</t>
  </si>
  <si>
    <t>JILLE@GASSENSMITH.COM</t>
  </si>
  <si>
    <t>X</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</si>
  <si>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</si>
  <si>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</si>
  <si>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</si>
  <si>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</si>
  <si>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</si>
  <si>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</si>
  <si>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</si>
  <si>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</si>
  <si>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</si>
  <si>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</si>
  <si>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</si>
  <si>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</si>
  <si>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</si>
  <si>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</si>
  <si>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</si>
  <si>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</si>
  <si>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</si>
  <si>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</si>
  <si>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</si>
  <si>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</si>
  <si>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</si>
  <si>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</si>
  <si>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</si>
  <si>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</si>
  <si>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</si>
  <si>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</si>
  <si>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</si>
  <si>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</si>
  <si>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</si>
  <si>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</si>
  <si>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</si>
  <si>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</si>
  <si>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</si>
  <si>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</si>
  <si>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</si>
  <si>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</si>
  <si>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</si>
  <si>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</si>
  <si>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DEBT CERTIFICATES SERIES 2008</t>
  </si>
  <si>
    <t>GO SCHOOL BOND SERIES 2014</t>
  </si>
  <si>
    <t>GO SCHOOL BOND SERIES 2017A</t>
  </si>
  <si>
    <t>GO SCHOOL REFUNDING SCHOOL SERIES 2017B</t>
  </si>
  <si>
    <t>Curriculum planning D205-92-89-90-88-88a-33C</t>
  </si>
  <si>
    <t>lincolnway area affiliation</t>
  </si>
  <si>
    <t>CLIC</t>
  </si>
  <si>
    <t>LASEC</t>
  </si>
  <si>
    <t>LASEC and D91 share facility space</t>
  </si>
  <si>
    <t>LASEC and D205</t>
  </si>
  <si>
    <t>Ed Food Services Supplies</t>
  </si>
  <si>
    <t>LTHS205</t>
  </si>
  <si>
    <t>LEAF</t>
  </si>
  <si>
    <t>Ed support servicsPurchased services</t>
  </si>
  <si>
    <t>Lockport 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</si>
</sst>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40EDF035-4316-449F-8968-ED35C6A3269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7</xdr:row>
          <xdr:rowOff>161059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9">
        <f>+'AFR20'!E4</f>
        <v>44119</v>
      </c>
      <c r="C1" s="2189"/>
      <c r="D1" s="2190"/>
      <c r="I1" s="2148" t="s">
        <v>402</v>
      </c>
      <c r="J1" s="2149"/>
      <c r="K1" s="2149"/>
      <c r="L1" s="2149"/>
      <c r="M1" s="2149"/>
      <c r="N1" s="2149"/>
      <c r="O1" s="2149"/>
      <c r="P1" s="2149"/>
      <c r="Q1" s="2149"/>
      <c r="R1" s="2149"/>
      <c r="S1" s="2149"/>
    </row>
    <row r="2" spans="1:32" ht="12" customHeight="1" x14ac:dyDescent="0.2">
      <c r="A2" s="1889" t="str">
        <f>"Due to ISBE on "</f>
        <v xml:space="preserve">Due to ISBE on </v>
      </c>
      <c r="B2" s="2191">
        <f>+'AFR20'!F4</f>
        <v>44151</v>
      </c>
      <c r="C2" s="2191"/>
      <c r="D2" s="2192"/>
      <c r="I2" s="2150" t="s">
        <v>2006</v>
      </c>
      <c r="J2" s="2149"/>
      <c r="K2" s="2149"/>
      <c r="L2" s="2149"/>
      <c r="M2" s="2149"/>
      <c r="N2" s="2149"/>
      <c r="O2" s="2149"/>
      <c r="P2" s="2149"/>
      <c r="Q2" s="2149"/>
      <c r="R2" s="2149"/>
      <c r="S2" s="2149"/>
    </row>
    <row r="3" spans="1:32" ht="12" customHeight="1" x14ac:dyDescent="0.2">
      <c r="A3" s="1892" t="str">
        <f>"SD/JA"&amp;MID('AFR20'!E2,3,2)</f>
        <v>SD/JA20</v>
      </c>
      <c r="B3" s="151"/>
      <c r="C3" s="151"/>
      <c r="D3" s="152"/>
      <c r="I3" s="2150" t="s">
        <v>52</v>
      </c>
      <c r="J3" s="2149"/>
      <c r="K3" s="2149"/>
      <c r="L3" s="2149"/>
      <c r="M3" s="2149"/>
      <c r="N3" s="2149"/>
      <c r="O3" s="2149"/>
      <c r="P3" s="2149"/>
      <c r="Q3" s="2149"/>
      <c r="R3" s="2149"/>
      <c r="S3" s="2149"/>
    </row>
    <row r="4" spans="1:32" ht="12" customHeight="1" x14ac:dyDescent="0.2">
      <c r="A4" s="37"/>
      <c r="I4" s="2150" t="s">
        <v>521</v>
      </c>
      <c r="J4" s="2149"/>
      <c r="K4" s="2149"/>
      <c r="L4" s="2149"/>
      <c r="M4" s="2149"/>
      <c r="N4" s="2149"/>
      <c r="O4" s="2149"/>
      <c r="P4" s="2149"/>
      <c r="Q4" s="2149"/>
      <c r="R4" s="2149"/>
      <c r="S4" s="2149"/>
    </row>
    <row r="5" spans="1:32" ht="14.1" customHeight="1" x14ac:dyDescent="0.2">
      <c r="B5" s="101" t="s">
        <v>2036</v>
      </c>
      <c r="C5" s="26" t="s">
        <v>904</v>
      </c>
      <c r="D5" s="81"/>
      <c r="E5" s="81"/>
      <c r="H5" s="38"/>
      <c r="I5" s="2158" t="s">
        <v>675</v>
      </c>
      <c r="J5" s="2157"/>
      <c r="K5" s="2157"/>
      <c r="L5" s="2157"/>
      <c r="M5" s="2157"/>
      <c r="N5" s="2157"/>
      <c r="O5" s="2157"/>
      <c r="P5" s="2157"/>
      <c r="Q5" s="2157"/>
      <c r="R5" s="2157"/>
      <c r="S5" s="2157"/>
      <c r="AF5" s="1885"/>
    </row>
    <row r="6" spans="1:32" ht="14.1" customHeight="1" x14ac:dyDescent="0.2">
      <c r="B6" s="101"/>
      <c r="C6" s="26" t="s">
        <v>905</v>
      </c>
      <c r="D6" s="81"/>
      <c r="E6" s="81"/>
      <c r="I6" s="2156" t="s">
        <v>877</v>
      </c>
      <c r="J6" s="2157"/>
      <c r="K6" s="2157"/>
      <c r="L6" s="2157"/>
      <c r="M6" s="2157"/>
      <c r="N6" s="2157"/>
      <c r="O6" s="2157"/>
      <c r="P6" s="2157"/>
      <c r="Q6" s="2157"/>
      <c r="R6" s="2157"/>
      <c r="S6" s="2157"/>
    </row>
    <row r="7" spans="1:32" ht="12.2" customHeight="1" x14ac:dyDescent="0.2">
      <c r="I7" s="2151" t="str">
        <f>"June 30, "&amp;'AFR20'!E2</f>
        <v>June 30, 2020</v>
      </c>
      <c r="J7" s="2152"/>
      <c r="K7" s="2152"/>
      <c r="L7" s="2152"/>
      <c r="M7" s="2152"/>
      <c r="N7" s="2152"/>
      <c r="O7" s="2152"/>
      <c r="P7" s="2152"/>
      <c r="Q7" s="2152"/>
      <c r="R7" s="2152"/>
      <c r="S7" s="21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3" t="s">
        <v>669</v>
      </c>
      <c r="J9" s="2154"/>
      <c r="K9" s="2154"/>
      <c r="L9" s="2154"/>
      <c r="M9" s="2154"/>
      <c r="N9" s="2154"/>
      <c r="O9" s="2154"/>
      <c r="P9" s="2154"/>
      <c r="Q9" s="2154"/>
      <c r="R9" s="2154"/>
      <c r="S9" s="2155"/>
      <c r="T9" s="2206" t="s">
        <v>530</v>
      </c>
      <c r="U9" s="2207"/>
      <c r="V9" s="2207"/>
      <c r="W9" s="2207"/>
      <c r="X9" s="2207"/>
      <c r="Y9" s="2207"/>
      <c r="Z9" s="2207"/>
      <c r="AA9" s="2208"/>
    </row>
    <row r="10" spans="1:32" ht="13.5" customHeight="1" x14ac:dyDescent="0.2">
      <c r="A10" s="2213" t="s">
        <v>670</v>
      </c>
      <c r="B10" s="2214"/>
      <c r="C10" s="2214"/>
      <c r="D10" s="2214"/>
      <c r="E10" s="2214"/>
      <c r="F10" s="2214"/>
      <c r="G10" s="2214"/>
      <c r="H10" s="2215"/>
      <c r="I10" s="29"/>
      <c r="J10" s="30"/>
      <c r="K10" s="28"/>
      <c r="R10" s="30"/>
      <c r="S10" s="30"/>
      <c r="T10" s="2209"/>
      <c r="U10" s="2157"/>
      <c r="V10" s="2157"/>
      <c r="W10" s="2157"/>
      <c r="X10" s="2157"/>
      <c r="Y10" s="2157"/>
      <c r="Z10" s="2157"/>
      <c r="AA10" s="2163"/>
    </row>
    <row r="11" spans="1:32" ht="14.25" customHeight="1" x14ac:dyDescent="0.2">
      <c r="A11" s="2216" t="s">
        <v>949</v>
      </c>
      <c r="B11" s="2217"/>
      <c r="C11" s="2217"/>
      <c r="D11" s="2217"/>
      <c r="E11" s="2217"/>
      <c r="F11" s="2217"/>
      <c r="G11" s="2217"/>
      <c r="H11" s="2218"/>
      <c r="I11" s="27"/>
      <c r="J11" s="71"/>
      <c r="K11" s="27"/>
      <c r="O11" s="144" t="s">
        <v>2074</v>
      </c>
      <c r="P11" s="97" t="s">
        <v>199</v>
      </c>
      <c r="Q11" s="30"/>
      <c r="R11" s="28"/>
      <c r="S11" s="27"/>
      <c r="T11" s="2210"/>
      <c r="U11" s="2211"/>
      <c r="V11" s="2211"/>
      <c r="W11" s="2211"/>
      <c r="X11" s="2211"/>
      <c r="Y11" s="2211"/>
      <c r="Z11" s="2211"/>
      <c r="AA11" s="221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9">
        <v>56099091002</v>
      </c>
      <c r="B13" s="2170"/>
      <c r="C13" s="2170"/>
      <c r="D13" s="2170"/>
      <c r="E13" s="2170"/>
      <c r="F13" s="2170"/>
      <c r="G13" s="2170"/>
      <c r="H13" s="2171"/>
      <c r="I13" s="31"/>
      <c r="J13" s="30"/>
      <c r="K13" s="28"/>
      <c r="L13" s="30"/>
      <c r="M13" s="30"/>
      <c r="N13" s="30"/>
      <c r="O13" s="30"/>
      <c r="P13" s="30"/>
      <c r="Q13" s="30"/>
      <c r="R13" s="30"/>
      <c r="S13" s="30"/>
      <c r="T13" s="2175" t="s">
        <v>2021</v>
      </c>
      <c r="U13" s="2176"/>
      <c r="V13" s="2176"/>
      <c r="W13" s="2176"/>
      <c r="X13" s="2176"/>
      <c r="Y13" s="2177"/>
      <c r="Z13" s="2177"/>
      <c r="AA13" s="217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2" t="s">
        <v>2028</v>
      </c>
      <c r="B15" s="2173"/>
      <c r="C15" s="2173"/>
      <c r="D15" s="2173"/>
      <c r="E15" s="2173"/>
      <c r="F15" s="2173"/>
      <c r="G15" s="2173"/>
      <c r="H15" s="2174"/>
      <c r="T15" s="2179" t="s">
        <v>2034</v>
      </c>
      <c r="U15" s="2136"/>
      <c r="V15" s="2136"/>
      <c r="W15" s="2136"/>
      <c r="X15" s="2136"/>
      <c r="Y15" s="2180"/>
      <c r="Z15" s="2180"/>
      <c r="AA15" s="218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2" t="s">
        <v>2089</v>
      </c>
      <c r="B17" s="2143"/>
      <c r="C17" s="2143"/>
      <c r="D17" s="2143"/>
      <c r="E17" s="2143"/>
      <c r="F17" s="2143"/>
      <c r="G17" s="2143"/>
      <c r="H17" s="2168"/>
      <c r="T17" s="2186" t="s">
        <v>2022</v>
      </c>
      <c r="U17" s="2187"/>
      <c r="V17" s="2187"/>
      <c r="W17" s="2187"/>
      <c r="X17" s="2187"/>
      <c r="Y17" s="2187"/>
      <c r="Z17" s="2187"/>
      <c r="AA17" s="2188"/>
    </row>
    <row r="18" spans="1:27" ht="13.5" customHeight="1" x14ac:dyDescent="0.2">
      <c r="A18" s="82" t="s">
        <v>527</v>
      </c>
      <c r="B18" s="73"/>
      <c r="C18" s="69"/>
      <c r="D18" s="73"/>
      <c r="E18" s="73"/>
      <c r="F18" s="73"/>
      <c r="G18" s="73"/>
      <c r="H18" s="53"/>
      <c r="I18" s="216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172" t="s">
        <v>2029</v>
      </c>
      <c r="B19" s="2128"/>
      <c r="C19" s="2128"/>
      <c r="D19" s="2128"/>
      <c r="E19" s="2128"/>
      <c r="F19" s="2128"/>
      <c r="G19" s="2128"/>
      <c r="H19" s="2108"/>
      <c r="I19" s="30"/>
      <c r="J19" s="96"/>
      <c r="K19" s="40"/>
      <c r="L19" s="38"/>
      <c r="M19" s="109" t="s">
        <v>312</v>
      </c>
      <c r="P19" s="27"/>
      <c r="Q19" s="27"/>
      <c r="R19" s="27"/>
      <c r="S19" s="31"/>
      <c r="T19" s="2172" t="s">
        <v>2023</v>
      </c>
      <c r="U19" s="2107"/>
      <c r="V19" s="2107"/>
      <c r="W19" s="2108"/>
      <c r="X19" s="2184" t="s">
        <v>2024</v>
      </c>
      <c r="Y19" s="2185"/>
      <c r="Z19" s="2182">
        <v>60435</v>
      </c>
      <c r="AA19" s="218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6" t="s">
        <v>2030</v>
      </c>
      <c r="B21" s="2107"/>
      <c r="C21" s="2107"/>
      <c r="D21" s="2107"/>
      <c r="E21" s="2107"/>
      <c r="F21" s="2107"/>
      <c r="G21" s="2107"/>
      <c r="H21" s="2108"/>
      <c r="I21" s="2162" t="s">
        <v>673</v>
      </c>
      <c r="J21" s="2157"/>
      <c r="K21" s="2157"/>
      <c r="L21" s="2157"/>
      <c r="M21" s="2157"/>
      <c r="N21" s="2157"/>
      <c r="O21" s="2157"/>
      <c r="P21" s="2157"/>
      <c r="Q21" s="2157"/>
      <c r="R21" s="2157"/>
      <c r="S21" s="2163"/>
      <c r="T21" s="2197" t="s">
        <v>2025</v>
      </c>
      <c r="U21" s="2198"/>
      <c r="V21" s="2198"/>
      <c r="W21" s="2198"/>
      <c r="X21" s="2203" t="s">
        <v>2026</v>
      </c>
      <c r="Y21" s="2204"/>
      <c r="Z21" s="2204"/>
      <c r="AA21" s="2205"/>
    </row>
    <row r="22" spans="1:27" ht="13.5" customHeight="1" x14ac:dyDescent="0.2">
      <c r="A22" s="84" t="s">
        <v>528</v>
      </c>
      <c r="B22" s="56"/>
      <c r="C22" s="56"/>
      <c r="D22" s="56"/>
      <c r="E22" s="56"/>
      <c r="F22" s="56"/>
      <c r="G22" s="56"/>
      <c r="H22" s="57"/>
      <c r="I22" s="2164" t="s">
        <v>1415</v>
      </c>
      <c r="J22" s="2165"/>
      <c r="K22" s="2165"/>
      <c r="L22" s="2165"/>
      <c r="M22" s="2165"/>
      <c r="N22" s="2165"/>
      <c r="O22" s="2165"/>
      <c r="P22" s="2165"/>
      <c r="Q22" s="2165"/>
      <c r="R22" s="2165"/>
      <c r="S22" s="2166"/>
      <c r="T22" s="82" t="s">
        <v>1502</v>
      </c>
      <c r="U22" s="48"/>
      <c r="V22" s="69"/>
      <c r="W22" s="48"/>
      <c r="X22" s="155" t="s">
        <v>1309</v>
      </c>
      <c r="Z22" s="43"/>
      <c r="AA22" s="44"/>
    </row>
    <row r="23" spans="1:27" ht="13.5" customHeight="1" x14ac:dyDescent="0.2">
      <c r="A23" s="2159"/>
      <c r="B23" s="2160"/>
      <c r="C23" s="2160"/>
      <c r="D23" s="2160"/>
      <c r="E23" s="2160"/>
      <c r="F23" s="2160"/>
      <c r="G23" s="2160"/>
      <c r="H23" s="2161"/>
      <c r="T23" s="2142" t="s">
        <v>2027</v>
      </c>
      <c r="U23" s="2196"/>
      <c r="V23" s="2196"/>
      <c r="W23" s="2196"/>
      <c r="X23" s="2200">
        <v>44530</v>
      </c>
      <c r="Y23" s="2201"/>
      <c r="Z23" s="2201"/>
      <c r="AA23" s="2202"/>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2019-2020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106">
        <v>60441</v>
      </c>
      <c r="B25" s="2107"/>
      <c r="C25" s="2107"/>
      <c r="D25" s="2107"/>
      <c r="E25" s="2107"/>
      <c r="F25" s="2107"/>
      <c r="G25" s="2107"/>
      <c r="H25" s="2108"/>
      <c r="I25" s="110"/>
      <c r="J25" s="2131"/>
      <c r="K25" s="2131"/>
      <c r="L25" s="2131"/>
      <c r="M25" s="2131"/>
      <c r="N25" s="2131"/>
      <c r="O25" s="2131"/>
      <c r="P25" s="2131"/>
      <c r="Q25" s="2131"/>
      <c r="R25" s="2131"/>
      <c r="S25" s="2132"/>
      <c r="T25" s="2193" t="s">
        <v>2035</v>
      </c>
      <c r="U25" s="2194"/>
      <c r="V25" s="2194"/>
      <c r="W25" s="2194"/>
      <c r="X25" s="2194"/>
      <c r="Y25" s="2194"/>
      <c r="Z25" s="2194"/>
      <c r="AA25" s="21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7" t="s">
        <v>1497</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2074</v>
      </c>
      <c r="M29" s="40" t="s">
        <v>99</v>
      </c>
      <c r="N29" s="32" t="s">
        <v>1509</v>
      </c>
      <c r="O29" s="32"/>
      <c r="P29" s="32"/>
      <c r="Q29" s="32"/>
      <c r="R29" s="32"/>
      <c r="S29" s="120"/>
      <c r="T29" s="6"/>
      <c r="U29" s="6"/>
      <c r="V29" s="6"/>
      <c r="W29" s="6"/>
      <c r="X29" s="6"/>
      <c r="Y29" s="6"/>
      <c r="Z29" s="6"/>
      <c r="AA29" s="129"/>
    </row>
    <row r="30" spans="1:27" ht="13.5" customHeight="1" x14ac:dyDescent="0.2">
      <c r="A30" s="149"/>
      <c r="B30" s="133" t="s">
        <v>2074</v>
      </c>
      <c r="C30" s="121" t="s">
        <v>1156</v>
      </c>
      <c r="D30" s="28"/>
      <c r="E30" s="28"/>
      <c r="F30" s="136"/>
      <c r="G30" s="111"/>
      <c r="H30" s="111"/>
      <c r="I30" s="51"/>
      <c r="J30" s="99"/>
      <c r="K30" s="28" t="s">
        <v>572</v>
      </c>
      <c r="L30" s="144" t="s">
        <v>2074</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2074</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8"/>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2" t="s">
        <v>2031</v>
      </c>
      <c r="B38" s="2143"/>
      <c r="C38" s="2143"/>
      <c r="D38" s="2143"/>
      <c r="E38" s="2143"/>
      <c r="F38" s="2107"/>
      <c r="G38" s="2107"/>
      <c r="H38" s="2108"/>
      <c r="I38" s="2135"/>
      <c r="J38" s="2136"/>
      <c r="K38" s="2136"/>
      <c r="L38" s="2136"/>
      <c r="M38" s="2136"/>
      <c r="N38" s="2136"/>
      <c r="O38" s="2136"/>
      <c r="P38" s="2137"/>
      <c r="Q38" s="2137"/>
      <c r="R38" s="2137"/>
      <c r="S38" s="2138"/>
      <c r="T38" s="2179"/>
      <c r="U38" s="2136"/>
      <c r="V38" s="2136"/>
      <c r="W38" s="2136"/>
      <c r="X38" s="2137"/>
      <c r="Y38" s="2137"/>
      <c r="Z38" s="2137"/>
      <c r="AA38" s="2138"/>
    </row>
    <row r="39" spans="1:27" ht="12" customHeight="1" x14ac:dyDescent="0.2">
      <c r="A39" s="2112" t="s">
        <v>528</v>
      </c>
      <c r="B39" s="2113"/>
      <c r="C39" s="69"/>
      <c r="D39" s="66"/>
      <c r="E39" s="66"/>
      <c r="F39" s="76"/>
      <c r="G39" s="66"/>
      <c r="H39" s="53"/>
      <c r="I39" s="2112" t="s">
        <v>528</v>
      </c>
      <c r="J39" s="2113"/>
      <c r="K39" s="2113"/>
      <c r="L39" s="2113"/>
      <c r="M39" s="2113"/>
      <c r="N39" s="64"/>
      <c r="O39" s="69"/>
      <c r="P39" s="69"/>
      <c r="Q39" s="75"/>
      <c r="R39" s="69"/>
      <c r="S39" s="53"/>
      <c r="T39" s="69" t="s">
        <v>528</v>
      </c>
      <c r="U39" s="48"/>
      <c r="V39" s="69"/>
      <c r="W39" s="47"/>
      <c r="X39" s="75"/>
      <c r="Y39" s="43"/>
      <c r="Z39" s="43"/>
      <c r="AA39" s="44"/>
    </row>
    <row r="40" spans="1:27" ht="13.5" customHeight="1" x14ac:dyDescent="0.2">
      <c r="A40" s="2120" t="s">
        <v>2032</v>
      </c>
      <c r="B40" s="2121"/>
      <c r="C40" s="2122"/>
      <c r="D40" s="2122"/>
      <c r="E40" s="2122"/>
      <c r="F40" s="2123"/>
      <c r="G40" s="2123"/>
      <c r="H40" s="2124"/>
      <c r="I40" s="2145"/>
      <c r="J40" s="2146"/>
      <c r="K40" s="2146"/>
      <c r="L40" s="2146"/>
      <c r="M40" s="2146"/>
      <c r="N40" s="2146"/>
      <c r="O40" s="2146"/>
      <c r="P40" s="2146"/>
      <c r="Q40" s="2146"/>
      <c r="R40" s="2146"/>
      <c r="S40" s="2147"/>
      <c r="T40" s="2145"/>
      <c r="U40" s="2199"/>
      <c r="V40" s="2146"/>
      <c r="W40" s="2146"/>
      <c r="X40" s="2146"/>
      <c r="Y40" s="2146"/>
      <c r="Z40" s="2146"/>
      <c r="AA40" s="214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t="s">
        <v>2033</v>
      </c>
      <c r="B42" s="2126"/>
      <c r="C42" s="2127"/>
      <c r="D42" s="2125"/>
      <c r="E42" s="2126"/>
      <c r="F42" s="2126"/>
      <c r="G42" s="2126"/>
      <c r="H42" s="2127"/>
      <c r="I42" s="2109"/>
      <c r="J42" s="2110"/>
      <c r="K42" s="2110"/>
      <c r="L42" s="2110"/>
      <c r="M42" s="2110"/>
      <c r="N42" s="2110"/>
      <c r="O42" s="2111"/>
      <c r="P42" s="2144"/>
      <c r="Q42" s="2110"/>
      <c r="R42" s="2110"/>
      <c r="S42" s="2111"/>
      <c r="T42" s="2109"/>
      <c r="U42" s="2110"/>
      <c r="V42" s="2110"/>
      <c r="W42" s="2111"/>
      <c r="X42" s="2144"/>
      <c r="Y42" s="2110"/>
      <c r="Z42" s="2110"/>
      <c r="AA42" s="21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14"/>
      <c r="J44" s="2115"/>
      <c r="K44" s="2115"/>
      <c r="L44" s="2115"/>
      <c r="M44" s="2115"/>
      <c r="N44" s="2115"/>
      <c r="O44" s="2115"/>
      <c r="P44" s="2115"/>
      <c r="Q44" s="2115"/>
      <c r="R44" s="2115"/>
      <c r="S44" s="2116"/>
      <c r="T44" s="2114"/>
      <c r="U44" s="2133"/>
      <c r="V44" s="2133"/>
      <c r="W44" s="2133"/>
      <c r="X44" s="2133"/>
      <c r="Y44" s="2133"/>
      <c r="Z44" s="2115"/>
      <c r="AA44" s="211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73" sqref="C7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4147906</v>
      </c>
      <c r="C4" s="1772">
        <v>2161860</v>
      </c>
      <c r="D4" s="1773">
        <f>B4-C4</f>
        <v>1986046</v>
      </c>
      <c r="E4" s="1772">
        <v>4227921</v>
      </c>
      <c r="F4" s="1773">
        <f>E4-C4</f>
        <v>2066061</v>
      </c>
    </row>
    <row r="5" spans="1:8" ht="13.7" customHeight="1" x14ac:dyDescent="0.2">
      <c r="A5" s="579" t="s">
        <v>865</v>
      </c>
      <c r="B5" s="1774">
        <f>'Revenues 9-14'!D5</f>
        <v>802498</v>
      </c>
      <c r="C5" s="1714">
        <v>426856</v>
      </c>
      <c r="D5" s="1775">
        <f t="shared" ref="D5:D18" si="0">B5-C5</f>
        <v>375642</v>
      </c>
      <c r="E5" s="1714">
        <v>834798</v>
      </c>
      <c r="F5" s="1775">
        <f>E5-C5</f>
        <v>407942</v>
      </c>
    </row>
    <row r="6" spans="1:8" ht="13.7" customHeight="1" x14ac:dyDescent="0.2">
      <c r="A6" s="579" t="s">
        <v>408</v>
      </c>
      <c r="B6" s="1774">
        <f>'Revenues 9-14'!E5</f>
        <v>521632</v>
      </c>
      <c r="C6" s="1714">
        <v>274408</v>
      </c>
      <c r="D6" s="1775">
        <f t="shared" si="0"/>
        <v>247224</v>
      </c>
      <c r="E6" s="1714">
        <v>536656</v>
      </c>
      <c r="F6" s="1775">
        <f t="shared" ref="F6:F18" si="1">E6-C6</f>
        <v>262248</v>
      </c>
    </row>
    <row r="7" spans="1:8" ht="13.7" customHeight="1" x14ac:dyDescent="0.2">
      <c r="A7" s="579" t="s">
        <v>154</v>
      </c>
      <c r="B7" s="1774">
        <f>'Revenues 9-14'!F5</f>
        <v>97591</v>
      </c>
      <c r="C7" s="1714">
        <v>74511</v>
      </c>
      <c r="D7" s="1775">
        <f t="shared" si="0"/>
        <v>23080</v>
      </c>
      <c r="E7" s="1714">
        <v>145721</v>
      </c>
      <c r="F7" s="1775">
        <f t="shared" si="1"/>
        <v>71210</v>
      </c>
    </row>
    <row r="8" spans="1:8" ht="13.7" customHeight="1" x14ac:dyDescent="0.2">
      <c r="A8" s="579" t="s">
        <v>1171</v>
      </c>
      <c r="B8" s="1774">
        <f>'Revenues 9-14'!G5</f>
        <v>164082</v>
      </c>
      <c r="C8" s="1714">
        <v>71685</v>
      </c>
      <c r="D8" s="1775">
        <f t="shared" si="0"/>
        <v>92397</v>
      </c>
      <c r="E8" s="1714">
        <v>140194</v>
      </c>
      <c r="F8" s="1775">
        <f t="shared" si="1"/>
        <v>68509</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6057</v>
      </c>
      <c r="C10" s="1714">
        <v>5224</v>
      </c>
      <c r="D10" s="1775">
        <f t="shared" si="0"/>
        <v>833</v>
      </c>
      <c r="E10" s="1714">
        <v>10217</v>
      </c>
      <c r="F10" s="1775">
        <f t="shared" si="1"/>
        <v>4993</v>
      </c>
    </row>
    <row r="11" spans="1:8" x14ac:dyDescent="0.2">
      <c r="A11" s="579" t="s">
        <v>406</v>
      </c>
      <c r="B11" s="1774">
        <f>'Revenues 9-14'!J5</f>
        <v>50812</v>
      </c>
      <c r="C11" s="1714">
        <v>26293</v>
      </c>
      <c r="D11" s="1775">
        <f t="shared" si="0"/>
        <v>24519</v>
      </c>
      <c r="E11" s="1714">
        <v>51421</v>
      </c>
      <c r="F11" s="1775">
        <f t="shared" si="1"/>
        <v>25128</v>
      </c>
    </row>
    <row r="12" spans="1:8" ht="13.7" customHeight="1" x14ac:dyDescent="0.2">
      <c r="A12" s="579" t="s">
        <v>156</v>
      </c>
      <c r="B12" s="1774">
        <f>'Revenues 9-14'!K5</f>
        <v>4915</v>
      </c>
      <c r="C12" s="1714">
        <v>2569</v>
      </c>
      <c r="D12" s="1775">
        <f t="shared" si="0"/>
        <v>2346</v>
      </c>
      <c r="E12" s="1714">
        <v>5025</v>
      </c>
      <c r="F12" s="1775">
        <f t="shared" si="1"/>
        <v>2456</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47831</v>
      </c>
      <c r="C14" s="1714">
        <v>24752</v>
      </c>
      <c r="D14" s="1775">
        <f t="shared" si="0"/>
        <v>23079</v>
      </c>
      <c r="E14" s="1714">
        <v>48406</v>
      </c>
      <c r="F14" s="1775">
        <f t="shared" si="1"/>
        <v>23654</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88213</v>
      </c>
      <c r="C16" s="1714">
        <v>42052</v>
      </c>
      <c r="D16" s="1775">
        <f t="shared" si="0"/>
        <v>46161</v>
      </c>
      <c r="E16" s="1714">
        <v>82240</v>
      </c>
      <c r="F16" s="1775">
        <f t="shared" si="1"/>
        <v>40188</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6765</v>
      </c>
      <c r="C18" s="1714">
        <v>3511</v>
      </c>
      <c r="D18" s="1775">
        <f t="shared" si="0"/>
        <v>3254</v>
      </c>
      <c r="E18" s="1714">
        <v>6867</v>
      </c>
      <c r="F18" s="1775">
        <f t="shared" si="1"/>
        <v>3356</v>
      </c>
    </row>
    <row r="19" spans="1:6" ht="13.7" customHeight="1" thickBot="1" x14ac:dyDescent="0.25">
      <c r="A19" s="1481" t="s">
        <v>1153</v>
      </c>
      <c r="B19" s="1776">
        <f>SUM(B4:B18)</f>
        <v>5938302</v>
      </c>
      <c r="C19" s="1776">
        <f>SUM(C4:C18)</f>
        <v>3113721</v>
      </c>
      <c r="D19" s="1776">
        <f>SUM(D4:D18)</f>
        <v>2824581</v>
      </c>
      <c r="E19" s="1776">
        <f>SUM(E4:E18)</f>
        <v>6089466</v>
      </c>
      <c r="F19" s="1776">
        <f>SUM(F4:F18)</f>
        <v>2975745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C73" sqref="C7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9" t="s">
        <v>625</v>
      </c>
      <c r="B1" s="2377"/>
      <c r="C1" s="585"/>
    </row>
    <row r="2" spans="1:7" ht="33.75" x14ac:dyDescent="0.2">
      <c r="A2" s="2384" t="s">
        <v>1782</v>
      </c>
      <c r="B2" s="2385"/>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6" t="s">
        <v>1106</v>
      </c>
      <c r="B3" s="2387"/>
      <c r="C3" s="2380"/>
      <c r="D3" s="2381"/>
      <c r="E3" s="2381"/>
      <c r="F3" s="2382"/>
    </row>
    <row r="4" spans="1:7" ht="12.75" customHeight="1" thickBot="1" x14ac:dyDescent="0.25">
      <c r="A4" s="2374" t="s">
        <v>626</v>
      </c>
      <c r="B4" s="2375"/>
      <c r="C4" s="1706"/>
      <c r="D4" s="1706"/>
      <c r="E4" s="1706"/>
      <c r="F4" s="1782">
        <f>SUM(C4+D4)-E4</f>
        <v>0</v>
      </c>
    </row>
    <row r="5" spans="1:7" ht="15.75" customHeight="1" thickTop="1" x14ac:dyDescent="0.2">
      <c r="A5" s="2378" t="s">
        <v>1103</v>
      </c>
      <c r="B5" s="2373"/>
      <c r="C5" s="2367"/>
      <c r="D5" s="2368"/>
      <c r="E5" s="2368"/>
      <c r="F5" s="236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0" t="s">
        <v>627</v>
      </c>
      <c r="B15" s="2371"/>
      <c r="C15" s="1782">
        <f>SUM(C6:C14)</f>
        <v>0</v>
      </c>
      <c r="D15" s="1782">
        <f>SUM(D6:D14)</f>
        <v>0</v>
      </c>
      <c r="E15" s="1782">
        <f>SUM(E6:E14)</f>
        <v>0</v>
      </c>
      <c r="F15" s="1782">
        <f>SUM(F6:F14)</f>
        <v>0</v>
      </c>
      <c r="G15" s="473"/>
    </row>
    <row r="16" spans="1:7" s="197" customFormat="1" ht="15.75" customHeight="1" thickTop="1" x14ac:dyDescent="0.2">
      <c r="A16" s="2383" t="s">
        <v>1104</v>
      </c>
      <c r="B16" s="2373"/>
      <c r="C16" s="2367"/>
      <c r="D16" s="2368"/>
      <c r="E16" s="2368"/>
      <c r="F16" s="2369"/>
    </row>
    <row r="17" spans="1:11" ht="12.75" customHeight="1" thickBot="1" x14ac:dyDescent="0.25">
      <c r="A17" s="2365" t="s">
        <v>64</v>
      </c>
      <c r="B17" s="2366"/>
      <c r="C17" s="1783"/>
      <c r="D17" s="1714"/>
      <c r="E17" s="1783"/>
      <c r="F17" s="1782">
        <f>SUM(C17+D17)-E17</f>
        <v>0</v>
      </c>
    </row>
    <row r="18" spans="1:11" ht="12.75" customHeight="1" thickTop="1" thickBot="1" x14ac:dyDescent="0.25">
      <c r="A18" s="2365" t="s">
        <v>6</v>
      </c>
      <c r="B18" s="2366"/>
      <c r="C18" s="1783"/>
      <c r="D18" s="1714"/>
      <c r="E18" s="1783"/>
      <c r="F18" s="1782">
        <f>SUM(C18+D18)-E18</f>
        <v>0</v>
      </c>
    </row>
    <row r="19" spans="1:11" ht="12.75" customHeight="1" thickTop="1" thickBot="1" x14ac:dyDescent="0.25">
      <c r="A19" s="2365" t="s">
        <v>385</v>
      </c>
      <c r="B19" s="2366"/>
      <c r="C19" s="1783"/>
      <c r="D19" s="1714"/>
      <c r="E19" s="1783"/>
      <c r="F19" s="1782">
        <f>SUM(C19+D19)-E19</f>
        <v>0</v>
      </c>
    </row>
    <row r="20" spans="1:11" ht="12.75" customHeight="1" thickTop="1" thickBot="1" x14ac:dyDescent="0.25">
      <c r="A20" s="2365" t="s">
        <v>445</v>
      </c>
      <c r="B20" s="2366"/>
      <c r="C20" s="1783"/>
      <c r="D20" s="1714"/>
      <c r="E20" s="1783"/>
      <c r="F20" s="1782">
        <f>SUM(C20+D20)-E20</f>
        <v>0</v>
      </c>
    </row>
    <row r="21" spans="1:11" ht="14.25" thickTop="1" thickBot="1" x14ac:dyDescent="0.25">
      <c r="A21" s="2370" t="s">
        <v>628</v>
      </c>
      <c r="B21" s="2371"/>
      <c r="C21" s="1782">
        <f>SUM(C17:C20)</f>
        <v>0</v>
      </c>
      <c r="D21" s="1782">
        <f>SUM(D17:D20)</f>
        <v>0</v>
      </c>
      <c r="E21" s="1782">
        <f>SUM(E17:E20)</f>
        <v>0</v>
      </c>
      <c r="F21" s="1782">
        <f>SUM(F17:F20)</f>
        <v>0</v>
      </c>
      <c r="G21" s="473"/>
    </row>
    <row r="22" spans="1:11" ht="15.75" customHeight="1" thickTop="1" x14ac:dyDescent="0.2">
      <c r="A22" s="2372" t="s">
        <v>1105</v>
      </c>
      <c r="B22" s="2373"/>
      <c r="C22" s="2367"/>
      <c r="D22" s="2368"/>
      <c r="E22" s="2368"/>
      <c r="F22" s="2369"/>
    </row>
    <row r="23" spans="1:11" ht="13.5" thickBot="1" x14ac:dyDescent="0.25">
      <c r="A23" s="2374" t="s">
        <v>629</v>
      </c>
      <c r="B23" s="2375"/>
      <c r="C23" s="1706"/>
      <c r="D23" s="1706"/>
      <c r="E23" s="1706"/>
      <c r="F23" s="1782">
        <f>SUM(C23+D23)-E23</f>
        <v>0</v>
      </c>
      <c r="G23" s="473"/>
    </row>
    <row r="24" spans="1:11" ht="15.75" customHeight="1" thickTop="1" x14ac:dyDescent="0.2">
      <c r="A24" s="2372" t="s">
        <v>2009</v>
      </c>
      <c r="B24" s="2373"/>
      <c r="C24" s="2367"/>
      <c r="D24" s="2368"/>
      <c r="E24" s="2368"/>
      <c r="F24" s="2369"/>
    </row>
    <row r="25" spans="1:11" ht="13.5" thickBot="1" x14ac:dyDescent="0.25">
      <c r="A25" s="2374" t="s">
        <v>2010</v>
      </c>
      <c r="B25" s="2375"/>
      <c r="C25" s="1706"/>
      <c r="D25" s="1706"/>
      <c r="E25" s="1706"/>
      <c r="F25" s="1782">
        <f>SUM(C25+D25)-E25</f>
        <v>0</v>
      </c>
      <c r="G25" s="473"/>
    </row>
    <row r="26" spans="1:11" ht="15.75" customHeight="1" thickTop="1" x14ac:dyDescent="0.2">
      <c r="A26" s="2378" t="s">
        <v>652</v>
      </c>
      <c r="B26" s="2373"/>
      <c r="C26" s="589"/>
      <c r="D26" s="589"/>
      <c r="E26" s="589"/>
      <c r="F26" s="590"/>
    </row>
    <row r="27" spans="1:11" ht="13.5" thickBot="1" x14ac:dyDescent="0.25">
      <c r="A27" s="2370" t="s">
        <v>1063</v>
      </c>
      <c r="B27" s="2371"/>
      <c r="C27" s="1714"/>
      <c r="D27" s="1714"/>
      <c r="E27" s="1714"/>
      <c r="F27" s="1782">
        <f>SUM(C27+D27)-E27</f>
        <v>0</v>
      </c>
      <c r="G27" s="473"/>
    </row>
    <row r="28" spans="1:11" ht="7.5" customHeight="1" thickTop="1" x14ac:dyDescent="0.2">
      <c r="A28" s="489"/>
    </row>
    <row r="29" spans="1:11" ht="23.25" customHeight="1" x14ac:dyDescent="0.2">
      <c r="A29" s="2376" t="s">
        <v>578</v>
      </c>
      <c r="B29" s="237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2075</v>
      </c>
      <c r="B31" s="595">
        <v>39601</v>
      </c>
      <c r="C31" s="1784">
        <v>520000</v>
      </c>
      <c r="D31" s="1785">
        <v>7</v>
      </c>
      <c r="E31" s="1784">
        <v>200000</v>
      </c>
      <c r="F31" s="1784"/>
      <c r="G31" s="1784"/>
      <c r="H31" s="1784">
        <v>45000</v>
      </c>
      <c r="I31" s="1786">
        <f>((E31+F31)-H31)+G31</f>
        <v>155000</v>
      </c>
      <c r="J31" s="1784">
        <v>148308</v>
      </c>
      <c r="K31" s="596"/>
    </row>
    <row r="32" spans="1:11" ht="12" customHeight="1" x14ac:dyDescent="0.2">
      <c r="A32" s="594" t="s">
        <v>2076</v>
      </c>
      <c r="B32" s="595">
        <v>41712</v>
      </c>
      <c r="C32" s="1784">
        <v>1230600</v>
      </c>
      <c r="D32" s="1785">
        <v>1</v>
      </c>
      <c r="E32" s="1784">
        <v>770000</v>
      </c>
      <c r="F32" s="1784"/>
      <c r="G32" s="1784"/>
      <c r="H32" s="1784">
        <v>10000</v>
      </c>
      <c r="I32" s="1786">
        <f>((E32+F32)-H32)+G32</f>
        <v>760000</v>
      </c>
      <c r="J32" s="1784">
        <v>727189</v>
      </c>
      <c r="K32" s="596"/>
    </row>
    <row r="33" spans="1:11" ht="12" customHeight="1" x14ac:dyDescent="0.2">
      <c r="A33" s="594" t="s">
        <v>2077</v>
      </c>
      <c r="B33" s="595">
        <v>43013</v>
      </c>
      <c r="C33" s="1784">
        <v>1600000</v>
      </c>
      <c r="D33" s="1785">
        <v>1</v>
      </c>
      <c r="E33" s="1784">
        <v>1460000</v>
      </c>
      <c r="F33" s="1784"/>
      <c r="G33" s="1784"/>
      <c r="H33" s="1784">
        <v>150000</v>
      </c>
      <c r="I33" s="1786">
        <f t="shared" ref="I33:I48" si="1">((E33+F33)-H33)+G33</f>
        <v>1310000</v>
      </c>
      <c r="J33" s="1784">
        <v>1253444</v>
      </c>
      <c r="K33" s="596"/>
    </row>
    <row r="34" spans="1:11" ht="12" customHeight="1" x14ac:dyDescent="0.2">
      <c r="A34" s="594" t="s">
        <v>2078</v>
      </c>
      <c r="B34" s="595">
        <v>43013</v>
      </c>
      <c r="C34" s="1784">
        <v>1900000</v>
      </c>
      <c r="D34" s="1785">
        <v>3</v>
      </c>
      <c r="E34" s="1784">
        <v>1655000</v>
      </c>
      <c r="F34" s="1784"/>
      <c r="G34" s="1784"/>
      <c r="H34" s="1784">
        <v>275000</v>
      </c>
      <c r="I34" s="1786">
        <f t="shared" si="1"/>
        <v>1380000</v>
      </c>
      <c r="J34" s="1784">
        <v>1320422</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5250600</v>
      </c>
      <c r="D49" s="1792"/>
      <c r="E49" s="1786">
        <f t="shared" ref="E49:J49" si="2">SUM(E31:E48)</f>
        <v>4085000</v>
      </c>
      <c r="F49" s="1786">
        <f t="shared" si="2"/>
        <v>0</v>
      </c>
      <c r="G49" s="1786">
        <f t="shared" si="2"/>
        <v>0</v>
      </c>
      <c r="H49" s="1786">
        <f t="shared" si="2"/>
        <v>480000</v>
      </c>
      <c r="I49" s="1786">
        <f t="shared" si="2"/>
        <v>3605000</v>
      </c>
      <c r="J49" s="1786">
        <f t="shared" si="2"/>
        <v>3449363</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59" t="s">
        <v>580</v>
      </c>
      <c r="C52" s="2360"/>
      <c r="D52" s="2360"/>
      <c r="E52" s="603" t="s">
        <v>840</v>
      </c>
      <c r="F52" s="2361"/>
      <c r="G52" s="2362"/>
      <c r="H52" s="596"/>
      <c r="I52" s="596"/>
      <c r="J52" s="600"/>
    </row>
    <row r="53" spans="1:11" ht="11.25" customHeight="1" x14ac:dyDescent="0.2">
      <c r="A53" s="604" t="s">
        <v>907</v>
      </c>
      <c r="B53" s="605" t="s">
        <v>945</v>
      </c>
      <c r="C53" s="600"/>
      <c r="D53" s="597"/>
      <c r="E53" s="603" t="s">
        <v>494</v>
      </c>
      <c r="F53" s="2363"/>
      <c r="G53" s="2364"/>
      <c r="H53" s="596"/>
      <c r="I53" s="596"/>
      <c r="J53" s="600"/>
    </row>
    <row r="54" spans="1:11" ht="11.25" customHeight="1" x14ac:dyDescent="0.2">
      <c r="A54" s="606" t="s">
        <v>908</v>
      </c>
      <c r="B54" s="601" t="s">
        <v>946</v>
      </c>
      <c r="C54" s="600"/>
      <c r="D54" s="597"/>
      <c r="E54" s="603" t="s">
        <v>495</v>
      </c>
      <c r="F54" s="2363"/>
      <c r="G54" s="23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C73" sqref="C7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851</v>
      </c>
      <c r="B1" s="2389"/>
      <c r="C1" s="2389"/>
      <c r="D1" s="2389"/>
      <c r="E1" s="2389"/>
      <c r="F1" s="2389"/>
      <c r="G1" s="2390"/>
      <c r="H1" s="1343"/>
      <c r="I1" s="614"/>
      <c r="J1" s="400"/>
    </row>
    <row r="2" spans="1:11" ht="26.25" x14ac:dyDescent="0.2">
      <c r="A2" s="2407" t="s">
        <v>1661</v>
      </c>
      <c r="B2" s="2408"/>
      <c r="C2" s="2408"/>
      <c r="D2" s="2408"/>
      <c r="E2" s="2409"/>
      <c r="F2" s="615" t="s">
        <v>898</v>
      </c>
      <c r="G2" s="616" t="s">
        <v>1658</v>
      </c>
      <c r="H2" s="616" t="s">
        <v>407</v>
      </c>
      <c r="I2" s="616" t="s">
        <v>1150</v>
      </c>
      <c r="J2" s="616" t="s">
        <v>1792</v>
      </c>
      <c r="K2" s="616" t="s">
        <v>137</v>
      </c>
    </row>
    <row r="3" spans="1:11" x14ac:dyDescent="0.2">
      <c r="A3" s="2410" t="str">
        <f>"Cash Basis Fund Balance as of July 1, "&amp;'AFR20'!E2-1</f>
        <v>Cash Basis Fund Balance as of July 1, 2019</v>
      </c>
      <c r="B3" s="2411"/>
      <c r="C3" s="2411"/>
      <c r="D3" s="2411"/>
      <c r="E3" s="2412"/>
      <c r="F3" s="617"/>
      <c r="G3" s="1794"/>
      <c r="H3" s="1794"/>
      <c r="I3" s="1794"/>
      <c r="J3" s="1795"/>
      <c r="K3" s="1795"/>
    </row>
    <row r="4" spans="1:11" x14ac:dyDescent="0.2">
      <c r="A4" s="2413" t="s">
        <v>366</v>
      </c>
      <c r="B4" s="2414"/>
      <c r="C4" s="2414"/>
      <c r="D4" s="2414"/>
      <c r="E4" s="2360"/>
      <c r="F4" s="620"/>
      <c r="G4" s="1796"/>
      <c r="H4" s="1797"/>
      <c r="I4" s="1796"/>
      <c r="J4" s="1798"/>
      <c r="K4" s="1798"/>
    </row>
    <row r="5" spans="1:11" x14ac:dyDescent="0.2">
      <c r="A5" s="2391" t="s">
        <v>1062</v>
      </c>
      <c r="B5" s="2392"/>
      <c r="C5" s="2392"/>
      <c r="D5" s="2392"/>
      <c r="E5" s="2393"/>
      <c r="F5" s="622" t="s">
        <v>843</v>
      </c>
      <c r="G5" s="1799"/>
      <c r="H5" s="1794">
        <v>47831</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1" t="s">
        <v>1793</v>
      </c>
      <c r="B10" s="2392"/>
      <c r="C10" s="2392"/>
      <c r="D10" s="2392"/>
      <c r="E10" s="2394"/>
      <c r="F10" s="633" t="s">
        <v>857</v>
      </c>
      <c r="G10" s="1803"/>
      <c r="H10" s="1804"/>
      <c r="I10" s="1794"/>
      <c r="J10" s="1795"/>
      <c r="K10" s="1795"/>
    </row>
    <row r="11" spans="1:11" x14ac:dyDescent="0.2">
      <c r="A11" s="2391" t="s">
        <v>159</v>
      </c>
      <c r="B11" s="2392"/>
      <c r="C11" s="2392"/>
      <c r="D11" s="2392"/>
      <c r="E11" s="2393"/>
      <c r="F11" s="622" t="s">
        <v>847</v>
      </c>
      <c r="G11" s="1799"/>
      <c r="H11" s="1794"/>
      <c r="I11" s="1794"/>
      <c r="J11" s="1795"/>
      <c r="K11" s="1801"/>
    </row>
    <row r="12" spans="1:11" ht="13.5" thickBot="1" x14ac:dyDescent="0.25">
      <c r="A12" s="2418" t="s">
        <v>899</v>
      </c>
      <c r="B12" s="2419"/>
      <c r="C12" s="2419"/>
      <c r="D12" s="2419"/>
      <c r="E12" s="2420"/>
      <c r="F12" s="1482"/>
      <c r="G12" s="1805">
        <f>SUM(G5:G11)</f>
        <v>0</v>
      </c>
      <c r="H12" s="1805">
        <f>SUM(H5:H11)</f>
        <v>47831</v>
      </c>
      <c r="I12" s="1805">
        <f>SUM(I5:I11)</f>
        <v>0</v>
      </c>
      <c r="J12" s="1805">
        <f>SUM(J5:J11)</f>
        <v>0</v>
      </c>
      <c r="K12" s="1805">
        <f>SUM(K5:K11)</f>
        <v>0</v>
      </c>
    </row>
    <row r="13" spans="1:11" ht="13.5" thickTop="1" x14ac:dyDescent="0.2">
      <c r="A13" s="2415" t="s">
        <v>367</v>
      </c>
      <c r="B13" s="2416"/>
      <c r="C13" s="2416"/>
      <c r="D13" s="2416"/>
      <c r="E13" s="2417"/>
      <c r="F13" s="634"/>
      <c r="G13" s="1806"/>
      <c r="H13" s="1807"/>
      <c r="I13" s="1808"/>
      <c r="J13" s="1808"/>
      <c r="K13" s="1808"/>
    </row>
    <row r="14" spans="1:11" x14ac:dyDescent="0.2">
      <c r="A14" s="2398" t="s">
        <v>453</v>
      </c>
      <c r="B14" s="2398"/>
      <c r="C14" s="2398"/>
      <c r="D14" s="2398"/>
      <c r="E14" s="2399"/>
      <c r="F14" s="635" t="s">
        <v>849</v>
      </c>
      <c r="G14" s="1803"/>
      <c r="H14" s="1794">
        <v>47831</v>
      </c>
      <c r="I14" s="1799"/>
      <c r="J14" s="1801"/>
      <c r="K14" s="1795"/>
    </row>
    <row r="15" spans="1:11" x14ac:dyDescent="0.2">
      <c r="A15" s="2392" t="s">
        <v>4</v>
      </c>
      <c r="B15" s="2392"/>
      <c r="C15" s="2392"/>
      <c r="D15" s="2392"/>
      <c r="E15" s="2393"/>
      <c r="F15" s="635" t="s">
        <v>850</v>
      </c>
      <c r="G15" s="1799"/>
      <c r="H15" s="1794"/>
      <c r="I15" s="1794"/>
      <c r="J15" s="1795"/>
      <c r="K15" s="1795"/>
    </row>
    <row r="16" spans="1:11" x14ac:dyDescent="0.2">
      <c r="A16" s="2392" t="s">
        <v>295</v>
      </c>
      <c r="B16" s="2392"/>
      <c r="C16" s="2392"/>
      <c r="D16" s="2392"/>
      <c r="E16" s="2393"/>
      <c r="F16" s="635" t="s">
        <v>917</v>
      </c>
      <c r="G16" s="1800"/>
      <c r="H16" s="1796"/>
      <c r="I16" s="1796"/>
      <c r="J16" s="1798"/>
      <c r="K16" s="1798"/>
    </row>
    <row r="17" spans="1:15" x14ac:dyDescent="0.2">
      <c r="A17" s="2425" t="s">
        <v>929</v>
      </c>
      <c r="B17" s="2425"/>
      <c r="C17" s="2425"/>
      <c r="D17" s="2425"/>
      <c r="E17" s="2426"/>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00" t="s">
        <v>1789</v>
      </c>
      <c r="B19" s="2400"/>
      <c r="C19" s="2400"/>
      <c r="D19" s="2400"/>
      <c r="E19" s="2401"/>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21" t="s">
        <v>633</v>
      </c>
      <c r="B21" s="2421"/>
      <c r="C21" s="2421"/>
      <c r="D21" s="2421"/>
      <c r="E21" s="2421"/>
      <c r="F21" s="1483"/>
      <c r="G21" s="1810"/>
      <c r="H21" s="1814"/>
      <c r="I21" s="1814"/>
      <c r="J21" s="1815">
        <f>SUM(J18:J20)</f>
        <v>0</v>
      </c>
      <c r="K21" s="1811"/>
    </row>
    <row r="22" spans="1:15" ht="13.5" thickTop="1" x14ac:dyDescent="0.2">
      <c r="A22" s="2392" t="s">
        <v>1795</v>
      </c>
      <c r="B22" s="2392"/>
      <c r="C22" s="2392"/>
      <c r="D22" s="2392"/>
      <c r="E22" s="2393"/>
      <c r="F22" s="635" t="s">
        <v>857</v>
      </c>
      <c r="G22" s="1803"/>
      <c r="H22" s="1794"/>
      <c r="I22" s="1794"/>
      <c r="J22" s="1816"/>
      <c r="K22" s="1795"/>
    </row>
    <row r="23" spans="1:15" ht="13.5" thickBot="1" x14ac:dyDescent="0.25">
      <c r="A23" s="2422" t="s">
        <v>900</v>
      </c>
      <c r="B23" s="2421"/>
      <c r="C23" s="2421"/>
      <c r="D23" s="2421"/>
      <c r="E23" s="2421"/>
      <c r="F23" s="1485"/>
      <c r="G23" s="1805">
        <f>SUM(G14:G16,G21,G22)</f>
        <v>0</v>
      </c>
      <c r="H23" s="1805">
        <f>SUM(H14:H16,H21,H22)</f>
        <v>47831</v>
      </c>
      <c r="I23" s="1805">
        <f>SUM(I14:I16,I21,I22)</f>
        <v>0</v>
      </c>
      <c r="J23" s="1805">
        <f>SUM(J14:J16,J21,J22)</f>
        <v>0</v>
      </c>
      <c r="K23" s="1805">
        <f>SUM(K14:K16,K21,K22)</f>
        <v>0</v>
      </c>
      <c r="M23" s="1904"/>
      <c r="N23" s="1904"/>
      <c r="O23" s="1904"/>
    </row>
    <row r="24" spans="1:15" ht="14.25" thickTop="1" thickBot="1" x14ac:dyDescent="0.25">
      <c r="A24" s="2423" t="str">
        <f>"Ending Cash Basis Fund Balance as of June 30, "&amp;'AFR20'!E2</f>
        <v>Ending Cash Basis Fund Balance as of June 30, 2020</v>
      </c>
      <c r="B24" s="2424"/>
      <c r="C24" s="2424"/>
      <c r="D24" s="2424"/>
      <c r="E24" s="242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1161</v>
      </c>
      <c r="B33" s="341"/>
      <c r="C33" s="341"/>
      <c r="D33" s="341"/>
      <c r="E33" s="341"/>
      <c r="F33" s="341"/>
      <c r="G33" s="653"/>
      <c r="H33" s="2397"/>
      <c r="I33" s="2396"/>
      <c r="J33" s="2396"/>
      <c r="K33" s="239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2" t="s">
        <v>538</v>
      </c>
      <c r="B41" s="2405"/>
      <c r="C41" s="2405"/>
      <c r="D41" s="2405"/>
      <c r="E41" s="2405"/>
      <c r="F41" s="240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73" sqref="C7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40960</v>
      </c>
      <c r="D5" s="1820"/>
      <c r="E5" s="1820"/>
      <c r="F5" s="1815">
        <f>(C5+D5)-E5</f>
        <v>40960</v>
      </c>
      <c r="G5" s="676"/>
      <c r="H5" s="680"/>
      <c r="I5" s="680"/>
      <c r="J5" s="680"/>
      <c r="K5" s="637"/>
      <c r="L5" s="1491">
        <f>F5-K5</f>
        <v>40960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10951430</v>
      </c>
      <c r="D8" s="1821"/>
      <c r="E8" s="1821"/>
      <c r="F8" s="1815">
        <f>(C8+D8)-E8</f>
        <v>10951430</v>
      </c>
      <c r="G8" s="681">
        <v>50</v>
      </c>
      <c r="H8" s="619">
        <v>5164718</v>
      </c>
      <c r="I8" s="619">
        <v>219163</v>
      </c>
      <c r="J8" s="619"/>
      <c r="K8" s="1491">
        <f>(H8+I8)-J8</f>
        <v>5383881</v>
      </c>
      <c r="L8" s="1491">
        <f>F8-K8</f>
        <v>5567549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1464603</v>
      </c>
      <c r="D10" s="1822">
        <v>110894</v>
      </c>
      <c r="E10" s="1822"/>
      <c r="F10" s="1823">
        <f>(C10+D10)-E10</f>
        <v>1575497</v>
      </c>
      <c r="G10" s="681">
        <v>20</v>
      </c>
      <c r="H10" s="683">
        <v>580840</v>
      </c>
      <c r="I10" s="683">
        <v>55468</v>
      </c>
      <c r="J10" s="683"/>
      <c r="K10" s="1491">
        <f>(H10+I10)-J10</f>
        <v>636308</v>
      </c>
      <c r="L10" s="1491">
        <f>F10-K10</f>
        <v>939189</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1231737</v>
      </c>
      <c r="D12" s="1821">
        <v>49352</v>
      </c>
      <c r="E12" s="1821"/>
      <c r="F12" s="1815">
        <f>(C12+D12)-E12</f>
        <v>1281089</v>
      </c>
      <c r="G12" s="681">
        <v>10</v>
      </c>
      <c r="H12" s="619">
        <v>847457</v>
      </c>
      <c r="I12" s="619">
        <v>14073</v>
      </c>
      <c r="J12" s="619"/>
      <c r="K12" s="1491">
        <f>(H12+I12)-J12</f>
        <v>861530</v>
      </c>
      <c r="L12" s="1491">
        <f>F12-K12</f>
        <v>419559</v>
      </c>
    </row>
    <row r="13" spans="1:14" ht="14.25" thickTop="1" thickBot="1" x14ac:dyDescent="0.25">
      <c r="A13" s="684" t="s">
        <v>1114</v>
      </c>
      <c r="B13" s="679">
        <v>252</v>
      </c>
      <c r="C13" s="1821">
        <v>24997</v>
      </c>
      <c r="D13" s="1821"/>
      <c r="E13" s="1821"/>
      <c r="F13" s="1815">
        <f>(C13+D13)-E13</f>
        <v>24997</v>
      </c>
      <c r="G13" s="681">
        <v>5</v>
      </c>
      <c r="H13" s="619">
        <v>24997</v>
      </c>
      <c r="I13" s="619"/>
      <c r="J13" s="619"/>
      <c r="K13" s="1491">
        <f>(H13+I13)-J13</f>
        <v>24997</v>
      </c>
      <c r="L13" s="1491">
        <f>F13-K13</f>
        <v>0</v>
      </c>
    </row>
    <row r="14" spans="1:14" ht="14.25" thickTop="1" thickBot="1" x14ac:dyDescent="0.25">
      <c r="A14" s="684" t="s">
        <v>1115</v>
      </c>
      <c r="B14" s="679">
        <v>253</v>
      </c>
      <c r="C14" s="1795">
        <v>255509</v>
      </c>
      <c r="D14" s="1795"/>
      <c r="E14" s="1795"/>
      <c r="F14" s="1815">
        <f>(C14+D14)-E14</f>
        <v>255509</v>
      </c>
      <c r="G14" s="681">
        <v>3</v>
      </c>
      <c r="H14" s="619">
        <v>255509</v>
      </c>
      <c r="I14" s="619"/>
      <c r="J14" s="619"/>
      <c r="K14" s="1491">
        <f>(H14+I14)-J14</f>
        <v>255509</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13969236</v>
      </c>
      <c r="D16" s="1815">
        <f>SUM(D3,D5:D6,D8:D10,D12:D15)</f>
        <v>160246</v>
      </c>
      <c r="E16" s="1815">
        <f>SUM(E3,E5:E6,E8:E10,E12:E15)</f>
        <v>0</v>
      </c>
      <c r="F16" s="1815">
        <f>SUM(F3,F5:F6,F8:F10,F12:F15)</f>
        <v>14129482</v>
      </c>
      <c r="G16" s="681"/>
      <c r="H16" s="1484">
        <f>SUM(H3,H6,H8:H10,H12:H14,)</f>
        <v>6873521</v>
      </c>
      <c r="I16" s="1484">
        <f>SUM(I3,I6,I8:I10,I12:I14,)</f>
        <v>288704</v>
      </c>
      <c r="J16" s="1484">
        <f>SUM(J3,J6,J8:J10,J12:J14,)</f>
        <v>0</v>
      </c>
      <c r="K16" s="1484">
        <f>(H16+I16)-J16</f>
        <v>7162225</v>
      </c>
      <c r="L16" s="1484">
        <f>F16-K16</f>
        <v>6967257</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29859</v>
      </c>
      <c r="G17" s="676">
        <v>10</v>
      </c>
      <c r="H17" s="621"/>
      <c r="I17" s="1491">
        <f>F17/G17</f>
        <v>2985.9</v>
      </c>
      <c r="J17" s="621"/>
      <c r="K17" s="638"/>
      <c r="L17" s="638"/>
    </row>
    <row r="18" spans="1:12" ht="14.25" thickTop="1" thickBot="1" x14ac:dyDescent="0.25">
      <c r="A18" s="1489" t="s">
        <v>680</v>
      </c>
      <c r="B18" s="1490"/>
      <c r="C18" s="623"/>
      <c r="D18" s="623"/>
      <c r="E18" s="623"/>
      <c r="F18" s="686"/>
      <c r="G18" s="687"/>
      <c r="H18" s="624"/>
      <c r="I18" s="1484">
        <f>SUM(I16,I17)</f>
        <v>291689.90000000002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6" activePane="bottomLeft" state="frozen"/>
      <selection activeCell="C73" sqref="C73"/>
      <selection pane="bottomLeft" activeCell="C73" sqref="C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5897176</v>
      </c>
      <c r="G8" s="701"/>
    </row>
    <row r="9" spans="1:9" x14ac:dyDescent="0.2">
      <c r="A9" s="705" t="s">
        <v>457</v>
      </c>
      <c r="B9" s="706" t="s">
        <v>1851</v>
      </c>
      <c r="C9" s="707"/>
      <c r="D9" s="705" t="s">
        <v>498</v>
      </c>
      <c r="E9" s="704"/>
      <c r="F9" s="1825">
        <f>'Expenditures 15-22'!K151</f>
        <v>861531</v>
      </c>
      <c r="G9" s="708"/>
    </row>
    <row r="10" spans="1:9" x14ac:dyDescent="0.2">
      <c r="A10" s="705" t="s">
        <v>496</v>
      </c>
      <c r="B10" s="706" t="s">
        <v>1852</v>
      </c>
      <c r="C10" s="707"/>
      <c r="D10" s="705" t="s">
        <v>498</v>
      </c>
      <c r="E10" s="704"/>
      <c r="F10" s="1825">
        <f>'Expenditures 15-22'!K174</f>
        <v>578478</v>
      </c>
      <c r="G10" s="708"/>
    </row>
    <row r="11" spans="1:9" x14ac:dyDescent="0.2">
      <c r="A11" s="705" t="s">
        <v>458</v>
      </c>
      <c r="B11" s="706" t="s">
        <v>1853</v>
      </c>
      <c r="C11" s="707"/>
      <c r="D11" s="705" t="s">
        <v>498</v>
      </c>
      <c r="E11" s="704"/>
      <c r="F11" s="1825">
        <f>'Expenditures 15-22'!K210</f>
        <v>222986</v>
      </c>
      <c r="G11" s="708"/>
    </row>
    <row r="12" spans="1:9" x14ac:dyDescent="0.2">
      <c r="A12" s="705" t="s">
        <v>459</v>
      </c>
      <c r="B12" s="706" t="s">
        <v>1854</v>
      </c>
      <c r="C12" s="707"/>
      <c r="D12" s="705" t="s">
        <v>498</v>
      </c>
      <c r="E12" s="704"/>
      <c r="F12" s="1825">
        <f>'Expenditures 15-22'!K295</f>
        <v>197987</v>
      </c>
      <c r="G12" s="708"/>
    </row>
    <row r="13" spans="1:9" x14ac:dyDescent="0.2">
      <c r="A13" s="705" t="s">
        <v>106</v>
      </c>
      <c r="B13" s="706" t="s">
        <v>1855</v>
      </c>
      <c r="C13" s="707"/>
      <c r="D13" s="705" t="s">
        <v>498</v>
      </c>
      <c r="E13" s="704"/>
      <c r="F13" s="1825">
        <f>'Expenditures 15-22'!K342</f>
        <v>50099</v>
      </c>
      <c r="G13" s="709"/>
    </row>
    <row r="14" spans="1:9" ht="12" customHeight="1" thickBot="1" x14ac:dyDescent="0.25">
      <c r="A14" s="1492"/>
      <c r="B14" s="1493"/>
      <c r="C14" s="1494"/>
      <c r="D14" s="1495" t="s">
        <v>498</v>
      </c>
      <c r="E14" s="1496" t="s">
        <v>952</v>
      </c>
      <c r="F14" s="1826">
        <f>SUM(F8:F13)</f>
        <v>7808257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70987</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15321</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131320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10191</v>
      </c>
      <c r="G52" s="701"/>
    </row>
    <row r="53" spans="1:7" x14ac:dyDescent="0.2">
      <c r="A53" s="705" t="s">
        <v>456</v>
      </c>
      <c r="B53" s="705" t="s">
        <v>1461</v>
      </c>
      <c r="C53" s="724">
        <f>'Expenditures 15-22'!B102</f>
        <v>4000</v>
      </c>
      <c r="D53" s="723" t="str">
        <f>'Expenditures 15-22'!A102</f>
        <v>Total Payments to Other Govt Units</v>
      </c>
      <c r="E53" s="704"/>
      <c r="F53" s="1832">
        <f>'Expenditures 15-22'!K102</f>
        <v>738165</v>
      </c>
      <c r="G53" s="701"/>
    </row>
    <row r="54" spans="1:7" x14ac:dyDescent="0.2">
      <c r="A54" s="705" t="s">
        <v>456</v>
      </c>
      <c r="B54" s="705" t="s">
        <v>1462</v>
      </c>
      <c r="C54" s="724" t="s">
        <v>975</v>
      </c>
      <c r="D54" s="720" t="s">
        <v>1088</v>
      </c>
      <c r="E54" s="704"/>
      <c r="F54" s="1832">
        <f>'Expenditures 15-22'!G114</f>
        <v>12287</v>
      </c>
      <c r="G54" s="701"/>
    </row>
    <row r="55" spans="1:7" x14ac:dyDescent="0.2">
      <c r="A55" s="705" t="s">
        <v>456</v>
      </c>
      <c r="B55" s="705" t="s">
        <v>1463</v>
      </c>
      <c r="C55" s="724" t="s">
        <v>975</v>
      </c>
      <c r="D55" s="720" t="s">
        <v>288</v>
      </c>
      <c r="E55" s="704"/>
      <c r="F55" s="1832">
        <f>'Expenditures 15-22'!I114</f>
        <v>18641</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147955</v>
      </c>
      <c r="G58" s="701"/>
    </row>
    <row r="59" spans="1:7" x14ac:dyDescent="0.2">
      <c r="A59" s="728" t="s">
        <v>457</v>
      </c>
      <c r="B59" s="692" t="s">
        <v>1858</v>
      </c>
      <c r="C59" s="729" t="s">
        <v>975</v>
      </c>
      <c r="D59" s="692" t="s">
        <v>288</v>
      </c>
      <c r="F59" s="1835">
        <f>'Expenditures 15-22'!I151</f>
        <v>11218</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480000</v>
      </c>
      <c r="G61" s="701"/>
    </row>
    <row r="62" spans="1:7" x14ac:dyDescent="0.2">
      <c r="A62" s="705" t="s">
        <v>458</v>
      </c>
      <c r="B62" s="705" t="s">
        <v>1861</v>
      </c>
      <c r="C62" s="721">
        <f>'Expenditures 15-22'!B185</f>
        <v>3000</v>
      </c>
      <c r="D62" s="712" t="s">
        <v>446</v>
      </c>
      <c r="E62" s="704"/>
      <c r="F62" s="1832">
        <f>'Expenditures 15-22'!K185-SUM('Expenditures 15-22'!G185,'Expenditures 15-22'!I185)</f>
        <v>46</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197625</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3541</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759</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1838056</v>
      </c>
      <c r="G77" s="701"/>
    </row>
    <row r="78" spans="1:9" s="728" customFormat="1" ht="12" customHeight="1" thickTop="1" thickBot="1" x14ac:dyDescent="0.25">
      <c r="A78" s="1499"/>
      <c r="B78" s="1497"/>
      <c r="C78" s="1494"/>
      <c r="D78" s="1498" t="s">
        <v>2015</v>
      </c>
      <c r="E78" s="1496"/>
      <c r="F78" s="1838">
        <f>(F14-F77)</f>
        <v>5970201</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566.70000000000005</v>
      </c>
      <c r="G79" s="733"/>
      <c r="H79" s="705"/>
      <c r="I79" s="705"/>
    </row>
    <row r="80" spans="1:9" s="728" customFormat="1" ht="12" customHeight="1" thickBot="1" x14ac:dyDescent="0.25">
      <c r="A80" s="1501"/>
      <c r="B80" s="1497"/>
      <c r="C80" s="1494"/>
      <c r="D80" s="1498" t="s">
        <v>2016</v>
      </c>
      <c r="E80" s="1496" t="s">
        <v>952</v>
      </c>
      <c r="F80" s="1840">
        <f>IF(F79&gt;0,F78/F79," Complete Line 79")</f>
        <v>10535.029115934356</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33884</v>
      </c>
      <c r="G95" s="745"/>
    </row>
    <row r="96" spans="1:7" x14ac:dyDescent="0.2">
      <c r="A96" s="741" t="s">
        <v>139</v>
      </c>
      <c r="B96" s="741" t="s">
        <v>174</v>
      </c>
      <c r="C96" s="743">
        <v>1700</v>
      </c>
      <c r="D96" s="751" t="str">
        <f>'Revenues 9-14'!A82</f>
        <v>Total District/School Activity Income</v>
      </c>
      <c r="E96" s="739"/>
      <c r="F96" s="1843">
        <f>SUM('Revenues 9-14'!C82,'Revenues 9-14'!D82)</f>
        <v>10128</v>
      </c>
      <c r="G96" s="745"/>
    </row>
    <row r="97" spans="1:7" x14ac:dyDescent="0.2">
      <c r="A97" s="741" t="s">
        <v>456</v>
      </c>
      <c r="B97" s="741" t="s">
        <v>175</v>
      </c>
      <c r="C97" s="743">
        <f>'Revenues 9-14'!B84</f>
        <v>1811</v>
      </c>
      <c r="D97" s="744" t="str">
        <f>'Revenues 9-14'!A84</f>
        <v>Rentals - Regular Textbooks</v>
      </c>
      <c r="E97" s="739"/>
      <c r="F97" s="1843">
        <f>'Revenues 9-14'!C84</f>
        <v>59846</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52000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96958</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880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132850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70280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101285</v>
      </c>
      <c r="G126" s="763"/>
    </row>
    <row r="127" spans="1:7" x14ac:dyDescent="0.2">
      <c r="A127" s="760" t="s">
        <v>663</v>
      </c>
      <c r="B127" s="760" t="s">
        <v>1934</v>
      </c>
      <c r="C127" s="765">
        <v>4300</v>
      </c>
      <c r="D127" s="766" t="str">
        <f>'Revenues 9-14'!A204</f>
        <v>Total Title I</v>
      </c>
      <c r="E127" s="739"/>
      <c r="F127" s="1843">
        <f>SUM('Revenues 9-14'!C204,'Revenues 9-14'!D204,'Revenues 9-14'!F204,'Revenues 9-14'!G204)</f>
        <v>87203</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5702</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122970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32202</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13159</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11772</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51501</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194239</v>
      </c>
      <c r="G172" s="760"/>
    </row>
    <row r="173" spans="1:7" x14ac:dyDescent="0.2">
      <c r="A173" s="1579" t="s">
        <v>659</v>
      </c>
      <c r="B173" s="1580" t="s">
        <v>1888</v>
      </c>
      <c r="C173" s="1581">
        <v>3300</v>
      </c>
      <c r="D173" s="1582" t="s">
        <v>1891</v>
      </c>
      <c r="E173" s="739"/>
      <c r="F173" s="1844">
        <v>3675</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1130534</v>
      </c>
    </row>
    <row r="176" spans="1:7" ht="12" customHeight="1" x14ac:dyDescent="0.2">
      <c r="A176" s="1492"/>
      <c r="B176" s="1502"/>
      <c r="C176" s="1503"/>
      <c r="D176" s="1504" t="s">
        <v>2017</v>
      </c>
      <c r="E176" s="1505"/>
      <c r="F176" s="1843">
        <f>'PCTC-OEPP 27-28'!F78-F175</f>
        <v>4839667</v>
      </c>
    </row>
    <row r="177" spans="1:9" ht="12" customHeight="1" x14ac:dyDescent="0.2">
      <c r="A177" s="1492"/>
      <c r="B177" s="1502"/>
      <c r="C177" s="1503"/>
      <c r="D177" s="1504" t="s">
        <v>1797</v>
      </c>
      <c r="E177" s="1505"/>
      <c r="F177" s="1843">
        <f>'Cap Outlay Deprec 26'!I18</f>
        <v>291689.90000000002</v>
      </c>
    </row>
    <row r="178" spans="1:9" ht="12" customHeight="1" x14ac:dyDescent="0.2">
      <c r="A178" s="1492"/>
      <c r="B178" s="1502"/>
      <c r="C178" s="1503"/>
      <c r="D178" s="1504" t="s">
        <v>2018</v>
      </c>
      <c r="E178" s="1505"/>
      <c r="F178" s="1843">
        <f>F176+F177</f>
        <v>5131356.9000000004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566.70000000000005</v>
      </c>
      <c r="G179" s="763"/>
      <c r="I179" s="701"/>
    </row>
    <row r="180" spans="1:9" ht="12" customHeight="1" thickBot="1" x14ac:dyDescent="0.25">
      <c r="A180" s="1492"/>
      <c r="B180" s="1506"/>
      <c r="C180" s="1503"/>
      <c r="D180" s="1504" t="s">
        <v>2020</v>
      </c>
      <c r="E180" s="1505" t="s">
        <v>1531</v>
      </c>
      <c r="F180" s="1848">
        <f>F178/F179</f>
        <v>9054.8030704076227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2085</v>
      </c>
      <c r="B18" s="1971">
        <v>102560400</v>
      </c>
      <c r="C18" s="2105" t="s">
        <v>2086</v>
      </c>
      <c r="D18" s="1949">
        <v>84322</v>
      </c>
      <c r="E18" s="1969" t="str">
        <f t="shared" ref="E18:E81" si="0">IF(D18&lt;25000,D18,"25,000")</f>
        <v>25,000</v>
      </c>
      <c r="F18" s="1969">
        <f t="shared" ref="F18:F81" si="1">IF(D18&gt;=25000,(D18-E18),"0")</f>
        <v>59322</v>
      </c>
      <c r="G18" s="1950"/>
    </row>
    <row r="19" spans="1:7" x14ac:dyDescent="0.25">
      <c r="A19" s="2104" t="s">
        <v>2088</v>
      </c>
      <c r="B19" s="1971">
        <v>102540300</v>
      </c>
      <c r="C19" s="2105" t="s">
        <v>2087</v>
      </c>
      <c r="D19" s="1949">
        <v>29931</v>
      </c>
      <c r="E19" s="1969" t="str">
        <f t="shared" si="0"/>
        <v>25,000</v>
      </c>
      <c r="F19" s="1969">
        <f t="shared" si="1"/>
        <v>4931</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114253</v>
      </c>
      <c r="E142" s="1956">
        <f>SUM(E18:E141)</f>
        <v>0</v>
      </c>
      <c r="F142" s="1957">
        <f>SUM(F18:F141)</f>
        <v>64253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0" colorId="8" zoomScale="110" zoomScaleNormal="110" workbookViewId="0">
      <selection activeCell="C73" sqref="C7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100656</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9286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3322504</v>
      </c>
      <c r="F19" s="1852"/>
      <c r="G19" s="1854">
        <f>'Expenditures 15-22'!K33-SUM('Expenditures 15-22'!G33,'Expenditures 15-22'!I33)+'Expenditures 15-22'!D229</f>
        <v>3322504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555299</v>
      </c>
      <c r="F21" s="1855"/>
      <c r="G21" s="1858">
        <f>'Expenditures 15-22'!K42-SUM('Expenditures 15-22'!G42,'Expenditures 15-22'!I42)+'Expenditures 15-22'!K120-SUM('Expenditures 15-22'!G120,'Expenditures 15-22'!I120)+'Expenditures 15-22'!K180-SUM('Expenditures 15-22'!G180,'Expenditures 15-22'!I180)+'Expenditures 15-22'!D238</f>
        <v>555299</v>
      </c>
      <c r="H21" s="817"/>
      <c r="I21" s="157"/>
    </row>
    <row r="22" spans="1:9" s="542" customFormat="1" ht="12" customHeight="1" x14ac:dyDescent="0.2">
      <c r="A22" s="824" t="s">
        <v>560</v>
      </c>
      <c r="B22" s="825"/>
      <c r="C22" s="823">
        <v>2200</v>
      </c>
      <c r="D22" s="1855"/>
      <c r="E22" s="1857">
        <f>'Expenditures 15-22'!K47-SUM('Expenditures 15-22'!G47,'Expenditures 15-22'!I47)+'Expenditures 15-22'!D243</f>
        <v>334951</v>
      </c>
      <c r="F22" s="1855"/>
      <c r="G22" s="1858">
        <f>'Expenditures 15-22'!K47-SUM('Expenditures 15-22'!G47,'Expenditures 15-22'!I47)+'Expenditures 15-22'!D243</f>
        <v>334951</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381308</v>
      </c>
      <c r="F23" s="1855"/>
      <c r="G23" s="1857">
        <f>'Expenditures 15-22'!K53-SUM('Expenditures 15-22'!G53,'Expenditures 15-22'!I53)+'Expenditures 15-22'!D257+'Expenditures 15-22'!K330-SUM('Expenditures 15-22'!G330,'Expenditures 15-22'!I330)</f>
        <v>381308</v>
      </c>
      <c r="H23" s="817"/>
      <c r="I23" s="157"/>
    </row>
    <row r="24" spans="1:9" s="542" customFormat="1" ht="12" customHeight="1" x14ac:dyDescent="0.2">
      <c r="A24" s="824" t="s">
        <v>562</v>
      </c>
      <c r="B24" s="825"/>
      <c r="C24" s="823">
        <v>2400</v>
      </c>
      <c r="D24" s="1855"/>
      <c r="E24" s="1857">
        <f>'Expenditures 15-22'!K57-SUM('Expenditures 15-22'!G57,'Expenditures 15-22'!I57)+'Expenditures 15-22'!D261</f>
        <v>401424</v>
      </c>
      <c r="F24" s="1855"/>
      <c r="G24" s="1858">
        <f>'Expenditures 15-22'!K57-SUM('Expenditures 15-22'!G57,'Expenditures 15-22'!I57)+'Expenditures 15-22'!D261</f>
        <v>401424</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39188</v>
      </c>
      <c r="E26" s="1857">
        <f>'Expenditures 15-22'!K122-SUM('Expenditures 15-22'!G122,'Expenditures 15-22'!I122)+E7</f>
        <v>0</v>
      </c>
      <c r="F26" s="1857">
        <f>'Expenditures 15-22'!K59-SUM('Expenditures 15-22'!G59,'Expenditures 15-22'!I59)+'Expenditures 15-22'!D263-E7</f>
        <v>39188</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104221</v>
      </c>
      <c r="E27" s="1857">
        <f>E8</f>
        <v>0</v>
      </c>
      <c r="F27" s="1857">
        <f>'Expenditures 15-22'!K60-SUM('Expenditures 15-22'!G60,'Expenditures 15-22'!I60)+'Expenditures 15-22'!D264-E8</f>
        <v>104221</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781110</v>
      </c>
      <c r="F28" s="1859">
        <f>'Expenditures 15-22'!K61-SUM('Expenditures 15-22'!G61,'Expenditures 15-22'!I61)+'Expenditures 15-22'!K124-SUM('Expenditures 15-22'!G124,'Expenditures 15-22'!I124)+'Expenditures 15-22'!D266-E9</f>
        <v>781110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23605</v>
      </c>
      <c r="F29" s="1855"/>
      <c r="G29" s="1858">
        <f>'Expenditures 15-22'!K62-SUM('Expenditures 15-22'!G62,'Expenditures 15-22'!I62)+'Expenditures 15-22'!K125-SUM('Expenditures 15-22'!G125,'Expenditures 15-22'!I125)+'Expenditures 15-22'!K182-SUM('Expenditures 15-22'!G182,'Expenditures 15-22'!I182)+'Expenditures 15-22'!D267</f>
        <v>23605</v>
      </c>
      <c r="H29" s="815"/>
    </row>
    <row r="30" spans="1:9" ht="12" customHeight="1" x14ac:dyDescent="0.2">
      <c r="A30" s="824" t="s">
        <v>100</v>
      </c>
      <c r="B30" s="827"/>
      <c r="C30" s="823">
        <v>2560</v>
      </c>
      <c r="D30" s="1855"/>
      <c r="E30" s="1857">
        <f>'Expenditures 15-22'!K63-SUM('Expenditures 15-22'!G63,'Expenditures 15-22'!I63)+'Expenditures 15-22'!D268-E10</f>
        <v>46916</v>
      </c>
      <c r="F30" s="1855"/>
      <c r="G30" s="1857">
        <f>'Expenditures 15-22'!K63-SUM('Expenditures 15-22'!G63,'Expenditures 15-22'!I63)+'Expenditures 15-22'!D268-E10</f>
        <v>46916</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1710</v>
      </c>
      <c r="F38" s="1855"/>
      <c r="G38" s="1857">
        <f>'Expenditures 15-22'!K73-SUM('Expenditures 15-22'!G73,'Expenditures 15-22'!I73)+'Expenditures 15-22'!K128-SUM('Expenditures 15-22'!G128,'Expenditures 15-22'!I128)+'Expenditures 15-22'!K183-SUM('Expenditures 15-22'!G183,'Expenditures 15-22'!I183)+'Expenditures 15-22'!D278</f>
        <v>1710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10996</v>
      </c>
      <c r="F39" s="1855"/>
      <c r="G39" s="1857">
        <f>'Expenditures 15-22'!K75-SUM('Expenditures 15-22'!G75,'Expenditures 15-22'!I75)+'Expenditures 15-22'!K130-SUM('Expenditures 15-22'!G130,'Expenditures 15-22'!I130)+'Expenditures 15-22'!K185-SUM('Expenditures 15-22'!G185,'Expenditures 15-22'!I185)+'Expenditures 15-22'!D280</f>
        <v>10996</v>
      </c>
    </row>
    <row r="40" spans="1:7" ht="12" customHeight="1" x14ac:dyDescent="0.2">
      <c r="A40" s="820" t="s">
        <v>1801</v>
      </c>
      <c r="B40" s="821"/>
      <c r="C40" s="823"/>
      <c r="D40" s="1855"/>
      <c r="E40" s="1859">
        <f>-'Contracts Paid in CY 29'!F142</f>
        <v>-64253</v>
      </c>
      <c r="F40" s="1855"/>
      <c r="G40" s="1859">
        <f>-'Contracts Paid in CY 29'!F142</f>
        <v>-64253</v>
      </c>
    </row>
    <row r="41" spans="1:7" ht="12" customHeight="1" x14ac:dyDescent="0.2">
      <c r="A41" s="828" t="s">
        <v>155</v>
      </c>
      <c r="B41" s="829"/>
      <c r="C41" s="830"/>
      <c r="D41" s="1859">
        <f>SUM(D19:D39)</f>
        <v>143409</v>
      </c>
      <c r="E41" s="1859">
        <f>SUM(E19:E40)</f>
        <v>5795570</v>
      </c>
      <c r="F41" s="1859">
        <f>SUM(F19:F39)</f>
        <v>924519</v>
      </c>
      <c r="G41" s="1859">
        <f>SUM(G19:G40)</f>
        <v>5014460</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143409</v>
      </c>
      <c r="F43" s="1507" t="s">
        <v>470</v>
      </c>
      <c r="G43" s="1860">
        <f>F41</f>
        <v>924519</v>
      </c>
    </row>
    <row r="44" spans="1:7" ht="12" customHeight="1" x14ac:dyDescent="0.2">
      <c r="A44" s="817"/>
      <c r="B44" s="157"/>
      <c r="C44" s="831"/>
      <c r="D44" s="1507" t="s">
        <v>471</v>
      </c>
      <c r="E44" s="1860">
        <f>E41</f>
        <v>5795570</v>
      </c>
      <c r="F44" s="1507" t="s">
        <v>471</v>
      </c>
      <c r="G44" s="1860">
        <f>G41</f>
        <v>5014460</v>
      </c>
    </row>
    <row r="45" spans="1:7" ht="12" customHeight="1" x14ac:dyDescent="0.2">
      <c r="A45" s="817"/>
      <c r="B45" s="157"/>
      <c r="C45" s="157"/>
      <c r="D45" s="1508" t="s">
        <v>999</v>
      </c>
      <c r="E45" s="1861">
        <f>(E43/E44)</f>
        <v>2.474458940190525E-2</v>
      </c>
      <c r="F45" s="1508" t="s">
        <v>999</v>
      </c>
      <c r="G45" s="1861">
        <f>(G43/G44)</f>
        <v>0.18437060022415175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C73" sqref="C73"/>
      <selection pane="bottomLeft" activeCell="C73" sqref="C73"/>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0" t="s">
        <v>1365</v>
      </c>
      <c r="B1" s="2480"/>
      <c r="C1" s="2480"/>
      <c r="D1" s="2480"/>
      <c r="E1" s="2480"/>
      <c r="F1" s="2480"/>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1" t="s">
        <v>1532</v>
      </c>
      <c r="B5" s="2482"/>
      <c r="C5" s="2483"/>
      <c r="D5" s="2483"/>
      <c r="E5" s="2483"/>
      <c r="F5" s="2483"/>
      <c r="G5" s="1556"/>
      <c r="L5" s="1556"/>
      <c r="M5" s="1913"/>
      <c r="N5" s="1913"/>
      <c r="O5" s="1913"/>
    </row>
    <row r="6" spans="1:15" ht="12" customHeight="1" x14ac:dyDescent="0.25">
      <c r="A6" s="1529"/>
      <c r="B6" s="1530"/>
      <c r="C6" s="2484" t="str">
        <f>COVER!A17</f>
        <v>Lockport SD 91</v>
      </c>
      <c r="D6" s="2484"/>
      <c r="E6" s="2484"/>
      <c r="F6" s="1531"/>
      <c r="G6" s="1556"/>
      <c r="L6" s="1556"/>
      <c r="M6" s="1913"/>
      <c r="N6" s="1913"/>
      <c r="O6" s="1913"/>
    </row>
    <row r="7" spans="1:15" ht="11.25" customHeight="1" thickBot="1" x14ac:dyDescent="0.3">
      <c r="A7" s="1529"/>
      <c r="B7" s="1530"/>
      <c r="C7" s="2485">
        <f>COVER!A13</f>
        <v>56099091002</v>
      </c>
      <c r="D7" s="2485"/>
      <c r="E7" s="2485"/>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t="s">
        <v>2036</v>
      </c>
      <c r="D11" s="1544" t="s">
        <v>2036</v>
      </c>
      <c r="E11" s="1545" t="s">
        <v>2036</v>
      </c>
      <c r="F11" s="1546" t="s">
        <v>2079</v>
      </c>
      <c r="G11" s="1556"/>
      <c r="H11" s="1556">
        <f>IF(C11="X",5,0)</f>
        <v>5</v>
      </c>
      <c r="I11" s="1556">
        <f>IF(D11="X",5,0)</f>
        <v>5</v>
      </c>
      <c r="J11" s="1556">
        <f>IF(E11="X",5,0)</f>
        <v>5</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t="s">
        <v>2036</v>
      </c>
      <c r="D13" s="1544" t="s">
        <v>2036</v>
      </c>
      <c r="E13" s="1547" t="s">
        <v>2036</v>
      </c>
      <c r="F13" s="1546" t="s">
        <v>2080</v>
      </c>
      <c r="G13" s="1556"/>
      <c r="H13" s="1556">
        <f t="shared" si="0"/>
        <v>5</v>
      </c>
      <c r="I13" s="1556">
        <f t="shared" si="1"/>
        <v>5</v>
      </c>
      <c r="J13" s="1556">
        <f t="shared" si="2"/>
        <v>5</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2036</v>
      </c>
      <c r="D19" s="1544" t="s">
        <v>2036</v>
      </c>
      <c r="E19" s="1547" t="s">
        <v>2036</v>
      </c>
      <c r="F19" s="1546" t="s">
        <v>2081</v>
      </c>
      <c r="G19" s="1556"/>
      <c r="H19" s="1556">
        <f t="shared" si="0"/>
        <v>5</v>
      </c>
      <c r="I19" s="1556">
        <f t="shared" si="1"/>
        <v>5</v>
      </c>
      <c r="J19" s="1556">
        <f t="shared" si="2"/>
        <v>5</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t="s">
        <v>2036</v>
      </c>
      <c r="D25" s="1544" t="s">
        <v>2036</v>
      </c>
      <c r="E25" s="1547" t="s">
        <v>2036</v>
      </c>
      <c r="F25" s="1546" t="s">
        <v>2082</v>
      </c>
      <c r="G25" s="1556"/>
      <c r="H25" s="1556">
        <f t="shared" si="0"/>
        <v>5</v>
      </c>
      <c r="I25" s="1556">
        <f t="shared" si="1"/>
        <v>5</v>
      </c>
      <c r="J25" s="1556">
        <f t="shared" si="2"/>
        <v>5</v>
      </c>
      <c r="L25" s="1556"/>
      <c r="M25" s="1913"/>
      <c r="N25" s="1913"/>
      <c r="O25" s="1913"/>
    </row>
    <row r="26" spans="1:15" ht="12" customHeight="1" x14ac:dyDescent="0.2">
      <c r="A26" s="1542" t="s">
        <v>1520</v>
      </c>
      <c r="B26" s="1543"/>
      <c r="C26" s="1544" t="s">
        <v>2036</v>
      </c>
      <c r="D26" s="1544" t="s">
        <v>2036</v>
      </c>
      <c r="E26" s="1547" t="s">
        <v>2036</v>
      </c>
      <c r="F26" s="1546" t="s">
        <v>2082</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2036</v>
      </c>
      <c r="D30" s="1544" t="s">
        <v>2036</v>
      </c>
      <c r="E30" s="1547" t="s">
        <v>2036</v>
      </c>
      <c r="F30" s="1546" t="s">
        <v>2084</v>
      </c>
      <c r="G30" s="1556"/>
      <c r="H30" s="1556">
        <f t="shared" si="0"/>
        <v>5</v>
      </c>
      <c r="I30" s="1556">
        <f t="shared" si="1"/>
        <v>5</v>
      </c>
      <c r="J30" s="1556">
        <f t="shared" si="2"/>
        <v>5</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t="s">
        <v>2036</v>
      </c>
      <c r="D32" s="1544" t="s">
        <v>2036</v>
      </c>
      <c r="E32" s="1547" t="s">
        <v>2036</v>
      </c>
      <c r="F32" s="1546" t="s">
        <v>2083</v>
      </c>
      <c r="G32" s="1556"/>
      <c r="H32" s="1556">
        <f t="shared" si="0"/>
        <v>5</v>
      </c>
      <c r="I32" s="1556">
        <f t="shared" si="1"/>
        <v>5</v>
      </c>
      <c r="J32" s="1556">
        <f t="shared" si="2"/>
        <v>5</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35</v>
      </c>
      <c r="I34" s="1556">
        <f>SUM(I11:I32)</f>
        <v>35</v>
      </c>
      <c r="J34" s="1556">
        <f>SUM(J11:J32)</f>
        <v>35</v>
      </c>
      <c r="K34" s="1556">
        <f>SUM(H34:J34)</f>
        <v>105</v>
      </c>
      <c r="L34" s="1556"/>
      <c r="M34" s="1913"/>
      <c r="N34" s="1913"/>
      <c r="O34" s="1913"/>
    </row>
    <row r="35" spans="1:15" ht="12" customHeight="1" x14ac:dyDescent="0.2">
      <c r="A35" s="1549" t="s">
        <v>1378</v>
      </c>
      <c r="B35" s="1550"/>
      <c r="C35" s="2486"/>
      <c r="D35" s="2486"/>
      <c r="E35" s="2486"/>
      <c r="F35" s="2487"/>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72"/>
      <c r="B38" s="2473"/>
      <c r="C38" s="2473"/>
      <c r="D38" s="2473"/>
      <c r="E38" s="2473"/>
      <c r="F38" s="2474"/>
    </row>
    <row r="39" spans="1:15" ht="4.5" hidden="1" customHeight="1" x14ac:dyDescent="0.2">
      <c r="A39" s="1551"/>
      <c r="B39" s="1551"/>
      <c r="C39" s="1551"/>
      <c r="D39" s="1551"/>
      <c r="E39" s="1551"/>
      <c r="F39" s="1551"/>
    </row>
    <row r="40" spans="1:15" s="1548" customFormat="1" ht="12" customHeight="1" x14ac:dyDescent="0.25">
      <c r="A40" s="1552" t="s">
        <v>1377</v>
      </c>
      <c r="B40" s="1553"/>
      <c r="C40" s="2475"/>
      <c r="D40" s="2475"/>
      <c r="E40" s="2475"/>
      <c r="F40" s="2476"/>
      <c r="H40" s="1557"/>
      <c r="I40" s="1557"/>
      <c r="J40" s="1557"/>
      <c r="K40" s="1557"/>
    </row>
    <row r="41" spans="1:15" s="1548" customFormat="1" ht="12" customHeight="1" x14ac:dyDescent="0.25">
      <c r="A41" s="2477"/>
      <c r="B41" s="2478"/>
      <c r="C41" s="2478"/>
      <c r="D41" s="2478"/>
      <c r="E41" s="2478"/>
      <c r="F41" s="2479"/>
      <c r="H41" s="1557"/>
      <c r="I41" s="1557"/>
      <c r="J41" s="1557"/>
      <c r="K41" s="1557"/>
    </row>
    <row r="42" spans="1:15" s="1548" customFormat="1" ht="12" customHeight="1" x14ac:dyDescent="0.25">
      <c r="A42" s="2477"/>
      <c r="B42" s="2478"/>
      <c r="C42" s="2478"/>
      <c r="D42" s="2478"/>
      <c r="E42" s="2478"/>
      <c r="F42" s="2479"/>
      <c r="H42" s="1557"/>
      <c r="I42" s="1557"/>
      <c r="J42" s="1557"/>
      <c r="K42" s="1557"/>
    </row>
    <row r="43" spans="1:15" s="1548" customFormat="1" ht="15" x14ac:dyDescent="0.25">
      <c r="A43" s="2466"/>
      <c r="B43" s="2467"/>
      <c r="C43" s="2467"/>
      <c r="D43" s="2467"/>
      <c r="E43" s="2467"/>
      <c r="F43" s="2468"/>
      <c r="H43" s="1557"/>
      <c r="I43" s="1557"/>
      <c r="J43" s="1557"/>
      <c r="K43" s="1557"/>
    </row>
    <row r="44" spans="1:15" s="1548" customFormat="1" ht="12" hidden="1" customHeight="1" x14ac:dyDescent="0.25">
      <c r="A44" s="2466"/>
      <c r="B44" s="2467"/>
      <c r="C44" s="2467"/>
      <c r="D44" s="2467"/>
      <c r="E44" s="2467"/>
      <c r="F44" s="246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C73" sqref="C7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Lockport SD 91</v>
      </c>
      <c r="J6" s="2494"/>
      <c r="K6" s="2495"/>
      <c r="R6" s="1427"/>
    </row>
    <row r="7" spans="1:18" x14ac:dyDescent="0.2">
      <c r="A7" s="2496" t="s">
        <v>864</v>
      </c>
      <c r="B7" s="2497"/>
      <c r="C7" s="2497"/>
      <c r="D7" s="2497"/>
      <c r="E7" s="2498"/>
      <c r="F7" s="847"/>
      <c r="G7" s="839"/>
      <c r="H7" s="846" t="s">
        <v>369</v>
      </c>
      <c r="I7" s="2499">
        <f>COVER!A13</f>
        <v>56099091002</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242621</v>
      </c>
      <c r="F12" s="1864"/>
      <c r="G12" s="1863">
        <f t="shared" ref="G12:G18" si="0">SUM(E12:F12)</f>
        <v>242621</v>
      </c>
      <c r="H12" s="1865">
        <v>250358</v>
      </c>
      <c r="I12" s="1864"/>
      <c r="J12" s="1865"/>
      <c r="K12" s="1863">
        <f t="shared" ref="K12:K18" si="1">SUM(H12:J12)</f>
        <v>250358</v>
      </c>
    </row>
    <row r="13" spans="1:18" ht="15" customHeight="1" x14ac:dyDescent="0.2">
      <c r="A13" s="863">
        <v>2</v>
      </c>
      <c r="B13" s="864" t="s">
        <v>42</v>
      </c>
      <c r="C13" s="865"/>
      <c r="D13" s="866">
        <v>2330</v>
      </c>
      <c r="E13" s="1863">
        <f>'Expenditures 15-22'!K51</f>
        <v>1500</v>
      </c>
      <c r="F13" s="1864"/>
      <c r="G13" s="1863">
        <f t="shared" si="0"/>
        <v>1500</v>
      </c>
      <c r="H13" s="1865">
        <v>1500</v>
      </c>
      <c r="I13" s="1864"/>
      <c r="J13" s="1865"/>
      <c r="K13" s="1863">
        <f t="shared" si="1"/>
        <v>1500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38212</v>
      </c>
      <c r="F15" s="1863">
        <f>'Expenditures 15-22'!K122</f>
        <v>0</v>
      </c>
      <c r="G15" s="1863">
        <f t="shared" si="0"/>
        <v>38212</v>
      </c>
      <c r="H15" s="1865">
        <v>39216</v>
      </c>
      <c r="I15" s="1865"/>
      <c r="J15" s="1865"/>
      <c r="K15" s="1863">
        <f t="shared" si="1"/>
        <v>39216</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282333</v>
      </c>
      <c r="F19" s="1868">
        <f t="shared" si="2"/>
        <v>0</v>
      </c>
      <c r="G19" s="1868">
        <f t="shared" si="2"/>
        <v>282333</v>
      </c>
      <c r="H19" s="1868">
        <f t="shared" si="2"/>
        <v>291074</v>
      </c>
      <c r="I19" s="1868">
        <f t="shared" si="2"/>
        <v>0</v>
      </c>
      <c r="J19" s="1868">
        <f t="shared" si="2"/>
        <v>0</v>
      </c>
      <c r="K19" s="1868">
        <f t="shared" si="2"/>
        <v>291074</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3.0959894875908944E-2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4D4C-7F14-49EF-877C-0BA8538939C3}">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4" t="str">
        <f>COVER!A17</f>
        <v>Lockport SD 91</v>
      </c>
      <c r="K6" s="2554"/>
      <c r="L6" s="2555"/>
      <c r="M6" s="899"/>
      <c r="N6" s="1997"/>
    </row>
    <row r="7" spans="1:14" x14ac:dyDescent="0.25">
      <c r="A7" s="2556" t="s">
        <v>864</v>
      </c>
      <c r="B7" s="2557"/>
      <c r="C7" s="2557"/>
      <c r="D7" s="2557"/>
      <c r="E7" s="2558"/>
      <c r="F7" s="2001"/>
      <c r="G7" s="899"/>
      <c r="H7" s="899"/>
      <c r="I7" s="2000" t="s">
        <v>369</v>
      </c>
      <c r="J7" s="2559">
        <f>COVER!A13</f>
        <v>56099091002</v>
      </c>
      <c r="K7" s="2559"/>
      <c r="L7" s="255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2037</v>
      </c>
      <c r="F9" s="2011"/>
      <c r="G9" s="2011"/>
      <c r="H9" s="2011"/>
      <c r="I9" s="2012" t="s">
        <v>2038</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0" t="s">
        <v>478</v>
      </c>
      <c r="B11" s="2561"/>
      <c r="C11" s="2562"/>
      <c r="D11" s="2019" t="s">
        <v>866</v>
      </c>
      <c r="E11" s="2019" t="s">
        <v>64</v>
      </c>
      <c r="F11" s="2019" t="s">
        <v>6</v>
      </c>
      <c r="G11" s="2020" t="s">
        <v>2039</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242621</v>
      </c>
      <c r="F12" s="2027"/>
      <c r="G12" s="2028">
        <f>G68</f>
        <v>0</v>
      </c>
      <c r="H12" s="2029">
        <f t="shared" ref="H12:H18" si="0">SUM(E12:G12)</f>
        <v>242621</v>
      </c>
      <c r="I12" s="2030">
        <v>250358</v>
      </c>
      <c r="J12" s="2027"/>
      <c r="K12" s="2030"/>
      <c r="L12" s="2029">
        <f t="shared" ref="L12:L18" si="1">SUM(I12:K12)</f>
        <v>250358</v>
      </c>
      <c r="M12" s="899"/>
      <c r="N12" s="1997"/>
    </row>
    <row r="13" spans="1:14" x14ac:dyDescent="0.25">
      <c r="A13" s="2022">
        <v>2</v>
      </c>
      <c r="B13" s="2023" t="s">
        <v>42</v>
      </c>
      <c r="C13" s="2024"/>
      <c r="D13" s="2025">
        <v>2330</v>
      </c>
      <c r="E13" s="2026">
        <f>'Expenditures 15-22'!K51</f>
        <v>1500</v>
      </c>
      <c r="F13" s="2027"/>
      <c r="G13" s="2028">
        <f>H68</f>
        <v>0</v>
      </c>
      <c r="H13" s="2029">
        <f t="shared" si="0"/>
        <v>1500</v>
      </c>
      <c r="I13" s="2030">
        <v>1500</v>
      </c>
      <c r="J13" s="2027"/>
      <c r="K13" s="2030"/>
      <c r="L13" s="2029">
        <f t="shared" si="1"/>
        <v>1500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38212</v>
      </c>
      <c r="F15" s="2026">
        <f>'Expenditures 15-22'!K122</f>
        <v>0</v>
      </c>
      <c r="G15" s="2028">
        <f>J68</f>
        <v>0</v>
      </c>
      <c r="H15" s="2029">
        <f t="shared" si="0"/>
        <v>38212</v>
      </c>
      <c r="I15" s="2030">
        <v>39216</v>
      </c>
      <c r="J15" s="2030"/>
      <c r="K15" s="2030"/>
      <c r="L15" s="2029">
        <f t="shared" si="1"/>
        <v>39216</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282333</v>
      </c>
      <c r="F19" s="2035">
        <f t="shared" si="2"/>
        <v>0</v>
      </c>
      <c r="G19" s="2035">
        <f t="shared" ref="G19" si="3">SUM(G12:G17)-G18</f>
        <v>0</v>
      </c>
      <c r="H19" s="2035">
        <f t="shared" si="2"/>
        <v>282333</v>
      </c>
      <c r="I19" s="2035">
        <f t="shared" si="2"/>
        <v>291074</v>
      </c>
      <c r="J19" s="2035">
        <f t="shared" si="2"/>
        <v>0</v>
      </c>
      <c r="K19" s="2035">
        <f t="shared" si="2"/>
        <v>0</v>
      </c>
      <c r="L19" s="2035">
        <f t="shared" si="2"/>
        <v>291074</v>
      </c>
      <c r="M19" s="899"/>
      <c r="N19" s="1997"/>
    </row>
    <row r="20" spans="1:14" ht="15.75" thickTop="1" x14ac:dyDescent="0.25">
      <c r="A20" s="2022">
        <v>9</v>
      </c>
      <c r="B20" s="2552" t="s">
        <v>2040</v>
      </c>
      <c r="C20" s="2552"/>
      <c r="D20" s="2553"/>
      <c r="E20" s="2036"/>
      <c r="F20" s="2036"/>
      <c r="G20" s="2036"/>
      <c r="H20" s="2036"/>
      <c r="I20" s="2036"/>
      <c r="J20" s="2036"/>
      <c r="K20" s="2036"/>
      <c r="L20" s="2037">
        <f>IF(AND(H19&gt;0,L19&gt;0),(((L19-H19)/H19)),"Enter Budget Data")</f>
        <v>3.0959894875908944E-2</v>
      </c>
      <c r="M20" s="899"/>
      <c r="N20" s="1997"/>
    </row>
    <row r="21" spans="1:14" x14ac:dyDescent="0.25">
      <c r="A21" s="2038" t="s">
        <v>194</v>
      </c>
      <c r="B21" s="294" t="s">
        <v>2041</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2042</v>
      </c>
      <c r="B24" s="2046"/>
      <c r="C24" s="2047"/>
      <c r="D24" s="2047"/>
      <c r="E24" s="2047"/>
      <c r="F24" s="2047"/>
      <c r="G24" s="2047"/>
      <c r="H24" s="2047"/>
      <c r="I24" s="2047"/>
      <c r="J24" s="2047"/>
      <c r="K24" s="2047"/>
      <c r="L24" s="899"/>
      <c r="M24" s="899"/>
      <c r="N24" s="1997"/>
    </row>
    <row r="25" spans="1:14" x14ac:dyDescent="0.25">
      <c r="A25" s="2045" t="s">
        <v>2043</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39"/>
      <c r="D27" s="2539"/>
      <c r="E27" s="2049"/>
      <c r="F27" s="2511"/>
      <c r="G27" s="2511"/>
      <c r="H27" s="2511"/>
      <c r="I27" s="899"/>
      <c r="J27" s="899"/>
      <c r="K27" s="899"/>
      <c r="L27" s="899"/>
      <c r="M27" s="899"/>
      <c r="N27" s="1997"/>
    </row>
    <row r="28" spans="1:14" x14ac:dyDescent="0.25">
      <c r="A28" s="1995"/>
      <c r="B28" s="2043"/>
      <c r="C28" s="2050" t="s">
        <v>1026</v>
      </c>
      <c r="D28" s="2051"/>
      <c r="E28" s="2052"/>
      <c r="F28" s="2540" t="s">
        <v>1495</v>
      </c>
      <c r="G28" s="2540"/>
      <c r="H28" s="2540"/>
      <c r="I28" s="899"/>
      <c r="J28" s="899"/>
      <c r="K28" s="899"/>
      <c r="L28" s="899"/>
      <c r="M28" s="899"/>
      <c r="N28" s="1997"/>
    </row>
    <row r="29" spans="1:14" x14ac:dyDescent="0.25">
      <c r="A29" s="1995"/>
      <c r="B29" s="2043"/>
      <c r="C29" s="2541"/>
      <c r="D29" s="2541"/>
      <c r="E29" s="898"/>
      <c r="F29" s="2541"/>
      <c r="G29" s="2541"/>
      <c r="H29" s="2541"/>
      <c r="I29" s="899"/>
      <c r="J29" s="899"/>
      <c r="K29" s="899"/>
      <c r="L29" s="899"/>
      <c r="M29" s="899"/>
      <c r="N29" s="1997"/>
    </row>
    <row r="30" spans="1:14" x14ac:dyDescent="0.25">
      <c r="A30" s="1995"/>
      <c r="B30" s="2043"/>
      <c r="C30" s="2053" t="s">
        <v>1547</v>
      </c>
      <c r="D30" s="899"/>
      <c r="E30" s="2054"/>
      <c r="F30" s="2542" t="s">
        <v>1496</v>
      </c>
      <c r="G30" s="2542"/>
      <c r="H30" s="2542"/>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3" t="s">
        <v>2044</v>
      </c>
      <c r="D34" s="2543"/>
      <c r="E34" s="2543"/>
      <c r="F34" s="2543"/>
      <c r="G34" s="2543"/>
      <c r="H34" s="2543"/>
      <c r="I34" s="2543"/>
      <c r="J34" s="2543"/>
      <c r="K34" s="2059"/>
      <c r="L34" s="899"/>
      <c r="M34" s="899"/>
      <c r="N34" s="1997"/>
    </row>
    <row r="35" spans="1:14" x14ac:dyDescent="0.25">
      <c r="A35" s="1995"/>
      <c r="B35" s="899"/>
      <c r="C35" s="2543"/>
      <c r="D35" s="2543"/>
      <c r="E35" s="2543"/>
      <c r="F35" s="2543"/>
      <c r="G35" s="2543"/>
      <c r="H35" s="2543"/>
      <c r="I35" s="2543"/>
      <c r="J35" s="2543"/>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3" t="s">
        <v>2045</v>
      </c>
      <c r="D37" s="2543"/>
      <c r="E37" s="2543"/>
      <c r="F37" s="2543"/>
      <c r="G37" s="2543"/>
      <c r="H37" s="2543"/>
      <c r="I37" s="2543"/>
      <c r="J37" s="2543"/>
      <c r="K37" s="2059"/>
      <c r="L37" s="887"/>
      <c r="M37" s="899"/>
      <c r="N37" s="1997"/>
    </row>
    <row r="38" spans="1:14" x14ac:dyDescent="0.25">
      <c r="A38" s="1995"/>
      <c r="B38" s="899"/>
      <c r="C38" s="2543"/>
      <c r="D38" s="2543"/>
      <c r="E38" s="2543"/>
      <c r="F38" s="2543"/>
      <c r="G38" s="2543"/>
      <c r="H38" s="2543"/>
      <c r="I38" s="2543"/>
      <c r="J38" s="2543"/>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4" t="s">
        <v>2046</v>
      </c>
      <c r="D40" s="2545"/>
      <c r="E40" s="2545"/>
      <c r="F40" s="2545"/>
      <c r="G40" s="2545"/>
      <c r="H40" s="2545"/>
      <c r="I40" s="2545"/>
      <c r="J40" s="2545"/>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6" t="s">
        <v>2047</v>
      </c>
      <c r="B43" s="2547"/>
      <c r="C43" s="2547"/>
      <c r="D43" s="2547"/>
      <c r="E43" s="2547"/>
      <c r="F43" s="2547"/>
      <c r="G43" s="2547"/>
      <c r="H43" s="2547"/>
      <c r="I43" s="2547"/>
      <c r="J43" s="2547"/>
      <c r="K43" s="2547"/>
      <c r="L43" s="2547"/>
      <c r="M43" s="2547"/>
      <c r="N43" s="2548"/>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2048</v>
      </c>
      <c r="B45" s="2068"/>
      <c r="C45" s="2068"/>
      <c r="D45" s="2068"/>
      <c r="E45" s="2068"/>
      <c r="F45" s="2068"/>
      <c r="G45" s="2068"/>
      <c r="H45" s="2068"/>
      <c r="I45" s="2068"/>
      <c r="J45" s="2068"/>
      <c r="K45" s="2068"/>
      <c r="L45" s="2068"/>
      <c r="M45" s="2068"/>
      <c r="N45" s="2069"/>
    </row>
    <row r="46" spans="1:14" x14ac:dyDescent="0.25">
      <c r="A46" s="2549" t="s">
        <v>2049</v>
      </c>
      <c r="B46" s="2550"/>
      <c r="C46" s="2550"/>
      <c r="D46" s="2550"/>
      <c r="E46" s="2550"/>
      <c r="F46" s="2550"/>
      <c r="G46" s="2550"/>
      <c r="H46" s="2550"/>
      <c r="I46" s="2550"/>
      <c r="J46" s="2550"/>
      <c r="K46" s="2550"/>
      <c r="L46" s="2550"/>
      <c r="M46" s="2550"/>
      <c r="N46" s="2551"/>
    </row>
    <row r="47" spans="1:14" x14ac:dyDescent="0.25">
      <c r="A47" s="2549"/>
      <c r="B47" s="2550"/>
      <c r="C47" s="2550"/>
      <c r="D47" s="2550"/>
      <c r="E47" s="2550"/>
      <c r="F47" s="2550"/>
      <c r="G47" s="2550"/>
      <c r="H47" s="2550"/>
      <c r="I47" s="2550"/>
      <c r="J47" s="2550"/>
      <c r="K47" s="2550"/>
      <c r="L47" s="2550"/>
      <c r="M47" s="2550"/>
      <c r="N47" s="2551"/>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2050</v>
      </c>
      <c r="B49" s="2074"/>
      <c r="C49" s="2074"/>
      <c r="D49" s="2075"/>
      <c r="E49" s="2075"/>
      <c r="F49" s="2075"/>
      <c r="G49" s="2075"/>
      <c r="H49" s="2075"/>
      <c r="I49" s="2075"/>
      <c r="J49" s="2075"/>
      <c r="K49" s="2075"/>
      <c r="L49" s="2075"/>
      <c r="M49" s="2075"/>
      <c r="N49" s="2076"/>
    </row>
    <row r="50" spans="1:14" x14ac:dyDescent="0.25">
      <c r="A50" s="2073" t="s">
        <v>2051</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37" t="str">
        <f>J6</f>
        <v>Lockport SD 91</v>
      </c>
      <c r="M52" s="2537"/>
      <c r="N52" s="2538"/>
    </row>
    <row r="53" spans="1:14" x14ac:dyDescent="0.25">
      <c r="A53" s="2067"/>
      <c r="B53" s="2068"/>
      <c r="C53" s="2068"/>
      <c r="D53" s="2068"/>
      <c r="E53" s="2068"/>
      <c r="F53" s="2068"/>
      <c r="G53" s="2068"/>
      <c r="H53" s="2068"/>
      <c r="I53" s="2068"/>
      <c r="J53" s="2068"/>
      <c r="K53" s="2000" t="s">
        <v>369</v>
      </c>
      <c r="L53" s="2524">
        <f>J7</f>
        <v>56099091002</v>
      </c>
      <c r="M53" s="2524"/>
      <c r="N53" s="2525"/>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6"/>
      <c r="B55" s="2527"/>
      <c r="C55" s="2527"/>
      <c r="D55" s="2077"/>
      <c r="E55" s="2077"/>
      <c r="F55" s="2077"/>
      <c r="G55" s="2528" t="s">
        <v>2052</v>
      </c>
      <c r="H55" s="2528"/>
      <c r="I55" s="2528"/>
      <c r="J55" s="2528"/>
      <c r="K55" s="2528"/>
      <c r="L55" s="2528"/>
      <c r="M55" s="2528"/>
      <c r="N55" s="2529"/>
    </row>
    <row r="56" spans="1:14" ht="64.5" x14ac:dyDescent="0.25">
      <c r="A56" s="2530" t="s">
        <v>2053</v>
      </c>
      <c r="B56" s="2531"/>
      <c r="C56" s="2532"/>
      <c r="D56" s="2078" t="s">
        <v>2054</v>
      </c>
      <c r="E56" s="2078" t="s">
        <v>2055</v>
      </c>
      <c r="F56" s="2079"/>
      <c r="G56" s="2078" t="s">
        <v>2056</v>
      </c>
      <c r="H56" s="2078" t="s">
        <v>2057</v>
      </c>
      <c r="I56" s="2078" t="s">
        <v>2058</v>
      </c>
      <c r="J56" s="2078" t="s">
        <v>2059</v>
      </c>
      <c r="K56" s="2078" t="s">
        <v>2060</v>
      </c>
      <c r="L56" s="2078" t="s">
        <v>2061</v>
      </c>
      <c r="M56" s="2078" t="s">
        <v>2062</v>
      </c>
      <c r="N56" s="2080" t="s">
        <v>2063</v>
      </c>
    </row>
    <row r="57" spans="1:14" ht="24" customHeight="1" x14ac:dyDescent="0.25">
      <c r="A57" s="2533" t="s">
        <v>296</v>
      </c>
      <c r="B57" s="2534"/>
      <c r="C57" s="2534"/>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5" t="s">
        <v>2064</v>
      </c>
      <c r="B58" s="2536"/>
      <c r="C58" s="2536"/>
      <c r="D58" s="2087">
        <v>2362</v>
      </c>
      <c r="E58" s="2082">
        <f>'Expenditures 15-22'!K320</f>
        <v>19623</v>
      </c>
      <c r="F58" s="2083"/>
      <c r="G58" s="2088"/>
      <c r="H58" s="2089"/>
      <c r="I58" s="2089"/>
      <c r="J58" s="2089"/>
      <c r="K58" s="2089"/>
      <c r="L58" s="2089"/>
      <c r="M58" s="2089">
        <v>19623</v>
      </c>
      <c r="N58" s="2086">
        <f>IF((SUM(G58:M58))=E58,SUM(G58:M58),"Column N does not agree with Column E")</f>
        <v>19623</v>
      </c>
    </row>
    <row r="59" spans="1:14" ht="24.75" customHeight="1" x14ac:dyDescent="0.25">
      <c r="A59" s="2517" t="s">
        <v>297</v>
      </c>
      <c r="B59" s="2518"/>
      <c r="C59" s="2518"/>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17" t="s">
        <v>236</v>
      </c>
      <c r="B60" s="2518"/>
      <c r="C60" s="2518"/>
      <c r="D60" s="2087">
        <v>2364</v>
      </c>
      <c r="E60" s="2082">
        <f>'Expenditures 15-22'!K322</f>
        <v>29929</v>
      </c>
      <c r="F60" s="2083"/>
      <c r="G60" s="2088"/>
      <c r="H60" s="2089"/>
      <c r="I60" s="2089"/>
      <c r="J60" s="2089"/>
      <c r="K60" s="2089"/>
      <c r="L60" s="2089"/>
      <c r="M60" s="2089">
        <v>29929</v>
      </c>
      <c r="N60" s="2086">
        <f t="shared" si="4"/>
        <v>29929</v>
      </c>
    </row>
    <row r="61" spans="1:14" ht="24.75" customHeight="1" x14ac:dyDescent="0.25">
      <c r="A61" s="2517" t="s">
        <v>697</v>
      </c>
      <c r="B61" s="2518"/>
      <c r="C61" s="2518"/>
      <c r="D61" s="2087">
        <v>2365</v>
      </c>
      <c r="E61" s="2082">
        <f>'Expenditures 15-22'!K323</f>
        <v>0</v>
      </c>
      <c r="F61" s="2083"/>
      <c r="G61" s="2088"/>
      <c r="H61" s="2089"/>
      <c r="I61" s="2089"/>
      <c r="J61" s="2089"/>
      <c r="K61" s="2089"/>
      <c r="L61" s="2089"/>
      <c r="M61" s="2089"/>
      <c r="N61" s="2086">
        <f t="shared" si="4"/>
        <v>0</v>
      </c>
    </row>
    <row r="62" spans="1:14" ht="24.75" customHeight="1" x14ac:dyDescent="0.25">
      <c r="A62" s="2517" t="s">
        <v>237</v>
      </c>
      <c r="B62" s="2518"/>
      <c r="C62" s="2518"/>
      <c r="D62" s="2087">
        <v>2366</v>
      </c>
      <c r="E62" s="2082">
        <f>'Expenditures 15-22'!K324</f>
        <v>0</v>
      </c>
      <c r="F62" s="2083"/>
      <c r="G62" s="2088"/>
      <c r="H62" s="2089"/>
      <c r="I62" s="2089"/>
      <c r="J62" s="2089"/>
      <c r="K62" s="2089"/>
      <c r="L62" s="2089"/>
      <c r="M62" s="2089"/>
      <c r="N62" s="2086">
        <f t="shared" si="4"/>
        <v>0</v>
      </c>
    </row>
    <row r="63" spans="1:14" ht="24.75" customHeight="1" x14ac:dyDescent="0.25">
      <c r="A63" s="2535" t="s">
        <v>1022</v>
      </c>
      <c r="B63" s="2536"/>
      <c r="C63" s="2536"/>
      <c r="D63" s="2087">
        <v>2367</v>
      </c>
      <c r="E63" s="2082">
        <f>'Expenditures 15-22'!K325</f>
        <v>547</v>
      </c>
      <c r="F63" s="2083"/>
      <c r="G63" s="2088"/>
      <c r="H63" s="2089"/>
      <c r="I63" s="2089"/>
      <c r="J63" s="2089"/>
      <c r="K63" s="2089"/>
      <c r="L63" s="2089"/>
      <c r="M63" s="2089">
        <f>+E63</f>
        <v>547</v>
      </c>
      <c r="N63" s="2086">
        <f t="shared" si="4"/>
        <v>547</v>
      </c>
    </row>
    <row r="64" spans="1:14" ht="24.75" customHeight="1" x14ac:dyDescent="0.25">
      <c r="A64" s="2517" t="s">
        <v>1023</v>
      </c>
      <c r="B64" s="2518"/>
      <c r="C64" s="2518"/>
      <c r="D64" s="2087">
        <v>2368</v>
      </c>
      <c r="E64" s="2082">
        <f>'Expenditures 15-22'!K326</f>
        <v>0</v>
      </c>
      <c r="F64" s="2083"/>
      <c r="G64" s="2088"/>
      <c r="H64" s="2089"/>
      <c r="I64" s="2089"/>
      <c r="J64" s="2089"/>
      <c r="K64" s="2089"/>
      <c r="L64" s="2089"/>
      <c r="M64" s="2089"/>
      <c r="N64" s="2086">
        <f t="shared" si="4"/>
        <v>0</v>
      </c>
    </row>
    <row r="65" spans="1:14" ht="24" customHeight="1" x14ac:dyDescent="0.25">
      <c r="A65" s="2517" t="s">
        <v>965</v>
      </c>
      <c r="B65" s="2518"/>
      <c r="C65" s="2518"/>
      <c r="D65" s="2087">
        <v>2369</v>
      </c>
      <c r="E65" s="2082">
        <f>'Expenditures 15-22'!K327</f>
        <v>0</v>
      </c>
      <c r="F65" s="2083"/>
      <c r="G65" s="2088"/>
      <c r="H65" s="2089"/>
      <c r="I65" s="2089"/>
      <c r="J65" s="2089"/>
      <c r="K65" s="2089"/>
      <c r="L65" s="2089"/>
      <c r="M65" s="2089"/>
      <c r="N65" s="2086">
        <f t="shared" si="4"/>
        <v>0</v>
      </c>
    </row>
    <row r="66" spans="1:14" ht="24.75" customHeight="1" x14ac:dyDescent="0.25">
      <c r="A66" s="2517" t="s">
        <v>469</v>
      </c>
      <c r="B66" s="2518"/>
      <c r="C66" s="2518"/>
      <c r="D66" s="2087">
        <v>2371</v>
      </c>
      <c r="E66" s="2082">
        <f>'Expenditures 15-22'!K328</f>
        <v>0</v>
      </c>
      <c r="F66" s="2083"/>
      <c r="G66" s="2088"/>
      <c r="H66" s="2089"/>
      <c r="I66" s="2089"/>
      <c r="J66" s="2089"/>
      <c r="K66" s="2089"/>
      <c r="L66" s="2089"/>
      <c r="M66" s="2089"/>
      <c r="N66" s="2086">
        <f t="shared" si="4"/>
        <v>0</v>
      </c>
    </row>
    <row r="67" spans="1:14" ht="24.75" customHeight="1" x14ac:dyDescent="0.25">
      <c r="A67" s="2519" t="s">
        <v>2065</v>
      </c>
      <c r="B67" s="2520"/>
      <c r="C67" s="2520"/>
      <c r="D67" s="2090">
        <v>2372</v>
      </c>
      <c r="E67" s="2082">
        <f>'Expenditures 15-22'!K329</f>
        <v>0</v>
      </c>
      <c r="F67" s="2083"/>
      <c r="G67" s="2091"/>
      <c r="H67" s="2092"/>
      <c r="I67" s="2092"/>
      <c r="J67" s="2092"/>
      <c r="K67" s="2092"/>
      <c r="L67" s="2092"/>
      <c r="M67" s="2092"/>
      <c r="N67" s="2086">
        <f t="shared" si="4"/>
        <v>0</v>
      </c>
    </row>
    <row r="68" spans="1:14" x14ac:dyDescent="0.25">
      <c r="A68" s="2521" t="s">
        <v>1153</v>
      </c>
      <c r="B68" s="2522"/>
      <c r="C68" s="2522"/>
      <c r="D68" s="2077"/>
      <c r="E68" s="2093">
        <f>SUM(E57:E67)</f>
        <v>50099</v>
      </c>
      <c r="F68" s="2094"/>
      <c r="G68" s="2093">
        <f t="shared" ref="G68:N68" si="5">SUM(G57:G67)</f>
        <v>0</v>
      </c>
      <c r="H68" s="2093">
        <f t="shared" si="5"/>
        <v>0</v>
      </c>
      <c r="I68" s="2093">
        <f t="shared" si="5"/>
        <v>0</v>
      </c>
      <c r="J68" s="2093">
        <f t="shared" si="5"/>
        <v>0</v>
      </c>
      <c r="K68" s="2093">
        <f t="shared" si="5"/>
        <v>0</v>
      </c>
      <c r="L68" s="2093">
        <f t="shared" si="5"/>
        <v>0</v>
      </c>
      <c r="M68" s="2093">
        <f t="shared" si="5"/>
        <v>50099</v>
      </c>
      <c r="N68" s="2095">
        <f t="shared" si="5"/>
        <v>50099</v>
      </c>
    </row>
    <row r="69" spans="1:14" x14ac:dyDescent="0.25">
      <c r="A69" s="2096"/>
      <c r="B69" s="2097"/>
      <c r="C69" s="2097"/>
      <c r="D69" s="2097"/>
      <c r="E69" s="2097"/>
      <c r="F69" s="2097"/>
      <c r="G69" s="2097"/>
      <c r="H69" s="2098" t="s">
        <v>2066</v>
      </c>
      <c r="I69" s="2097"/>
      <c r="J69" s="2097"/>
      <c r="K69" s="2097"/>
      <c r="L69" s="2098" t="s">
        <v>2067</v>
      </c>
      <c r="M69" s="2097"/>
      <c r="N69" s="2099"/>
    </row>
    <row r="70" spans="1:14" ht="46.5" customHeight="1" x14ac:dyDescent="0.25">
      <c r="A70" s="2100" t="s">
        <v>2068</v>
      </c>
      <c r="B70" s="2097"/>
      <c r="C70" s="2097"/>
      <c r="D70" s="2097"/>
      <c r="E70" s="2097"/>
      <c r="F70" s="2097"/>
      <c r="G70" s="2097"/>
      <c r="H70" s="2513" t="s">
        <v>2069</v>
      </c>
      <c r="I70" s="2513"/>
      <c r="J70" s="2513"/>
      <c r="K70" s="2097"/>
      <c r="L70" s="2513" t="s">
        <v>2070</v>
      </c>
      <c r="M70" s="2513"/>
      <c r="N70" s="2523"/>
    </row>
    <row r="71" spans="1:14" ht="42.75" customHeight="1" x14ac:dyDescent="0.25">
      <c r="A71" s="2096"/>
      <c r="B71" s="2097"/>
      <c r="C71" s="2097"/>
      <c r="D71" s="2097"/>
      <c r="E71" s="2097"/>
      <c r="F71" s="2097"/>
      <c r="G71" s="2097"/>
      <c r="H71" s="2513" t="s">
        <v>2071</v>
      </c>
      <c r="I71" s="2513"/>
      <c r="J71" s="2513"/>
      <c r="K71" s="2097"/>
      <c r="L71" s="2514" t="s">
        <v>2072</v>
      </c>
      <c r="M71" s="2514"/>
      <c r="N71" s="2515"/>
    </row>
    <row r="72" spans="1:14" ht="52.5" customHeight="1" thickBot="1" x14ac:dyDescent="0.3">
      <c r="A72" s="2101"/>
      <c r="B72" s="2102"/>
      <c r="C72" s="2102"/>
      <c r="D72" s="2102"/>
      <c r="E72" s="2102"/>
      <c r="F72" s="2102"/>
      <c r="G72" s="2102"/>
      <c r="H72" s="2516" t="s">
        <v>2073</v>
      </c>
      <c r="I72" s="2516"/>
      <c r="J72" s="2516"/>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317DDDA5-8DFA-41C4-B137-286421C2C6C3}"/>
    <dataValidation allowBlank="1" showInputMessage="1" showErrorMessage="1" prompt="Link cell K328 from &quot;Expenditures 15-22&quot; tab" sqref="E66" xr:uid="{6CC27BEC-78CD-4916-8937-A7F994C3AF66}"/>
    <dataValidation allowBlank="1" showInputMessage="1" showErrorMessage="1" prompt="Link cell K327 from &quot;Expenditures 15-22&quot; tab" sqref="E65" xr:uid="{02458749-A99B-42A3-A349-F79DC1437548}"/>
    <dataValidation allowBlank="1" showInputMessage="1" showErrorMessage="1" prompt="Link cell K326 from &quot;Expenditures 15-22&quot; tab" sqref="E64" xr:uid="{CF036703-EB0D-4724-909B-7461C4539154}"/>
    <dataValidation allowBlank="1" showInputMessage="1" showErrorMessage="1" prompt="Link cell K325 from &quot;Expenditures 15-22&quot; tab" sqref="E63" xr:uid="{E09BB523-B2DC-46F9-A109-732EEA946B63}"/>
    <dataValidation allowBlank="1" showInputMessage="1" showErrorMessage="1" prompt="Link cell K324 from &quot;Expenditures 15-22&quot; tab" sqref="E62" xr:uid="{05A0BEFD-8AE6-4C79-9326-70BD324BFC49}"/>
    <dataValidation allowBlank="1" showInputMessage="1" showErrorMessage="1" prompt="Link cell K323 from &quot;Expenditures 15-22&quot; tab" sqref="E61" xr:uid="{5862EFEB-C153-4204-8B4B-020E06EC1B37}"/>
    <dataValidation allowBlank="1" showInputMessage="1" showErrorMessage="1" prompt="Link cell K322 from &quot;Expenditures 15-22&quot; tab" sqref="E60" xr:uid="{429D16C4-D553-4E81-BF48-3AC5C1080464}"/>
    <dataValidation allowBlank="1" showInputMessage="1" showErrorMessage="1" prompt="Link cell K321 from &quot;Expenditures 15-22&quot; tab" sqref="E59" xr:uid="{C21DE533-3AF3-4B71-906F-DCE118DEC3FA}"/>
    <dataValidation allowBlank="1" showInputMessage="1" showErrorMessage="1" prompt="Link cell K320 from &quot;Expenditures 15-22&quot; tab" sqref="E58" xr:uid="{90F673C8-9479-426B-AFA0-564B7D43B8DA}"/>
    <dataValidation allowBlank="1" showInputMessage="1" showErrorMessage="1" prompt="Link cell K319 from &quot;Expenditures 15-22&quot; tab" sqref="E57" xr:uid="{B7CA9EC9-0FB2-4482-A481-7AA24F8B515F}"/>
    <dataValidation allowBlank="1" showInputMessage="1" showErrorMessage="1" prompt="Link cell K122 from &quot;Expenditures 15-22&quot; tab" sqref="F15" xr:uid="{CC36AB59-E213-4CD9-9861-3EBF07E95157}"/>
    <dataValidation allowBlank="1" showInputMessage="1" showErrorMessage="1" prompt="Link cell K67 from &quot;Expenditures 15-22&quot; tab" sqref="E17" xr:uid="{96F61000-37EE-4186-9DB3-B3C02B2C48F5}"/>
    <dataValidation allowBlank="1" showInputMessage="1" showErrorMessage="1" prompt="Link cell K64 from &quot;Expenditures 15-22&quot; tab" sqref="E16" xr:uid="{2236EA88-9FDA-4877-831F-CFB4C1CB32D3}"/>
    <dataValidation allowBlank="1" showInputMessage="1" showErrorMessage="1" prompt="Link cell K59 from &quot;Expenditures 15-22&quot; tab" sqref="E15" xr:uid="{4C8567CD-0BB1-4ACE-9AAA-9B91BBBBC35B}"/>
    <dataValidation allowBlank="1" showInputMessage="1" showErrorMessage="1" prompt="Link cell K56 from &quot;Expenditures 15-22&quot; tab" sqref="E14" xr:uid="{799BF02C-F704-4A09-8E0D-D42D4A9B339C}"/>
    <dataValidation allowBlank="1" showInputMessage="1" showErrorMessage="1" prompt="Link cell K51 from &quot;Expenditures 15-22&quot; tab" sqref="E13" xr:uid="{57542FB3-0C66-4BC0-8186-110510DF3E42}"/>
    <dataValidation allowBlank="1" showInputMessage="1" showErrorMessage="1" prompt="Link cell K50 from &quot;Expenditures 15-22&quot; tab " sqref="E12" xr:uid="{7042D323-DCEB-48DC-B46B-8672AF0ECF0A}"/>
    <dataValidation allowBlank="1" showInputMessage="1" showErrorMessage="1" prompt="Link cell A13 from &quot;Cover&quot; tab" sqref="J7:L7" xr:uid="{AC068870-D3FD-4760-8626-4D7E56708D55}"/>
    <dataValidation allowBlank="1" showInputMessage="1" showErrorMessage="1" prompt="Link cell A17 from &quot;Cover&quot; tab" sqref="J6:L6" xr:uid="{87B18A23-B7E2-4B45-A9A9-4C4B69C3957E}"/>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73" sqref="C7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73" sqref="C7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Lockport SD 91</v>
      </c>
    </row>
    <row r="65" spans="2:2" x14ac:dyDescent="0.2">
      <c r="B65" s="894">
        <f>COVER!A13</f>
        <v>56099091002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73" sqref="C7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933450</xdr:colOff>
                <xdr:row>7</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73" sqref="C7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6262799</v>
      </c>
      <c r="C8" s="1871">
        <f>'Acct Summary 7-8'!D8</f>
        <v>929730</v>
      </c>
      <c r="D8" s="1871">
        <f>'Acct Summary 7-8'!F8</f>
        <v>230590</v>
      </c>
      <c r="E8" s="1871">
        <f>'Acct Summary 7-8'!I8</f>
        <v>6692</v>
      </c>
      <c r="F8" s="1871">
        <f>SUM(B8:E8)</f>
        <v>7429811</v>
      </c>
    </row>
    <row r="9" spans="1:8" s="903" customFormat="1" ht="14.25" customHeight="1" thickBot="1" x14ac:dyDescent="0.25">
      <c r="A9" s="902" t="s">
        <v>1355</v>
      </c>
      <c r="B9" s="1872">
        <f>'Acct Summary 7-8'!C17</f>
        <v>5897176</v>
      </c>
      <c r="C9" s="1872">
        <f>'Acct Summary 7-8'!D17</f>
        <v>861531</v>
      </c>
      <c r="D9" s="1872">
        <f>'Acct Summary 7-8'!F17</f>
        <v>222986</v>
      </c>
      <c r="E9" s="1871"/>
      <c r="F9" s="1871">
        <f>SUM(B9:E9)</f>
        <v>6981693</v>
      </c>
    </row>
    <row r="10" spans="1:8" s="903" customFormat="1" ht="14.25" thickTop="1" thickBot="1" x14ac:dyDescent="0.25">
      <c r="A10" s="904" t="s">
        <v>1356</v>
      </c>
      <c r="B10" s="1873">
        <f>(B8-B9)</f>
        <v>365623</v>
      </c>
      <c r="C10" s="1873">
        <f>(C8-C9)</f>
        <v>68199</v>
      </c>
      <c r="D10" s="1873">
        <f>(D8-D9)</f>
        <v>7604</v>
      </c>
      <c r="E10" s="1872">
        <f>(E8-E9)</f>
        <v>6692</v>
      </c>
      <c r="F10" s="1874">
        <f>SUM(F8-F9)</f>
        <v>448118</v>
      </c>
    </row>
    <row r="11" spans="1:8" s="903" customFormat="1" ht="14.25" thickTop="1" thickBot="1" x14ac:dyDescent="0.25">
      <c r="A11" s="905" t="s">
        <v>1906</v>
      </c>
      <c r="B11" s="1875">
        <f>'Acct Summary 7-8'!C81</f>
        <v>5348449</v>
      </c>
      <c r="C11" s="1875">
        <f>'Acct Summary 7-8'!D81</f>
        <v>639278</v>
      </c>
      <c r="D11" s="1875">
        <f>'Acct Summary 7-8'!F81</f>
        <v>467675</v>
      </c>
      <c r="E11" s="1875">
        <f>'Acct Summary 7-8'!I81</f>
        <v>403581</v>
      </c>
      <c r="F11" s="1876">
        <f>SUM(B11:E11)</f>
        <v>6858983</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C73" sqref="C7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56099091002</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Lockport SD 91</v>
      </c>
      <c r="E4" s="1886">
        <v>44119</v>
      </c>
      <c r="F4" s="1887">
        <v>44151</v>
      </c>
      <c r="G4" s="1962">
        <v>101000600</v>
      </c>
    </row>
    <row r="5" spans="1:7" ht="15" x14ac:dyDescent="0.25">
      <c r="A5" t="s">
        <v>699</v>
      </c>
      <c r="B5" s="135" t="str">
        <f>COVER!A38</f>
        <v>DONNA GRAY</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E GASSENSMITH</v>
      </c>
      <c r="G17" s="1962">
        <v>402100800</v>
      </c>
    </row>
    <row r="18" spans="1:7" ht="15" x14ac:dyDescent="0.25">
      <c r="A18" t="s">
        <v>1142</v>
      </c>
      <c r="B18" s="135" t="str">
        <f>COVER!T17</f>
        <v>323 SPRINGFIELD AVE</v>
      </c>
      <c r="G18" s="1962">
        <v>102200300</v>
      </c>
    </row>
    <row r="19" spans="1:7" ht="15" x14ac:dyDescent="0.25">
      <c r="A19" t="s">
        <v>880</v>
      </c>
      <c r="B19" s="135" t="str">
        <f>COVER!T25</f>
        <v>JILLE@GASSENSMITH.COM</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33239</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5348449</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5348449</v>
      </c>
      <c r="D92" s="2" t="str">
        <f t="shared" si="0"/>
        <v>Error?</v>
      </c>
      <c r="G92" s="1962">
        <v>102640600</v>
      </c>
    </row>
    <row r="93" spans="1:7" ht="15" x14ac:dyDescent="0.25">
      <c r="A93" s="5">
        <v>32</v>
      </c>
      <c r="B93" s="1890">
        <f>'Assets-Liab 5-6'!C41</f>
        <v>5348449</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639278</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639278</v>
      </c>
      <c r="D123" s="2" t="str">
        <f t="shared" si="0"/>
        <v>Error?</v>
      </c>
      <c r="G123" s="1962">
        <v>203000400</v>
      </c>
    </row>
    <row r="124" spans="1:7" ht="15" x14ac:dyDescent="0.25">
      <c r="A124" s="5">
        <v>63</v>
      </c>
      <c r="B124" s="1890">
        <f>'Assets-Liab 5-6'!D41</f>
        <v>639278</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155637</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155637</v>
      </c>
      <c r="D140" s="2" t="str">
        <f t="shared" si="1"/>
        <v>Error?</v>
      </c>
    </row>
    <row r="141" spans="1:7" x14ac:dyDescent="0.2">
      <c r="A141" s="5">
        <v>80</v>
      </c>
      <c r="B141" s="1890">
        <f>'Assets-Liab 5-6'!E41</f>
        <v>155637</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467675</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467675</v>
      </c>
      <c r="D170" s="2" t="str">
        <f t="shared" si="1"/>
        <v>Error?</v>
      </c>
    </row>
    <row r="171" spans="1:4" x14ac:dyDescent="0.2">
      <c r="A171" s="5">
        <v>110</v>
      </c>
      <c r="B171" s="1890">
        <f>'Assets-Liab 5-6'!F41</f>
        <v>467675</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294338</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294338</v>
      </c>
      <c r="D189" s="2" t="str">
        <f t="shared" si="1"/>
        <v>Error?</v>
      </c>
    </row>
    <row r="190" spans="1:4" x14ac:dyDescent="0.2">
      <c r="A190" s="5">
        <v>129</v>
      </c>
      <c r="B190" s="1890">
        <f>'Assets-Liab 5-6'!G41</f>
        <v>294338</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53477</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53477</v>
      </c>
      <c r="D212" s="2" t="str">
        <f t="shared" si="2"/>
        <v>Error?</v>
      </c>
    </row>
    <row r="213" spans="1:4" x14ac:dyDescent="0.2">
      <c r="A213" s="12">
        <v>152</v>
      </c>
      <c r="B213" s="1890">
        <f>'Assets-Liab 5-6'!H41</f>
        <v>53477</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40960</v>
      </c>
      <c r="D273" s="2" t="str">
        <f t="shared" si="3"/>
        <v>Error?</v>
      </c>
    </row>
    <row r="274" spans="1:4" x14ac:dyDescent="0.2">
      <c r="A274" s="5">
        <v>213</v>
      </c>
      <c r="B274" s="1890">
        <f>'Assets-Liab 5-6'!M17</f>
        <v>10951430</v>
      </c>
      <c r="D274" s="2" t="str">
        <f t="shared" si="3"/>
        <v>Error?</v>
      </c>
    </row>
    <row r="275" spans="1:4" x14ac:dyDescent="0.2">
      <c r="A275" s="5">
        <v>214</v>
      </c>
      <c r="B275" s="1890">
        <f>'Assets-Liab 5-6'!M18</f>
        <v>1575497</v>
      </c>
      <c r="D275" s="2" t="str">
        <f t="shared" si="3"/>
        <v>Error?</v>
      </c>
    </row>
    <row r="276" spans="1:4" x14ac:dyDescent="0.2">
      <c r="A276" s="5">
        <v>215</v>
      </c>
      <c r="B276" s="1890">
        <f>'Assets-Liab 5-6'!M19</f>
        <v>1561595</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14129482</v>
      </c>
      <c r="C279" s="2" t="s">
        <v>569</v>
      </c>
      <c r="D279" s="2" t="str">
        <f t="shared" si="3"/>
        <v>Error?</v>
      </c>
    </row>
    <row r="280" spans="1:4" x14ac:dyDescent="0.2">
      <c r="A280" s="5">
        <v>219</v>
      </c>
      <c r="B280" s="1890">
        <f>'Assets-Liab 5-6'!M40</f>
        <v>14129482</v>
      </c>
      <c r="D280" s="2" t="str">
        <f t="shared" si="3"/>
        <v>Error?</v>
      </c>
    </row>
    <row r="281" spans="1:4" x14ac:dyDescent="0.2">
      <c r="A281" s="5">
        <v>220</v>
      </c>
      <c r="B281" s="1890">
        <f>'Assets-Liab 5-6'!M41</f>
        <v>14129482</v>
      </c>
      <c r="C281" s="2" t="s">
        <v>569</v>
      </c>
      <c r="D281" s="2" t="str">
        <f t="shared" si="3"/>
        <v>Error?</v>
      </c>
    </row>
    <row r="282" spans="1:4" x14ac:dyDescent="0.2">
      <c r="A282" s="5">
        <v>221</v>
      </c>
      <c r="B282" s="1890">
        <f>'Assets-Liab 5-6'!N21</f>
        <v>155637</v>
      </c>
      <c r="D282" s="2" t="str">
        <f t="shared" si="3"/>
        <v>Error?</v>
      </c>
    </row>
    <row r="283" spans="1:4" x14ac:dyDescent="0.2">
      <c r="A283" s="5">
        <v>222</v>
      </c>
      <c r="B283" s="1890">
        <f>'Assets-Liab 5-6'!N22</f>
        <v>3449363</v>
      </c>
      <c r="D283" s="2" t="str">
        <f t="shared" si="3"/>
        <v>Error?</v>
      </c>
    </row>
    <row r="284" spans="1:4" x14ac:dyDescent="0.2">
      <c r="A284" s="5">
        <v>223</v>
      </c>
      <c r="B284" s="1890">
        <f>'Assets-Liab 5-6'!N23</f>
        <v>3605000</v>
      </c>
      <c r="C284" s="2" t="s">
        <v>569</v>
      </c>
      <c r="D284" s="2" t="str">
        <f t="shared" si="3"/>
        <v>Error?</v>
      </c>
    </row>
    <row r="285" spans="1:4" x14ac:dyDescent="0.2">
      <c r="A285" s="5">
        <v>224</v>
      </c>
      <c r="B285" s="1890">
        <f>'Assets-Liab 5-6'!N36</f>
        <v>3605000</v>
      </c>
      <c r="D285" s="2" t="str">
        <f t="shared" si="3"/>
        <v>Error?</v>
      </c>
    </row>
    <row r="286" spans="1:4" x14ac:dyDescent="0.2">
      <c r="A286" s="10">
        <v>225</v>
      </c>
      <c r="B286" s="1890"/>
      <c r="D286" s="2" t="str">
        <f t="shared" si="3"/>
        <v>OK</v>
      </c>
    </row>
    <row r="287" spans="1:4" x14ac:dyDescent="0.2">
      <c r="A287" s="5">
        <v>226</v>
      </c>
      <c r="B287" s="1890">
        <f>'Assets-Liab 5-6'!N37</f>
        <v>3605000</v>
      </c>
      <c r="C287" s="2" t="s">
        <v>569</v>
      </c>
      <c r="D287" s="2" t="str">
        <f t="shared" si="3"/>
        <v>Error?</v>
      </c>
    </row>
    <row r="288" spans="1:4" x14ac:dyDescent="0.2">
      <c r="A288" s="5">
        <v>227</v>
      </c>
      <c r="B288" s="1890">
        <f>'Assets-Liab 5-6'!N41</f>
        <v>3605000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1793465</v>
      </c>
      <c r="D705" s="2" t="str">
        <f t="shared" si="10"/>
        <v>Error?</v>
      </c>
    </row>
    <row r="706" spans="1:4" x14ac:dyDescent="0.2">
      <c r="A706" s="5">
        <v>645</v>
      </c>
      <c r="B706" s="1890">
        <f>'Expenditures 15-22'!C16</f>
        <v>54998</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30391</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77287</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2566265</v>
      </c>
      <c r="C720" s="2" t="s">
        <v>569</v>
      </c>
      <c r="D720" s="2" t="str">
        <f t="shared" si="10"/>
        <v>Error?</v>
      </c>
    </row>
    <row r="721" spans="1:4" x14ac:dyDescent="0.2">
      <c r="A721" s="5">
        <v>660</v>
      </c>
      <c r="B721" s="1890">
        <f>'Expenditures 15-22'!C36</f>
        <v>167239</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74986</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134100</v>
      </c>
      <c r="D725" s="2" t="str">
        <f t="shared" si="10"/>
        <v>Error?</v>
      </c>
    </row>
    <row r="726" spans="1:4" x14ac:dyDescent="0.2">
      <c r="A726" s="5">
        <v>665</v>
      </c>
      <c r="B726" s="1890">
        <f>'Expenditures 15-22'!C41</f>
        <v>22844</v>
      </c>
      <c r="D726" s="2" t="str">
        <f t="shared" si="10"/>
        <v>Error?</v>
      </c>
    </row>
    <row r="727" spans="1:4" x14ac:dyDescent="0.2">
      <c r="A727" s="5">
        <v>666</v>
      </c>
      <c r="B727" s="1890">
        <f>'Expenditures 15-22'!C42</f>
        <v>399169</v>
      </c>
      <c r="C727" s="2" t="s">
        <v>569</v>
      </c>
      <c r="D727" s="2" t="str">
        <f t="shared" si="10"/>
        <v>Error?</v>
      </c>
    </row>
    <row r="728" spans="1:4" x14ac:dyDescent="0.2">
      <c r="A728" s="5">
        <v>667</v>
      </c>
      <c r="B728" s="1890">
        <f>'Expenditures 15-22'!C44</f>
        <v>88695</v>
      </c>
      <c r="D728" s="2" t="str">
        <f t="shared" si="10"/>
        <v>Error?</v>
      </c>
    </row>
    <row r="729" spans="1:4" x14ac:dyDescent="0.2">
      <c r="A729" s="5">
        <v>668</v>
      </c>
      <c r="B729" s="1890">
        <f>'Expenditures 15-22'!C45</f>
        <v>134722</v>
      </c>
      <c r="D729" s="2" t="str">
        <f t="shared" si="10"/>
        <v>Error?</v>
      </c>
    </row>
    <row r="730" spans="1:4" x14ac:dyDescent="0.2">
      <c r="A730" s="5">
        <v>669</v>
      </c>
      <c r="B730" s="1890">
        <f>'Expenditures 15-22'!C46</f>
        <v>456</v>
      </c>
      <c r="D730" s="2" t="str">
        <f t="shared" si="10"/>
        <v>Error?</v>
      </c>
    </row>
    <row r="731" spans="1:4" x14ac:dyDescent="0.2">
      <c r="A731" s="5">
        <v>670</v>
      </c>
      <c r="B731" s="1890">
        <f>'Expenditures 15-22'!C47</f>
        <v>223873</v>
      </c>
      <c r="C731" s="2" t="s">
        <v>569</v>
      </c>
      <c r="D731" s="2" t="str">
        <f t="shared" si="10"/>
        <v>Error?</v>
      </c>
    </row>
    <row r="732" spans="1:4" x14ac:dyDescent="0.2">
      <c r="A732" s="5">
        <v>671</v>
      </c>
      <c r="B732" s="1890">
        <f>'Expenditures 15-22'!C49</f>
        <v>3375</v>
      </c>
      <c r="D732" s="2" t="str">
        <f t="shared" si="10"/>
        <v>Error?</v>
      </c>
    </row>
    <row r="733" spans="1:4" x14ac:dyDescent="0.2">
      <c r="A733" s="5">
        <v>672</v>
      </c>
      <c r="B733" s="1890">
        <f>'Expenditures 15-22'!C50</f>
        <v>209822</v>
      </c>
      <c r="D733" s="2" t="str">
        <f t="shared" si="10"/>
        <v>Error?</v>
      </c>
    </row>
    <row r="734" spans="1:4" x14ac:dyDescent="0.2">
      <c r="A734" s="5">
        <v>673</v>
      </c>
      <c r="B734" s="1890">
        <f>'Expenditures 15-22'!C53</f>
        <v>214697</v>
      </c>
      <c r="C734" s="2" t="s">
        <v>569</v>
      </c>
      <c r="D734" s="2" t="str">
        <f t="shared" si="10"/>
        <v>Error?</v>
      </c>
    </row>
    <row r="735" spans="1:4" x14ac:dyDescent="0.2">
      <c r="A735" s="5">
        <v>674</v>
      </c>
      <c r="B735" s="1890">
        <f>'Expenditures 15-22'!C55</f>
        <v>297300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297300</v>
      </c>
      <c r="C737" s="2" t="s">
        <v>569</v>
      </c>
      <c r="D737" s="2" t="str">
        <f t="shared" si="10"/>
        <v>Error?</v>
      </c>
    </row>
    <row r="738" spans="1:4" x14ac:dyDescent="0.2">
      <c r="A738" s="5">
        <v>677</v>
      </c>
      <c r="B738" s="1890">
        <f>'Expenditures 15-22'!C59</f>
        <v>33659</v>
      </c>
      <c r="D738" s="2" t="str">
        <f t="shared" si="10"/>
        <v>Error?</v>
      </c>
    </row>
    <row r="739" spans="1:4" x14ac:dyDescent="0.2">
      <c r="A739" s="5">
        <v>678</v>
      </c>
      <c r="B739" s="1890">
        <f>'Expenditures 15-22'!C60</f>
        <v>45989</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44568</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124216</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1259255</v>
      </c>
      <c r="C755" s="2" t="s">
        <v>569</v>
      </c>
      <c r="D755" s="2" t="str">
        <f t="shared" si="10"/>
        <v>Error?</v>
      </c>
    </row>
    <row r="756" spans="1:4" x14ac:dyDescent="0.2">
      <c r="A756" s="5">
        <v>695</v>
      </c>
      <c r="B756" s="1890">
        <f>'Expenditures 15-22'!C75</f>
        <v>10094</v>
      </c>
      <c r="D756" s="2" t="str">
        <f t="shared" si="10"/>
        <v>Error?</v>
      </c>
    </row>
    <row r="757" spans="1:4" x14ac:dyDescent="0.2">
      <c r="A757" s="5">
        <v>696</v>
      </c>
      <c r="B757" s="1890">
        <f>'Expenditures 15-22'!C114</f>
        <v>3835614</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211334</v>
      </c>
      <c r="D763" s="2" t="str">
        <f t="shared" si="10"/>
        <v>Error?</v>
      </c>
    </row>
    <row r="764" spans="1:4" x14ac:dyDescent="0.2">
      <c r="A764" s="5">
        <v>703</v>
      </c>
      <c r="B764" s="1890">
        <f>'Expenditures 15-22'!D16</f>
        <v>7182</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416</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975</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266374</v>
      </c>
      <c r="C778" s="2" t="s">
        <v>569</v>
      </c>
      <c r="D778" s="2" t="str">
        <f t="shared" si="11"/>
        <v>Error?</v>
      </c>
    </row>
    <row r="779" spans="1:4" x14ac:dyDescent="0.2">
      <c r="A779" s="5">
        <v>718</v>
      </c>
      <c r="B779" s="1890">
        <f>'Expenditures 15-22'!D36</f>
        <v>39955</v>
      </c>
      <c r="D779" s="2" t="str">
        <f t="shared" si="11"/>
        <v>Error?</v>
      </c>
    </row>
    <row r="780" spans="1:4" x14ac:dyDescent="0.2">
      <c r="A780" s="5">
        <v>719</v>
      </c>
      <c r="B780" s="1890">
        <f>'Expenditures 15-22'!D37</f>
        <v>6</v>
      </c>
      <c r="D780" s="2" t="str">
        <f t="shared" si="11"/>
        <v>Error?</v>
      </c>
    </row>
    <row r="781" spans="1:4" x14ac:dyDescent="0.2">
      <c r="A781" s="5">
        <v>720</v>
      </c>
      <c r="B781" s="1890">
        <f>'Expenditures 15-22'!D38</f>
        <v>141</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23793</v>
      </c>
      <c r="D783" s="2" t="str">
        <f t="shared" si="11"/>
        <v>Error?</v>
      </c>
    </row>
    <row r="784" spans="1:4" x14ac:dyDescent="0.2">
      <c r="A784" s="5">
        <v>723</v>
      </c>
      <c r="B784" s="1890">
        <f>'Expenditures 15-22'!D41</f>
        <v>333</v>
      </c>
      <c r="D784" s="2" t="str">
        <f t="shared" si="11"/>
        <v>Error?</v>
      </c>
    </row>
    <row r="785" spans="1:4" x14ac:dyDescent="0.2">
      <c r="A785" s="5">
        <v>724</v>
      </c>
      <c r="B785" s="1890">
        <f>'Expenditures 15-22'!D42</f>
        <v>64228</v>
      </c>
      <c r="C785" s="2" t="s">
        <v>569</v>
      </c>
      <c r="D785" s="2" t="str">
        <f t="shared" si="11"/>
        <v>Error?</v>
      </c>
    </row>
    <row r="786" spans="1:4" x14ac:dyDescent="0.2">
      <c r="A786" s="5">
        <v>725</v>
      </c>
      <c r="B786" s="1890">
        <f>'Expenditures 15-22'!D44</f>
        <v>16830</v>
      </c>
      <c r="D786" s="2" t="str">
        <f t="shared" si="11"/>
        <v>Error?</v>
      </c>
    </row>
    <row r="787" spans="1:4" x14ac:dyDescent="0.2">
      <c r="A787" s="5">
        <v>726</v>
      </c>
      <c r="B787" s="1890">
        <f>'Expenditures 15-22'!D45</f>
        <v>22854</v>
      </c>
      <c r="D787" s="2" t="str">
        <f t="shared" si="11"/>
        <v>Error?</v>
      </c>
    </row>
    <row r="788" spans="1:4" x14ac:dyDescent="0.2">
      <c r="A788" s="5">
        <v>727</v>
      </c>
      <c r="B788" s="1890">
        <f>'Expenditures 15-22'!D46</f>
        <v>7</v>
      </c>
      <c r="D788" s="2" t="str">
        <f t="shared" si="11"/>
        <v>Error?</v>
      </c>
    </row>
    <row r="789" spans="1:4" x14ac:dyDescent="0.2">
      <c r="A789" s="5">
        <v>728</v>
      </c>
      <c r="B789" s="1890">
        <f>'Expenditures 15-22'!D47</f>
        <v>39691</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30201</v>
      </c>
      <c r="D791" s="2" t="str">
        <f t="shared" si="11"/>
        <v>Error?</v>
      </c>
    </row>
    <row r="792" spans="1:4" x14ac:dyDescent="0.2">
      <c r="A792" s="5">
        <v>731</v>
      </c>
      <c r="B792" s="1890">
        <f>'Expenditures 15-22'!D53</f>
        <v>30201</v>
      </c>
      <c r="C792" s="2" t="s">
        <v>569</v>
      </c>
      <c r="D792" s="2" t="str">
        <f t="shared" si="11"/>
        <v>Error?</v>
      </c>
    </row>
    <row r="793" spans="1:4" x14ac:dyDescent="0.2">
      <c r="A793" s="5">
        <v>732</v>
      </c>
      <c r="B793" s="1890">
        <f>'Expenditures 15-22'!D55</f>
        <v>70496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70496</v>
      </c>
      <c r="C795" s="2" t="s">
        <v>569</v>
      </c>
      <c r="D795" s="2" t="str">
        <f t="shared" si="11"/>
        <v>Error?</v>
      </c>
    </row>
    <row r="796" spans="1:4" x14ac:dyDescent="0.2">
      <c r="A796" s="5">
        <v>735</v>
      </c>
      <c r="B796" s="1890">
        <f>'Expenditures 15-22'!D59</f>
        <v>4553</v>
      </c>
      <c r="D796" s="2" t="str">
        <f t="shared" si="11"/>
        <v>Error?</v>
      </c>
    </row>
    <row r="797" spans="1:4" x14ac:dyDescent="0.2">
      <c r="A797" s="5">
        <v>736</v>
      </c>
      <c r="B797" s="1890">
        <f>'Expenditures 15-22'!D60</f>
        <v>15663</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20216</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224832</v>
      </c>
      <c r="C813" s="2" t="s">
        <v>569</v>
      </c>
      <c r="D813" s="2" t="str">
        <f t="shared" si="11"/>
        <v>Error?</v>
      </c>
    </row>
    <row r="814" spans="1:4" x14ac:dyDescent="0.2">
      <c r="A814" s="5">
        <v>753</v>
      </c>
      <c r="B814" s="1890">
        <f>'Expenditures 15-22'!D75</f>
        <v>4</v>
      </c>
      <c r="D814" s="2" t="str">
        <f t="shared" si="11"/>
        <v>Error?</v>
      </c>
    </row>
    <row r="815" spans="1:4" x14ac:dyDescent="0.2">
      <c r="A815" s="5">
        <v>754</v>
      </c>
      <c r="B815" s="1890">
        <f>'Expenditures 15-22'!D114</f>
        <v>491210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10191</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20027</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58151</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55</v>
      </c>
      <c r="D842" s="2" t="str">
        <f t="shared" si="12"/>
        <v>Error?</v>
      </c>
    </row>
    <row r="843" spans="1:4" x14ac:dyDescent="0.2">
      <c r="A843" s="5">
        <v>782</v>
      </c>
      <c r="B843" s="1890">
        <f>'Expenditures 15-22'!E42</f>
        <v>58206</v>
      </c>
      <c r="C843" s="2" t="s">
        <v>569</v>
      </c>
      <c r="D843" s="2" t="str">
        <f t="shared" si="12"/>
        <v>Error?</v>
      </c>
    </row>
    <row r="844" spans="1:4" x14ac:dyDescent="0.2">
      <c r="A844" s="5">
        <v>783</v>
      </c>
      <c r="B844" s="1890">
        <f>'Expenditures 15-22'!E44</f>
        <v>26737</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26737</v>
      </c>
      <c r="C847" s="2" t="s">
        <v>569</v>
      </c>
      <c r="D847" s="2" t="str">
        <f t="shared" si="12"/>
        <v>Error?</v>
      </c>
    </row>
    <row r="848" spans="1:4" x14ac:dyDescent="0.2">
      <c r="A848" s="5">
        <v>787</v>
      </c>
      <c r="B848" s="1890">
        <f>'Expenditures 15-22'!E49</f>
        <v>51869</v>
      </c>
      <c r="D848" s="2" t="str">
        <f t="shared" si="12"/>
        <v>Error?</v>
      </c>
    </row>
    <row r="849" spans="1:4" x14ac:dyDescent="0.2">
      <c r="A849" s="5">
        <v>788</v>
      </c>
      <c r="B849" s="1890">
        <f>'Expenditures 15-22'!E50</f>
        <v>284</v>
      </c>
      <c r="D849" s="2" t="str">
        <f t="shared" si="12"/>
        <v>Error?</v>
      </c>
    </row>
    <row r="850" spans="1:4" x14ac:dyDescent="0.2">
      <c r="A850" s="5">
        <v>789</v>
      </c>
      <c r="B850" s="1890">
        <f>'Expenditures 15-22'!E53</f>
        <v>52387</v>
      </c>
      <c r="C850" s="2" t="s">
        <v>569</v>
      </c>
      <c r="D850" s="2" t="str">
        <f t="shared" si="12"/>
        <v>Error?</v>
      </c>
    </row>
    <row r="851" spans="1:4" x14ac:dyDescent="0.2">
      <c r="A851" s="5">
        <v>790</v>
      </c>
      <c r="B851" s="1890">
        <f>'Expenditures 15-22'!E55</f>
        <v>6685</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6685</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33408</v>
      </c>
      <c r="D855" s="2" t="str">
        <f t="shared" si="12"/>
        <v>Error?</v>
      </c>
    </row>
    <row r="856" spans="1:4" x14ac:dyDescent="0.2">
      <c r="A856" s="5">
        <v>795</v>
      </c>
      <c r="B856" s="1890">
        <f>'Expenditures 15-22'!E61</f>
        <v>31912</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128</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65448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209463</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874742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246343</v>
      </c>
      <c r="D879" s="2" t="str">
        <f t="shared" si="12"/>
        <v>Error?</v>
      </c>
    </row>
    <row r="880" spans="1:4" x14ac:dyDescent="0.2">
      <c r="A880" s="5">
        <v>819</v>
      </c>
      <c r="B880" s="1890">
        <f>'Expenditures 15-22'!F16</f>
        <v>832</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146</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3175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258561</v>
      </c>
      <c r="C894" s="2" t="s">
        <v>569</v>
      </c>
      <c r="D894" s="2" t="str">
        <f t="shared" si="12"/>
        <v>Error?</v>
      </c>
    </row>
    <row r="895" spans="1:4" x14ac:dyDescent="0.2">
      <c r="A895" s="5">
        <v>834</v>
      </c>
      <c r="B895" s="1890">
        <f>'Expenditures 15-22'!F36</f>
        <v>130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1779</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2481</v>
      </c>
      <c r="D899" s="2" t="str">
        <f t="shared" si="13"/>
        <v>Error?</v>
      </c>
    </row>
    <row r="900" spans="1:4" x14ac:dyDescent="0.2">
      <c r="A900" s="5">
        <v>839</v>
      </c>
      <c r="B900" s="1890">
        <f>'Expenditures 15-22'!F41</f>
        <v>2914</v>
      </c>
      <c r="D900" s="2" t="str">
        <f t="shared" si="13"/>
        <v>Error?</v>
      </c>
    </row>
    <row r="901" spans="1:4" x14ac:dyDescent="0.2">
      <c r="A901" s="5">
        <v>840</v>
      </c>
      <c r="B901" s="1890">
        <f>'Expenditures 15-22'!F42</f>
        <v>7304</v>
      </c>
      <c r="C901" s="2" t="s">
        <v>569</v>
      </c>
      <c r="D901" s="2" t="str">
        <f t="shared" si="13"/>
        <v>Error?</v>
      </c>
    </row>
    <row r="902" spans="1:4" x14ac:dyDescent="0.2">
      <c r="A902" s="5">
        <v>841</v>
      </c>
      <c r="B902" s="1890">
        <f>'Expenditures 15-22'!F44</f>
        <v>1863</v>
      </c>
      <c r="D902" s="2" t="str">
        <f t="shared" si="13"/>
        <v>Error?</v>
      </c>
    </row>
    <row r="903" spans="1:4" x14ac:dyDescent="0.2">
      <c r="A903" s="5">
        <v>842</v>
      </c>
      <c r="B903" s="1890">
        <f>'Expenditures 15-22'!F45</f>
        <v>9029</v>
      </c>
      <c r="D903" s="2" t="str">
        <f t="shared" si="13"/>
        <v>Error?</v>
      </c>
    </row>
    <row r="904" spans="1:4" x14ac:dyDescent="0.2">
      <c r="A904" s="5">
        <v>843</v>
      </c>
      <c r="B904" s="1890">
        <f>'Expenditures 15-22'!F46</f>
        <v>7497</v>
      </c>
      <c r="D904" s="2" t="str">
        <f t="shared" si="13"/>
        <v>Error?</v>
      </c>
    </row>
    <row r="905" spans="1:4" x14ac:dyDescent="0.2">
      <c r="A905" s="5">
        <v>844</v>
      </c>
      <c r="B905" s="1890">
        <f>'Expenditures 15-22'!F47</f>
        <v>18389</v>
      </c>
      <c r="C905" s="2" t="s">
        <v>569</v>
      </c>
      <c r="D905" s="2" t="str">
        <f t="shared" si="13"/>
        <v>Error?</v>
      </c>
    </row>
    <row r="906" spans="1:4" x14ac:dyDescent="0.2">
      <c r="A906" s="5">
        <v>845</v>
      </c>
      <c r="B906" s="1890">
        <f>'Expenditures 15-22'!F49</f>
        <v>18824</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18824</v>
      </c>
      <c r="C908" s="2" t="s">
        <v>569</v>
      </c>
      <c r="D908" s="2" t="str">
        <f t="shared" si="13"/>
        <v>Error?</v>
      </c>
    </row>
    <row r="909" spans="1:4" x14ac:dyDescent="0.2">
      <c r="A909" s="5">
        <v>848</v>
      </c>
      <c r="B909" s="1890">
        <f>'Expenditures 15-22'!F55</f>
        <v>8709</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8709</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748</v>
      </c>
      <c r="D913" s="2" t="str">
        <f t="shared" si="13"/>
        <v>Error?</v>
      </c>
    </row>
    <row r="914" spans="1:4" x14ac:dyDescent="0.2">
      <c r="A914" s="5">
        <v>853</v>
      </c>
      <c r="B914" s="1890">
        <f>'Expenditures 15-22'!F61</f>
        <v>1961</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95452</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98161</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151387</v>
      </c>
      <c r="C929" s="2" t="s">
        <v>569</v>
      </c>
      <c r="D929" s="2" t="str">
        <f t="shared" si="13"/>
        <v>Error?</v>
      </c>
    </row>
    <row r="930" spans="1:4" x14ac:dyDescent="0.2">
      <c r="A930" s="5">
        <v>869</v>
      </c>
      <c r="B930" s="1890">
        <f>'Expenditures 15-22'!F75</f>
        <v>93</v>
      </c>
      <c r="D930" s="2" t="str">
        <f t="shared" si="13"/>
        <v>Error?</v>
      </c>
    </row>
    <row r="931" spans="1:4" x14ac:dyDescent="0.2">
      <c r="A931" s="5">
        <v>870</v>
      </c>
      <c r="B931" s="1890">
        <f>'Expenditures 15-22'!F114</f>
        <v>410041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12287</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12287</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12287</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3371</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2914</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152926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5758</v>
      </c>
      <c r="D1022" s="2" t="str">
        <f t="shared" si="14"/>
        <v>Error?</v>
      </c>
    </row>
    <row r="1023" spans="1:4" x14ac:dyDescent="0.2">
      <c r="A1023" s="5">
        <v>962</v>
      </c>
      <c r="B1023" s="1890">
        <f>'Expenditures 15-22'!H50</f>
        <v>2314</v>
      </c>
      <c r="D1023" s="2" t="str">
        <f t="shared" ref="D1023:D1086" si="15">IF(ISBLANK(B1023),"OK",IF(A1023-B1023=0,"OK","Error?"))</f>
        <v>Error?</v>
      </c>
    </row>
    <row r="1024" spans="1:4" x14ac:dyDescent="0.2">
      <c r="A1024" s="5">
        <v>963</v>
      </c>
      <c r="B1024" s="1890">
        <f>'Expenditures 15-22'!H53</f>
        <v>8072</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730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730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8802</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92913</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254641</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2278942</v>
      </c>
      <c r="C1093" s="2" t="s">
        <v>569</v>
      </c>
      <c r="D1093" s="2" t="str">
        <f t="shared" si="16"/>
        <v>Error?</v>
      </c>
    </row>
    <row r="1094" spans="1:4" x14ac:dyDescent="0.2">
      <c r="A1094" s="5">
        <v>1033</v>
      </c>
      <c r="B1094" s="1890">
        <f>'Expenditures 15-22'!K16</f>
        <v>63012</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30953</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94542</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3288582</v>
      </c>
      <c r="C1108" s="2" t="s">
        <v>569</v>
      </c>
      <c r="D1108" s="2" t="str">
        <f t="shared" si="16"/>
        <v>Error?</v>
      </c>
    </row>
    <row r="1109" spans="1:4" x14ac:dyDescent="0.2">
      <c r="A1109" s="5">
        <v>1048</v>
      </c>
      <c r="B1109" s="1890">
        <f>'Expenditures 15-22'!K36</f>
        <v>207324</v>
      </c>
      <c r="C1109" s="2" t="s">
        <v>569</v>
      </c>
      <c r="D1109" s="2" t="str">
        <f t="shared" si="16"/>
        <v>Error?</v>
      </c>
    </row>
    <row r="1110" spans="1:4" x14ac:dyDescent="0.2">
      <c r="A1110" s="5">
        <v>1049</v>
      </c>
      <c r="B1110" s="1890">
        <f>'Expenditures 15-22'!K37</f>
        <v>6</v>
      </c>
      <c r="C1110" s="2" t="s">
        <v>569</v>
      </c>
      <c r="D1110" s="2" t="str">
        <f t="shared" si="16"/>
        <v>Error?</v>
      </c>
    </row>
    <row r="1111" spans="1:4" x14ac:dyDescent="0.2">
      <c r="A1111" s="5">
        <v>1050</v>
      </c>
      <c r="B1111" s="1890">
        <f>'Expenditures 15-22'!K38</f>
        <v>76906</v>
      </c>
      <c r="C1111" s="2" t="s">
        <v>569</v>
      </c>
      <c r="D1111" s="2" t="str">
        <f t="shared" si="16"/>
        <v>Error?</v>
      </c>
    </row>
    <row r="1112" spans="1:4" x14ac:dyDescent="0.2">
      <c r="A1112" s="5">
        <v>1051</v>
      </c>
      <c r="B1112" s="1890">
        <f>'Expenditures 15-22'!K39</f>
        <v>58151</v>
      </c>
      <c r="C1112" s="2" t="s">
        <v>569</v>
      </c>
      <c r="D1112" s="2" t="str">
        <f t="shared" si="16"/>
        <v>Error?</v>
      </c>
    </row>
    <row r="1113" spans="1:4" x14ac:dyDescent="0.2">
      <c r="A1113" s="5">
        <v>1052</v>
      </c>
      <c r="B1113" s="1890">
        <f>'Expenditures 15-22'!K40</f>
        <v>160374</v>
      </c>
      <c r="C1113" s="2" t="s">
        <v>569</v>
      </c>
      <c r="D1113" s="2" t="str">
        <f t="shared" si="16"/>
        <v>Error?</v>
      </c>
    </row>
    <row r="1114" spans="1:4" x14ac:dyDescent="0.2">
      <c r="A1114" s="5">
        <v>1053</v>
      </c>
      <c r="B1114" s="1890">
        <f>'Expenditures 15-22'!K41</f>
        <v>26146</v>
      </c>
      <c r="C1114" s="2" t="s">
        <v>569</v>
      </c>
      <c r="D1114" s="2" t="str">
        <f t="shared" si="16"/>
        <v>Error?</v>
      </c>
    </row>
    <row r="1115" spans="1:4" x14ac:dyDescent="0.2">
      <c r="A1115" s="5">
        <v>1054</v>
      </c>
      <c r="B1115" s="1890">
        <f>'Expenditures 15-22'!K42</f>
        <v>528907</v>
      </c>
      <c r="C1115" s="2" t="s">
        <v>569</v>
      </c>
      <c r="D1115" s="2" t="str">
        <f t="shared" si="16"/>
        <v>Error?</v>
      </c>
    </row>
    <row r="1116" spans="1:4" x14ac:dyDescent="0.2">
      <c r="A1116" s="5">
        <v>1055</v>
      </c>
      <c r="B1116" s="1890">
        <f>'Expenditures 15-22'!K44</f>
        <v>134125</v>
      </c>
      <c r="C1116" s="2" t="s">
        <v>569</v>
      </c>
      <c r="D1116" s="2" t="str">
        <f t="shared" si="16"/>
        <v>Error?</v>
      </c>
    </row>
    <row r="1117" spans="1:4" x14ac:dyDescent="0.2">
      <c r="A1117" s="5">
        <v>1056</v>
      </c>
      <c r="B1117" s="1890">
        <f>'Expenditures 15-22'!K45</f>
        <v>166605</v>
      </c>
      <c r="C1117" s="2" t="s">
        <v>569</v>
      </c>
      <c r="D1117" s="2" t="str">
        <f t="shared" si="16"/>
        <v>Error?</v>
      </c>
    </row>
    <row r="1118" spans="1:4" x14ac:dyDescent="0.2">
      <c r="A1118" s="5">
        <v>1057</v>
      </c>
      <c r="B1118" s="1890">
        <f>'Expenditures 15-22'!K46</f>
        <v>7960</v>
      </c>
      <c r="C1118" s="2" t="s">
        <v>569</v>
      </c>
      <c r="D1118" s="2" t="str">
        <f t="shared" si="16"/>
        <v>Error?</v>
      </c>
    </row>
    <row r="1119" spans="1:4" x14ac:dyDescent="0.2">
      <c r="A1119" s="5">
        <v>1058</v>
      </c>
      <c r="B1119" s="1890">
        <f>'Expenditures 15-22'!K47</f>
        <v>308690</v>
      </c>
      <c r="C1119" s="2" t="s">
        <v>569</v>
      </c>
      <c r="D1119" s="2" t="str">
        <f t="shared" si="16"/>
        <v>Error?</v>
      </c>
    </row>
    <row r="1120" spans="1:4" x14ac:dyDescent="0.2">
      <c r="A1120" s="5">
        <v>1059</v>
      </c>
      <c r="B1120" s="1890">
        <f>'Expenditures 15-22'!K49</f>
        <v>79826</v>
      </c>
      <c r="C1120" s="2" t="s">
        <v>569</v>
      </c>
      <c r="D1120" s="2" t="str">
        <f t="shared" si="16"/>
        <v>Error?</v>
      </c>
    </row>
    <row r="1121" spans="1:4" x14ac:dyDescent="0.2">
      <c r="A1121" s="5">
        <v>1060</v>
      </c>
      <c r="B1121" s="1890">
        <f>'Expenditures 15-22'!K50</f>
        <v>242621</v>
      </c>
      <c r="C1121" s="2" t="s">
        <v>569</v>
      </c>
      <c r="D1121" s="2" t="str">
        <f t="shared" si="16"/>
        <v>Error?</v>
      </c>
    </row>
    <row r="1122" spans="1:4" x14ac:dyDescent="0.2">
      <c r="A1122" s="5">
        <v>1061</v>
      </c>
      <c r="B1122" s="1890">
        <f>'Expenditures 15-22'!K53</f>
        <v>324181</v>
      </c>
      <c r="C1122" s="2" t="s">
        <v>569</v>
      </c>
      <c r="D1122" s="2" t="str">
        <f t="shared" si="16"/>
        <v>Error?</v>
      </c>
    </row>
    <row r="1123" spans="1:4" x14ac:dyDescent="0.2">
      <c r="A1123" s="5">
        <v>1062</v>
      </c>
      <c r="B1123" s="1890">
        <f>'Expenditures 15-22'!K55</f>
        <v>383190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383190</v>
      </c>
      <c r="C1125" s="2" t="s">
        <v>569</v>
      </c>
      <c r="D1125" s="2" t="str">
        <f t="shared" si="16"/>
        <v>Error?</v>
      </c>
    </row>
    <row r="1126" spans="1:4" x14ac:dyDescent="0.2">
      <c r="A1126" s="5">
        <v>1065</v>
      </c>
      <c r="B1126" s="1890">
        <f>'Expenditures 15-22'!K59</f>
        <v>38212</v>
      </c>
      <c r="C1126" s="2" t="s">
        <v>569</v>
      </c>
      <c r="D1126" s="2" t="str">
        <f t="shared" si="16"/>
        <v>Error?</v>
      </c>
    </row>
    <row r="1127" spans="1:4" x14ac:dyDescent="0.2">
      <c r="A1127" s="5">
        <v>1066</v>
      </c>
      <c r="B1127" s="1890">
        <f>'Expenditures 15-22'!K60</f>
        <v>95808</v>
      </c>
      <c r="C1127" s="2" t="s">
        <v>569</v>
      </c>
      <c r="D1127" s="2" t="str">
        <f t="shared" si="16"/>
        <v>Error?</v>
      </c>
    </row>
    <row r="1128" spans="1:4" x14ac:dyDescent="0.2">
      <c r="A1128" s="5">
        <v>1067</v>
      </c>
      <c r="B1128" s="1890">
        <f>'Expenditures 15-22'!K61</f>
        <v>40258</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140992</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315270</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1860238</v>
      </c>
      <c r="C1143" s="2" t="s">
        <v>569</v>
      </c>
      <c r="D1143" s="2" t="str">
        <f t="shared" si="16"/>
        <v>Error?</v>
      </c>
    </row>
    <row r="1144" spans="1:4" x14ac:dyDescent="0.2">
      <c r="A1144" s="5">
        <v>1083</v>
      </c>
      <c r="B1144" s="1890">
        <f>'Expenditures 15-22'!K75</f>
        <v>10191</v>
      </c>
      <c r="C1144" s="2" t="s">
        <v>569</v>
      </c>
      <c r="D1144" s="2" t="str">
        <f t="shared" si="16"/>
        <v>Error?</v>
      </c>
    </row>
    <row r="1145" spans="1:4" x14ac:dyDescent="0.2">
      <c r="A1145" s="5">
        <v>1084</v>
      </c>
      <c r="B1145" s="1890">
        <f>'Expenditures 15-22'!K102</f>
        <v>738165</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5897176</v>
      </c>
      <c r="C1152" s="2" t="s">
        <v>569</v>
      </c>
      <c r="D1152" s="2" t="str">
        <f t="shared" si="17"/>
        <v>Error?</v>
      </c>
    </row>
    <row r="1153" spans="1:4" x14ac:dyDescent="0.2">
      <c r="A1153" s="5">
        <v>1092</v>
      </c>
      <c r="B1153" s="1890">
        <f>'Expenditures 15-22'!K115</f>
        <v>365623</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248513</v>
      </c>
      <c r="D1221" s="2" t="str">
        <f t="shared" si="18"/>
        <v>Error?</v>
      </c>
    </row>
    <row r="1222" spans="1:4" x14ac:dyDescent="0.2">
      <c r="A1222" s="10">
        <v>1161</v>
      </c>
      <c r="B1222" s="1890"/>
      <c r="D1222" s="2" t="str">
        <f t="shared" si="18"/>
        <v>OK</v>
      </c>
    </row>
    <row r="1223" spans="1:4" x14ac:dyDescent="0.2">
      <c r="A1223" s="5">
        <v>1162</v>
      </c>
      <c r="B1223" s="1890">
        <f>'Expenditures 15-22'!C127</f>
        <v>248513</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248513</v>
      </c>
      <c r="C1225" s="2" t="s">
        <v>569</v>
      </c>
      <c r="D1225" s="2" t="str">
        <f t="shared" si="18"/>
        <v>Error?</v>
      </c>
    </row>
    <row r="1226" spans="1:4" x14ac:dyDescent="0.2">
      <c r="A1226" s="5">
        <v>1165</v>
      </c>
      <c r="B1226" s="1890">
        <f>'Expenditures 15-22'!C151</f>
        <v>248513</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60171</v>
      </c>
      <c r="D1229" s="2" t="str">
        <f t="shared" si="18"/>
        <v>Error?</v>
      </c>
    </row>
    <row r="1230" spans="1:4" x14ac:dyDescent="0.2">
      <c r="A1230" s="10">
        <v>1169</v>
      </c>
      <c r="B1230" s="1890"/>
      <c r="D1230" s="2" t="str">
        <f t="shared" si="18"/>
        <v>OK</v>
      </c>
    </row>
    <row r="1231" spans="1:4" x14ac:dyDescent="0.2">
      <c r="A1231" s="5">
        <v>1170</v>
      </c>
      <c r="B1231" s="1890">
        <f>'Expenditures 15-22'!D127</f>
        <v>60171</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60171</v>
      </c>
      <c r="C1233" s="2" t="s">
        <v>569</v>
      </c>
      <c r="D1233" s="2" t="str">
        <f t="shared" si="18"/>
        <v>Error?</v>
      </c>
    </row>
    <row r="1234" spans="1:4" x14ac:dyDescent="0.2">
      <c r="A1234" s="5">
        <v>1173</v>
      </c>
      <c r="B1234" s="1890">
        <f>'Expenditures 15-22'!D151</f>
        <v>60171</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179049</v>
      </c>
      <c r="D1237" s="2" t="str">
        <f t="shared" si="18"/>
        <v>Error?</v>
      </c>
    </row>
    <row r="1238" spans="1:4" x14ac:dyDescent="0.2">
      <c r="A1238" s="10">
        <v>1177</v>
      </c>
      <c r="B1238" s="1890"/>
      <c r="D1238" s="2" t="str">
        <f t="shared" si="18"/>
        <v>OK</v>
      </c>
    </row>
    <row r="1239" spans="1:4" x14ac:dyDescent="0.2">
      <c r="A1239" s="5">
        <v>1178</v>
      </c>
      <c r="B1239" s="1890">
        <f>'Expenditures 15-22'!E127</f>
        <v>179049</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179049</v>
      </c>
      <c r="C1241" s="2" t="s">
        <v>569</v>
      </c>
      <c r="D1241" s="2" t="str">
        <f t="shared" si="18"/>
        <v>Error?</v>
      </c>
    </row>
    <row r="1242" spans="1:4" x14ac:dyDescent="0.2">
      <c r="A1242" s="5">
        <v>1181</v>
      </c>
      <c r="B1242" s="1890">
        <f>'Expenditures 15-22'!E151</f>
        <v>179049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214625</v>
      </c>
      <c r="D1245" s="2" t="str">
        <f t="shared" si="18"/>
        <v>Error?</v>
      </c>
    </row>
    <row r="1246" spans="1:4" x14ac:dyDescent="0.2">
      <c r="A1246" s="10">
        <v>1185</v>
      </c>
      <c r="B1246" s="1890"/>
      <c r="D1246" s="2" t="str">
        <f t="shared" si="18"/>
        <v>OK</v>
      </c>
    </row>
    <row r="1247" spans="1:4" x14ac:dyDescent="0.2">
      <c r="A1247" s="5">
        <v>1186</v>
      </c>
      <c r="B1247" s="1890">
        <f>'Expenditures 15-22'!F127</f>
        <v>214625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214625</v>
      </c>
      <c r="C1249" s="2" t="s">
        <v>569</v>
      </c>
      <c r="D1249" s="2" t="str">
        <f t="shared" si="18"/>
        <v>Error?</v>
      </c>
    </row>
    <row r="1250" spans="1:4" x14ac:dyDescent="0.2">
      <c r="A1250" s="5">
        <v>1189</v>
      </c>
      <c r="B1250" s="1890">
        <f>'Expenditures 15-22'!F151</f>
        <v>214625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147955</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147955</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147955</v>
      </c>
      <c r="C1258" s="2" t="s">
        <v>569</v>
      </c>
      <c r="D1258" s="2" t="str">
        <f t="shared" si="18"/>
        <v>Error?</v>
      </c>
    </row>
    <row r="1259" spans="1:4" x14ac:dyDescent="0.2">
      <c r="A1259" s="5">
        <v>1198</v>
      </c>
      <c r="B1259" s="1890">
        <f>'Expenditures 15-22'!G151</f>
        <v>147955</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861531</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861531</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861531</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861531</v>
      </c>
      <c r="C1288" s="2" t="s">
        <v>569</v>
      </c>
      <c r="D1288" s="2" t="str">
        <f t="shared" si="19"/>
        <v>Error?</v>
      </c>
    </row>
    <row r="1289" spans="1:4" x14ac:dyDescent="0.2">
      <c r="A1289" s="5">
        <v>1228</v>
      </c>
      <c r="B1289" s="1890">
        <f>'Expenditures 15-22'!K152</f>
        <v>68199</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1438</v>
      </c>
      <c r="D1307" s="2" t="str">
        <f t="shared" si="19"/>
        <v>Error?</v>
      </c>
    </row>
    <row r="1308" spans="1:4" x14ac:dyDescent="0.2">
      <c r="A1308" s="5">
        <v>1247</v>
      </c>
      <c r="B1308" s="1890">
        <f>'Expenditures 15-22'!E172</f>
        <v>1438</v>
      </c>
      <c r="C1308" s="2" t="s">
        <v>569</v>
      </c>
      <c r="D1308" s="2" t="str">
        <f t="shared" si="19"/>
        <v>Error?</v>
      </c>
    </row>
    <row r="1309" spans="1:4" x14ac:dyDescent="0.2">
      <c r="A1309" s="5">
        <v>1248</v>
      </c>
      <c r="B1309" s="1890">
        <f>'Expenditures 15-22'!E174</f>
        <v>1438</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97040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480000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577040</v>
      </c>
      <c r="C1317" s="2" t="s">
        <v>569</v>
      </c>
      <c r="D1317" s="2" t="str">
        <f t="shared" si="19"/>
        <v>Error?</v>
      </c>
    </row>
    <row r="1318" spans="1:4" x14ac:dyDescent="0.2">
      <c r="A1318" s="5">
        <v>1257</v>
      </c>
      <c r="B1318" s="1890">
        <f>'Expenditures 15-22'!H174</f>
        <v>577040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97040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480000</v>
      </c>
      <c r="C1329" s="2" t="s">
        <v>569</v>
      </c>
      <c r="D1329" s="2" t="str">
        <f t="shared" si="19"/>
        <v>Error?</v>
      </c>
    </row>
    <row r="1330" spans="1:4" x14ac:dyDescent="0.2">
      <c r="A1330" s="5">
        <v>1269</v>
      </c>
      <c r="B1330" s="1890">
        <f>'Expenditures 15-22'!K171</f>
        <v>1438</v>
      </c>
      <c r="C1330" s="2" t="s">
        <v>569</v>
      </c>
      <c r="D1330" s="2" t="str">
        <f t="shared" si="19"/>
        <v>Error?</v>
      </c>
    </row>
    <row r="1331" spans="1:4" x14ac:dyDescent="0.2">
      <c r="A1331" s="5">
        <v>1270</v>
      </c>
      <c r="B1331" s="1890">
        <f>'Expenditures 15-22'!K172</f>
        <v>578478</v>
      </c>
      <c r="C1331" s="2" t="s">
        <v>569</v>
      </c>
      <c r="D1331" s="2" t="str">
        <f t="shared" si="19"/>
        <v>Error?</v>
      </c>
    </row>
    <row r="1332" spans="1:4" x14ac:dyDescent="0.2">
      <c r="A1332" s="5">
        <v>1271</v>
      </c>
      <c r="B1332" s="1890">
        <f>'Expenditures 15-22'!K174</f>
        <v>578478</v>
      </c>
      <c r="C1332" s="2" t="s">
        <v>569</v>
      </c>
      <c r="D1332" s="2" t="str">
        <f t="shared" si="19"/>
        <v>Error?</v>
      </c>
    </row>
    <row r="1333" spans="1:4" x14ac:dyDescent="0.2">
      <c r="A1333" s="5">
        <v>1272</v>
      </c>
      <c r="B1333" s="1890">
        <f>'Expenditures 15-22'!K175</f>
        <v>-55249</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23605</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1710</v>
      </c>
      <c r="D1350" s="2" t="str">
        <f t="shared" si="20"/>
        <v>Error?</v>
      </c>
    </row>
    <row r="1351" spans="1:4" x14ac:dyDescent="0.2">
      <c r="A1351" s="5">
        <v>1290</v>
      </c>
      <c r="B1351" s="1890">
        <f>'Expenditures 15-22'!E184</f>
        <v>25315</v>
      </c>
      <c r="C1351" s="2" t="s">
        <v>569</v>
      </c>
      <c r="D1351" s="2" t="str">
        <f t="shared" si="20"/>
        <v>Error?</v>
      </c>
    </row>
    <row r="1352" spans="1:4" x14ac:dyDescent="0.2">
      <c r="A1352" s="5">
        <v>1291</v>
      </c>
      <c r="B1352" s="1890">
        <f>'Expenditures 15-22'!E196</f>
        <v>197625</v>
      </c>
      <c r="C1352" s="2" t="s">
        <v>569</v>
      </c>
      <c r="D1352" s="2" t="str">
        <f t="shared" si="20"/>
        <v>Error?</v>
      </c>
    </row>
    <row r="1353" spans="1:4" x14ac:dyDescent="0.2">
      <c r="A1353" s="5">
        <v>1292</v>
      </c>
      <c r="B1353" s="1890">
        <f>'Expenditures 15-22'!E210</f>
        <v>222986</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23605</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1710</v>
      </c>
      <c r="C1380" s="2" t="s">
        <v>569</v>
      </c>
      <c r="D1380" s="2" t="str">
        <f t="shared" si="20"/>
        <v>Error?</v>
      </c>
    </row>
    <row r="1381" spans="1:4" x14ac:dyDescent="0.2">
      <c r="A1381" s="5">
        <v>1320</v>
      </c>
      <c r="B1381" s="1890">
        <f>'Expenditures 15-22'!K184</f>
        <v>25315</v>
      </c>
      <c r="C1381" s="2" t="s">
        <v>569</v>
      </c>
      <c r="D1381" s="2" t="str">
        <f t="shared" si="20"/>
        <v>Error?</v>
      </c>
    </row>
    <row r="1382" spans="1:4" x14ac:dyDescent="0.2">
      <c r="A1382" s="5">
        <v>1321</v>
      </c>
      <c r="B1382" s="1890">
        <f>'Expenditures 15-22'!K196</f>
        <v>197625</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222986</v>
      </c>
      <c r="C1388" s="2" t="s">
        <v>569</v>
      </c>
      <c r="D1388" s="2" t="str">
        <f t="shared" si="20"/>
        <v>Error?</v>
      </c>
    </row>
    <row r="1389" spans="1:4" x14ac:dyDescent="0.2">
      <c r="A1389" s="5">
        <v>1328</v>
      </c>
      <c r="B1389" s="1890">
        <f>'Expenditures 15-22'!K211</f>
        <v>7604</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781</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411</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2300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58351</v>
      </c>
      <c r="C1410" s="2" t="s">
        <v>569</v>
      </c>
      <c r="D1410" s="2" t="str">
        <f t="shared" si="21"/>
        <v>Error?</v>
      </c>
    </row>
    <row r="1411" spans="1:4" x14ac:dyDescent="0.2">
      <c r="A1411" s="5">
        <v>1350</v>
      </c>
      <c r="B1411" s="1890">
        <f>'Expenditures 15-22'!D232</f>
        <v>9892</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15573</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588</v>
      </c>
      <c r="D1415" s="2" t="str">
        <f t="shared" si="21"/>
        <v>Error?</v>
      </c>
    </row>
    <row r="1416" spans="1:4" x14ac:dyDescent="0.2">
      <c r="A1416" s="5">
        <v>1355</v>
      </c>
      <c r="B1416" s="1890">
        <f>'Expenditures 15-22'!D237</f>
        <v>339</v>
      </c>
      <c r="D1416" s="2" t="str">
        <f t="shared" si="21"/>
        <v>Error?</v>
      </c>
    </row>
    <row r="1417" spans="1:4" x14ac:dyDescent="0.2">
      <c r="A1417" s="5">
        <v>1356</v>
      </c>
      <c r="B1417" s="1890">
        <f>'Expenditures 15-22'!D238</f>
        <v>26392</v>
      </c>
      <c r="C1417" s="2" t="s">
        <v>569</v>
      </c>
      <c r="D1417" s="2" t="str">
        <f t="shared" si="21"/>
        <v>Error?</v>
      </c>
    </row>
    <row r="1418" spans="1:4" x14ac:dyDescent="0.2">
      <c r="A1418" s="5">
        <v>1357</v>
      </c>
      <c r="B1418" s="1890">
        <f>'Expenditures 15-22'!D240</f>
        <v>1127</v>
      </c>
      <c r="D1418" s="2" t="str">
        <f t="shared" si="21"/>
        <v>Error?</v>
      </c>
    </row>
    <row r="1419" spans="1:4" x14ac:dyDescent="0.2">
      <c r="A1419" s="5">
        <v>1358</v>
      </c>
      <c r="B1419" s="1890">
        <f>'Expenditures 15-22'!D241</f>
        <v>25134</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26261</v>
      </c>
      <c r="C1421" s="2" t="s">
        <v>569</v>
      </c>
      <c r="D1421" s="2" t="str">
        <f t="shared" si="21"/>
        <v>Error?</v>
      </c>
    </row>
    <row r="1422" spans="1:4" x14ac:dyDescent="0.2">
      <c r="A1422" s="5">
        <v>1361</v>
      </c>
      <c r="B1422" s="1890">
        <f>'Expenditures 15-22'!D245</f>
        <v>635</v>
      </c>
      <c r="D1422" s="2" t="str">
        <f t="shared" si="21"/>
        <v>Error?</v>
      </c>
    </row>
    <row r="1423" spans="1:4" x14ac:dyDescent="0.2">
      <c r="A1423" s="5">
        <v>1362</v>
      </c>
      <c r="B1423" s="1890">
        <f>'Expenditures 15-22'!D246</f>
        <v>6393</v>
      </c>
      <c r="D1423" s="2" t="str">
        <f t="shared" si="21"/>
        <v>Error?</v>
      </c>
    </row>
    <row r="1424" spans="1:4" x14ac:dyDescent="0.2">
      <c r="A1424" s="5">
        <v>1363</v>
      </c>
      <c r="B1424" s="1890">
        <f>'Expenditures 15-22'!D257</f>
        <v>7028</v>
      </c>
      <c r="C1424" s="2" t="s">
        <v>569</v>
      </c>
      <c r="D1424" s="2" t="str">
        <f t="shared" si="21"/>
        <v>Error?</v>
      </c>
    </row>
    <row r="1425" spans="1:4" x14ac:dyDescent="0.2">
      <c r="A1425" s="5">
        <v>1364</v>
      </c>
      <c r="B1425" s="1890">
        <f>'Expenditures 15-22'!D259</f>
        <v>18234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18234</v>
      </c>
      <c r="C1427" s="2" t="s">
        <v>569</v>
      </c>
      <c r="D1427" s="2" t="str">
        <f t="shared" si="21"/>
        <v>Error?</v>
      </c>
    </row>
    <row r="1428" spans="1:4" x14ac:dyDescent="0.2">
      <c r="A1428" s="5">
        <v>1367</v>
      </c>
      <c r="B1428" s="1890">
        <f>'Expenditures 15-22'!D263</f>
        <v>976</v>
      </c>
      <c r="D1428" s="2" t="str">
        <f t="shared" si="21"/>
        <v>Error?</v>
      </c>
    </row>
    <row r="1429" spans="1:4" x14ac:dyDescent="0.2">
      <c r="A1429" s="5">
        <v>1368</v>
      </c>
      <c r="B1429" s="1890">
        <f>'Expenditures 15-22'!D264</f>
        <v>8413</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44879</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6694</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60962</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138877</v>
      </c>
      <c r="C1446" s="2" t="s">
        <v>569</v>
      </c>
      <c r="D1446" s="2" t="str">
        <f t="shared" si="21"/>
        <v>Error?</v>
      </c>
    </row>
    <row r="1447" spans="1:4" x14ac:dyDescent="0.2">
      <c r="A1447" s="5">
        <v>1386</v>
      </c>
      <c r="B1447" s="1890">
        <f>'Expenditures 15-22'!D280</f>
        <v>759</v>
      </c>
      <c r="D1447" s="2" t="str">
        <f t="shared" si="21"/>
        <v>Error?</v>
      </c>
    </row>
    <row r="1448" spans="1:4" x14ac:dyDescent="0.2">
      <c r="A1448" s="5">
        <v>1387</v>
      </c>
      <c r="B1448" s="1890">
        <f>'Expenditures 15-22'!D295</f>
        <v>197987</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781</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411</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2300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58351</v>
      </c>
      <c r="C1474" s="2" t="s">
        <v>569</v>
      </c>
      <c r="D1474" s="2" t="str">
        <f t="shared" si="22"/>
        <v>Error?</v>
      </c>
    </row>
    <row r="1475" spans="1:4" x14ac:dyDescent="0.2">
      <c r="A1475" s="5">
        <v>1414</v>
      </c>
      <c r="B1475" s="1890">
        <f>'Expenditures 15-22'!K232</f>
        <v>9892</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15573</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588</v>
      </c>
      <c r="C1479" s="2" t="s">
        <v>569</v>
      </c>
      <c r="D1479" s="2" t="str">
        <f t="shared" si="22"/>
        <v>Error?</v>
      </c>
    </row>
    <row r="1480" spans="1:4" x14ac:dyDescent="0.2">
      <c r="A1480" s="5">
        <v>1419</v>
      </c>
      <c r="B1480" s="1890">
        <f>'Expenditures 15-22'!K237</f>
        <v>339</v>
      </c>
      <c r="C1480" s="2" t="s">
        <v>569</v>
      </c>
      <c r="D1480" s="2" t="str">
        <f t="shared" si="22"/>
        <v>Error?</v>
      </c>
    </row>
    <row r="1481" spans="1:4" x14ac:dyDescent="0.2">
      <c r="A1481" s="5">
        <v>1420</v>
      </c>
      <c r="B1481" s="1890">
        <f>'Expenditures 15-22'!K238</f>
        <v>26392</v>
      </c>
      <c r="C1481" s="2" t="s">
        <v>569</v>
      </c>
      <c r="D1481" s="2" t="str">
        <f t="shared" si="22"/>
        <v>Error?</v>
      </c>
    </row>
    <row r="1482" spans="1:4" x14ac:dyDescent="0.2">
      <c r="A1482" s="5">
        <v>1421</v>
      </c>
      <c r="B1482" s="1890">
        <f>'Expenditures 15-22'!K240</f>
        <v>1127</v>
      </c>
      <c r="C1482" s="2" t="s">
        <v>569</v>
      </c>
      <c r="D1482" s="2" t="str">
        <f t="shared" si="22"/>
        <v>Error?</v>
      </c>
    </row>
    <row r="1483" spans="1:4" x14ac:dyDescent="0.2">
      <c r="A1483" s="5">
        <v>1422</v>
      </c>
      <c r="B1483" s="1890">
        <f>'Expenditures 15-22'!K241</f>
        <v>25134</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26261</v>
      </c>
      <c r="C1485" s="2" t="s">
        <v>569</v>
      </c>
      <c r="D1485" s="2" t="str">
        <f t="shared" si="22"/>
        <v>Error?</v>
      </c>
    </row>
    <row r="1486" spans="1:4" x14ac:dyDescent="0.2">
      <c r="A1486" s="5">
        <v>1425</v>
      </c>
      <c r="B1486" s="1890">
        <f>'Expenditures 15-22'!K245</f>
        <v>635</v>
      </c>
      <c r="C1486" s="2" t="s">
        <v>569</v>
      </c>
      <c r="D1486" s="2" t="str">
        <f t="shared" si="22"/>
        <v>Error?</v>
      </c>
    </row>
    <row r="1487" spans="1:4" x14ac:dyDescent="0.2">
      <c r="A1487" s="5">
        <v>1426</v>
      </c>
      <c r="B1487" s="1890">
        <f>'Expenditures 15-22'!K246</f>
        <v>6393</v>
      </c>
      <c r="C1487" s="2" t="s">
        <v>569</v>
      </c>
      <c r="D1487" s="2" t="str">
        <f t="shared" si="22"/>
        <v>Error?</v>
      </c>
    </row>
    <row r="1488" spans="1:4" x14ac:dyDescent="0.2">
      <c r="A1488" s="5">
        <v>1427</v>
      </c>
      <c r="B1488" s="1890">
        <f>'Expenditures 15-22'!K257</f>
        <v>7028</v>
      </c>
      <c r="C1488" s="2" t="s">
        <v>569</v>
      </c>
      <c r="D1488" s="2" t="str">
        <f t="shared" si="22"/>
        <v>Error?</v>
      </c>
    </row>
    <row r="1489" spans="1:4" x14ac:dyDescent="0.2">
      <c r="A1489" s="5">
        <v>1428</v>
      </c>
      <c r="B1489" s="1890">
        <f>'Expenditures 15-22'!K259</f>
        <v>18234</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18234</v>
      </c>
      <c r="C1491" s="2" t="s">
        <v>569</v>
      </c>
      <c r="D1491" s="2" t="str">
        <f t="shared" si="22"/>
        <v>Error?</v>
      </c>
    </row>
    <row r="1492" spans="1:4" x14ac:dyDescent="0.2">
      <c r="A1492" s="5">
        <v>1431</v>
      </c>
      <c r="B1492" s="1890">
        <f>'Expenditures 15-22'!K263</f>
        <v>976</v>
      </c>
      <c r="C1492" s="2" t="s">
        <v>569</v>
      </c>
      <c r="D1492" s="2" t="str">
        <f t="shared" si="22"/>
        <v>Error?</v>
      </c>
    </row>
    <row r="1493" spans="1:4" x14ac:dyDescent="0.2">
      <c r="A1493" s="5">
        <v>1432</v>
      </c>
      <c r="B1493" s="1890">
        <f>'Expenditures 15-22'!K264</f>
        <v>8413</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44879</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6694</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60962</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138877</v>
      </c>
      <c r="C1510" s="2" t="s">
        <v>569</v>
      </c>
      <c r="D1510" s="2" t="str">
        <f t="shared" si="22"/>
        <v>Error?</v>
      </c>
    </row>
    <row r="1511" spans="1:4" x14ac:dyDescent="0.2">
      <c r="A1511" s="5">
        <v>1450</v>
      </c>
      <c r="B1511" s="1890">
        <f>'Expenditures 15-22'!K280</f>
        <v>759</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197987</v>
      </c>
      <c r="C1517" s="2" t="s">
        <v>569</v>
      </c>
      <c r="D1517" s="2" t="str">
        <f t="shared" si="22"/>
        <v>Error?</v>
      </c>
    </row>
    <row r="1518" spans="1:4" x14ac:dyDescent="0.2">
      <c r="A1518" s="5">
        <v>1457</v>
      </c>
      <c r="B1518" s="1890">
        <f>'Expenditures 15-22'!K296</f>
        <v>67133</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4982826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5348449</v>
      </c>
      <c r="C1630" s="2" t="s">
        <v>569</v>
      </c>
      <c r="D1630" s="2" t="str">
        <f t="shared" si="24"/>
        <v>Error?</v>
      </c>
    </row>
    <row r="1631" spans="1:4" x14ac:dyDescent="0.2">
      <c r="A1631" s="5">
        <v>1570</v>
      </c>
      <c r="B1631" s="1890">
        <f>'Acct Summary 7-8'!D79</f>
        <v>624814</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639278</v>
      </c>
      <c r="C1644" s="2" t="s">
        <v>569</v>
      </c>
      <c r="D1644" s="2" t="str">
        <f t="shared" si="24"/>
        <v>Error?</v>
      </c>
    </row>
    <row r="1645" spans="1:4" x14ac:dyDescent="0.2">
      <c r="A1645" s="5">
        <v>1584</v>
      </c>
      <c r="B1645" s="1890">
        <f>'Acct Summary 7-8'!E79</f>
        <v>157151</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155637</v>
      </c>
      <c r="C1658" s="2" t="s">
        <v>569</v>
      </c>
      <c r="D1658" s="2" t="str">
        <f t="shared" si="24"/>
        <v>Error?</v>
      </c>
    </row>
    <row r="1659" spans="1:4" x14ac:dyDescent="0.2">
      <c r="A1659" s="5">
        <v>1598</v>
      </c>
      <c r="B1659" s="1890">
        <f>'Acct Summary 7-8'!F79</f>
        <v>460071</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467675</v>
      </c>
      <c r="C1672" s="2" t="s">
        <v>569</v>
      </c>
      <c r="D1672" s="2" t="str">
        <f t="shared" si="25"/>
        <v>Error?</v>
      </c>
    </row>
    <row r="1673" spans="1:4" x14ac:dyDescent="0.2">
      <c r="A1673" s="5">
        <v>1612</v>
      </c>
      <c r="B1673" s="1890">
        <f>'Acct Summary 7-8'!G79</f>
        <v>227205</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294338</v>
      </c>
      <c r="C1686" s="2" t="s">
        <v>569</v>
      </c>
      <c r="D1686" s="2" t="str">
        <f t="shared" si="25"/>
        <v>Error?</v>
      </c>
    </row>
    <row r="1687" spans="1:4" x14ac:dyDescent="0.2">
      <c r="A1687" s="5">
        <v>1626</v>
      </c>
      <c r="B1687" s="1890">
        <f>'Acct Summary 7-8'!H79</f>
        <v>53477</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53477</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4147906</v>
      </c>
      <c r="C1744" s="2" t="s">
        <v>569</v>
      </c>
      <c r="D1744" s="2" t="str">
        <f t="shared" si="26"/>
        <v>Error?</v>
      </c>
    </row>
    <row r="1745" spans="1:5" x14ac:dyDescent="0.2">
      <c r="A1745" s="5">
        <v>1684</v>
      </c>
      <c r="B1745" s="1890">
        <f>'Tax Sched 23'!B5</f>
        <v>802498</v>
      </c>
      <c r="C1745" s="2" t="s">
        <v>569</v>
      </c>
      <c r="D1745" s="2" t="str">
        <f t="shared" si="26"/>
        <v>Error?</v>
      </c>
    </row>
    <row r="1746" spans="1:5" x14ac:dyDescent="0.2">
      <c r="A1746" s="5">
        <v>1685</v>
      </c>
      <c r="B1746" s="1890">
        <f>'Tax Sched 23'!B6</f>
        <v>521632</v>
      </c>
      <c r="C1746" s="2" t="s">
        <v>569</v>
      </c>
      <c r="D1746" s="2" t="str">
        <f t="shared" si="26"/>
        <v>Error?</v>
      </c>
    </row>
    <row r="1747" spans="1:5" x14ac:dyDescent="0.2">
      <c r="A1747" s="5">
        <v>1686</v>
      </c>
      <c r="B1747" s="1890">
        <f>'Tax Sched 23'!B7</f>
        <v>97591</v>
      </c>
      <c r="C1747" s="2" t="s">
        <v>569</v>
      </c>
      <c r="D1747" s="2" t="str">
        <f t="shared" si="26"/>
        <v>Error?</v>
      </c>
    </row>
    <row r="1748" spans="1:5" x14ac:dyDescent="0.2">
      <c r="A1748" s="5">
        <v>1687</v>
      </c>
      <c r="B1748" s="1890">
        <f>'Tax Sched 23'!B8</f>
        <v>164082</v>
      </c>
      <c r="C1748" s="2" t="s">
        <v>569</v>
      </c>
      <c r="D1748" s="2" t="str">
        <f t="shared" si="26"/>
        <v>Error?</v>
      </c>
    </row>
    <row r="1749" spans="1:5" x14ac:dyDescent="0.2">
      <c r="A1749" s="5">
        <v>1688</v>
      </c>
      <c r="B1749" s="1890">
        <f>'Tax Sched 23'!B10</f>
        <v>6057</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50812</v>
      </c>
      <c r="C1752" s="2" t="s">
        <v>569</v>
      </c>
      <c r="D1752" s="2" t="str">
        <f t="shared" si="26"/>
        <v>Error?</v>
      </c>
    </row>
    <row r="1753" spans="1:5" x14ac:dyDescent="0.2">
      <c r="A1753" s="5">
        <v>1692</v>
      </c>
      <c r="B1753" s="1890">
        <f>'Tax Sched 23'!B12</f>
        <v>4915</v>
      </c>
      <c r="C1753" s="2" t="s">
        <v>569</v>
      </c>
      <c r="D1753" s="2" t="str">
        <f t="shared" si="26"/>
        <v>Error?</v>
      </c>
    </row>
    <row r="1754" spans="1:5" x14ac:dyDescent="0.2">
      <c r="A1754" s="5">
        <v>1693</v>
      </c>
      <c r="B1754" s="1890">
        <f>'Tax Sched 23'!B14</f>
        <v>47831</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5938302</v>
      </c>
      <c r="C1759" s="2" t="s">
        <v>569</v>
      </c>
      <c r="D1759" s="2" t="str">
        <f t="shared" si="26"/>
        <v>Error?</v>
      </c>
    </row>
    <row r="1760" spans="1:5" x14ac:dyDescent="0.2">
      <c r="A1760" s="5">
        <v>1699</v>
      </c>
      <c r="B1760" s="1890">
        <f>'Tax Sched 23'!D4</f>
        <v>1986046</v>
      </c>
      <c r="C1760" s="2" t="s">
        <v>569</v>
      </c>
      <c r="D1760" s="2" t="str">
        <f t="shared" si="26"/>
        <v>Error?</v>
      </c>
    </row>
    <row r="1761" spans="1:7" x14ac:dyDescent="0.2">
      <c r="A1761" s="5">
        <v>1700</v>
      </c>
      <c r="B1761" s="1890">
        <f>'Tax Sched 23'!D5</f>
        <v>375642</v>
      </c>
      <c r="C1761" s="2" t="s">
        <v>569</v>
      </c>
      <c r="D1761" s="2" t="str">
        <f t="shared" si="26"/>
        <v>Error?</v>
      </c>
    </row>
    <row r="1762" spans="1:7" s="8" customFormat="1" x14ac:dyDescent="0.2">
      <c r="A1762" s="5">
        <v>1701</v>
      </c>
      <c r="B1762" s="1890">
        <f>'Tax Sched 23'!D6</f>
        <v>247224</v>
      </c>
      <c r="C1762" s="2" t="s">
        <v>569</v>
      </c>
      <c r="D1762" s="2" t="str">
        <f t="shared" si="26"/>
        <v>Error?</v>
      </c>
      <c r="E1762" s="9"/>
      <c r="G1762"/>
    </row>
    <row r="1763" spans="1:7" x14ac:dyDescent="0.2">
      <c r="A1763" s="5">
        <v>1702</v>
      </c>
      <c r="B1763" s="1890">
        <f>'Tax Sched 23'!D7</f>
        <v>23080</v>
      </c>
      <c r="C1763" s="2" t="s">
        <v>569</v>
      </c>
      <c r="D1763" s="2" t="str">
        <f t="shared" si="26"/>
        <v>Error?</v>
      </c>
    </row>
    <row r="1764" spans="1:7" x14ac:dyDescent="0.2">
      <c r="A1764" s="5">
        <v>1703</v>
      </c>
      <c r="B1764" s="1890">
        <f>'Tax Sched 23'!D8</f>
        <v>92397</v>
      </c>
      <c r="C1764" s="2" t="s">
        <v>569</v>
      </c>
      <c r="D1764" s="2" t="str">
        <f t="shared" si="26"/>
        <v>Error?</v>
      </c>
    </row>
    <row r="1765" spans="1:7" x14ac:dyDescent="0.2">
      <c r="A1765" s="5">
        <v>1704</v>
      </c>
      <c r="B1765" s="1890">
        <f>'Tax Sched 23'!D10</f>
        <v>833</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24519</v>
      </c>
      <c r="C1768" s="2" t="s">
        <v>569</v>
      </c>
      <c r="D1768" s="2" t="str">
        <f t="shared" si="26"/>
        <v>Error?</v>
      </c>
    </row>
    <row r="1769" spans="1:7" x14ac:dyDescent="0.2">
      <c r="A1769" s="5">
        <v>1708</v>
      </c>
      <c r="B1769" s="1890">
        <f>'Tax Sched 23'!D12</f>
        <v>2346</v>
      </c>
      <c r="C1769" s="2" t="s">
        <v>569</v>
      </c>
      <c r="D1769" s="2" t="str">
        <f t="shared" si="26"/>
        <v>Error?</v>
      </c>
    </row>
    <row r="1770" spans="1:7" x14ac:dyDescent="0.2">
      <c r="A1770" s="5">
        <v>1709</v>
      </c>
      <c r="B1770" s="1890">
        <f>'Tax Sched 23'!D14</f>
        <v>23079</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2824581</v>
      </c>
      <c r="C1775" s="2" t="s">
        <v>569</v>
      </c>
      <c r="D1775" s="2" t="str">
        <f t="shared" si="26"/>
        <v>Error?</v>
      </c>
    </row>
    <row r="1776" spans="1:7" x14ac:dyDescent="0.2">
      <c r="A1776" s="5">
        <v>1715</v>
      </c>
      <c r="B1776" s="1890">
        <f>'Tax Sched 23'!C4</f>
        <v>2161860</v>
      </c>
      <c r="D1776" s="2" t="str">
        <f t="shared" si="26"/>
        <v>Error?</v>
      </c>
    </row>
    <row r="1777" spans="1:4" x14ac:dyDescent="0.2">
      <c r="A1777" s="5">
        <v>1716</v>
      </c>
      <c r="B1777" s="1890">
        <f>'Tax Sched 23'!C5</f>
        <v>426856</v>
      </c>
      <c r="D1777" s="2" t="str">
        <f t="shared" si="26"/>
        <v>Error?</v>
      </c>
    </row>
    <row r="1778" spans="1:4" x14ac:dyDescent="0.2">
      <c r="A1778" s="5">
        <v>1717</v>
      </c>
      <c r="B1778" s="1890">
        <f>'Tax Sched 23'!C6</f>
        <v>274408</v>
      </c>
      <c r="D1778" s="2" t="str">
        <f t="shared" si="26"/>
        <v>Error?</v>
      </c>
    </row>
    <row r="1779" spans="1:4" x14ac:dyDescent="0.2">
      <c r="A1779" s="5">
        <v>1718</v>
      </c>
      <c r="B1779" s="1890">
        <f>'Tax Sched 23'!C7</f>
        <v>74511</v>
      </c>
      <c r="D1779" s="2" t="str">
        <f t="shared" si="26"/>
        <v>Error?</v>
      </c>
    </row>
    <row r="1780" spans="1:4" x14ac:dyDescent="0.2">
      <c r="A1780" s="5">
        <v>1719</v>
      </c>
      <c r="B1780" s="1890">
        <f>'Tax Sched 23'!C8</f>
        <v>71685</v>
      </c>
      <c r="D1780" s="2" t="str">
        <f t="shared" si="26"/>
        <v>Error?</v>
      </c>
    </row>
    <row r="1781" spans="1:4" x14ac:dyDescent="0.2">
      <c r="A1781" s="5">
        <v>1720</v>
      </c>
      <c r="B1781" s="1890">
        <f>'Tax Sched 23'!C10</f>
        <v>5224</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26293</v>
      </c>
      <c r="D1784" s="2" t="str">
        <f t="shared" si="26"/>
        <v>Error?</v>
      </c>
    </row>
    <row r="1785" spans="1:4" x14ac:dyDescent="0.2">
      <c r="A1785" s="5">
        <v>1724</v>
      </c>
      <c r="B1785" s="1890">
        <f>'Tax Sched 23'!C12</f>
        <v>2569</v>
      </c>
      <c r="D1785" s="2" t="str">
        <f t="shared" si="26"/>
        <v>Error?</v>
      </c>
    </row>
    <row r="1786" spans="1:4" x14ac:dyDescent="0.2">
      <c r="A1786" s="5">
        <v>1725</v>
      </c>
      <c r="B1786" s="1890">
        <f>'Tax Sched 23'!C14</f>
        <v>24752</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3113721</v>
      </c>
      <c r="C1791" s="2" t="s">
        <v>569</v>
      </c>
      <c r="D1791" s="2" t="str">
        <f t="shared" ref="D1791:D1854" si="27">IF(ISBLANK(B1791),"OK",IF(A1791-B1791=0,"OK","Error?"))</f>
        <v>Error?</v>
      </c>
    </row>
    <row r="1792" spans="1:4" x14ac:dyDescent="0.2">
      <c r="A1792" s="5">
        <v>1731</v>
      </c>
      <c r="B1792" s="1890">
        <f>'Tax Sched 23'!F4</f>
        <v>2066061</v>
      </c>
      <c r="C1792" s="2" t="s">
        <v>569</v>
      </c>
      <c r="D1792" s="2" t="str">
        <f t="shared" si="27"/>
        <v>Error?</v>
      </c>
    </row>
    <row r="1793" spans="1:4" x14ac:dyDescent="0.2">
      <c r="A1793" s="5">
        <v>1732</v>
      </c>
      <c r="B1793" s="1890">
        <f>'Tax Sched 23'!F5</f>
        <v>407942</v>
      </c>
      <c r="C1793" s="2" t="s">
        <v>569</v>
      </c>
      <c r="D1793" s="2" t="str">
        <f t="shared" si="27"/>
        <v>Error?</v>
      </c>
    </row>
    <row r="1794" spans="1:4" x14ac:dyDescent="0.2">
      <c r="A1794" s="5">
        <v>1733</v>
      </c>
      <c r="B1794" s="1890">
        <f>'Tax Sched 23'!F6</f>
        <v>262248</v>
      </c>
      <c r="C1794" s="2" t="s">
        <v>569</v>
      </c>
      <c r="D1794" s="2" t="str">
        <f t="shared" si="27"/>
        <v>Error?</v>
      </c>
    </row>
    <row r="1795" spans="1:4" x14ac:dyDescent="0.2">
      <c r="A1795" s="5">
        <v>1734</v>
      </c>
      <c r="B1795" s="1890">
        <f>'Tax Sched 23'!F7</f>
        <v>71210</v>
      </c>
      <c r="C1795" s="2" t="s">
        <v>569</v>
      </c>
      <c r="D1795" s="2" t="str">
        <f t="shared" si="27"/>
        <v>Error?</v>
      </c>
    </row>
    <row r="1796" spans="1:4" x14ac:dyDescent="0.2">
      <c r="A1796" s="5">
        <v>1735</v>
      </c>
      <c r="B1796" s="1890">
        <f>'Tax Sched 23'!F8</f>
        <v>68509</v>
      </c>
      <c r="C1796" s="2" t="s">
        <v>569</v>
      </c>
      <c r="D1796" s="2" t="str">
        <f t="shared" si="27"/>
        <v>Error?</v>
      </c>
    </row>
    <row r="1797" spans="1:4" x14ac:dyDescent="0.2">
      <c r="A1797" s="5">
        <v>1736</v>
      </c>
      <c r="B1797" s="1890">
        <f>'Tax Sched 23'!F10</f>
        <v>4993</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25128</v>
      </c>
      <c r="C1800" s="2" t="s">
        <v>569</v>
      </c>
      <c r="D1800" s="2" t="str">
        <f t="shared" si="27"/>
        <v>Error?</v>
      </c>
    </row>
    <row r="1801" spans="1:4" x14ac:dyDescent="0.2">
      <c r="A1801" s="5">
        <v>1740</v>
      </c>
      <c r="B1801" s="1890">
        <f>'Tax Sched 23'!F12</f>
        <v>2456</v>
      </c>
      <c r="C1801" s="2" t="s">
        <v>569</v>
      </c>
      <c r="D1801" s="2" t="str">
        <f t="shared" si="27"/>
        <v>Error?</v>
      </c>
    </row>
    <row r="1802" spans="1:4" x14ac:dyDescent="0.2">
      <c r="A1802" s="5">
        <v>1741</v>
      </c>
      <c r="B1802" s="1890">
        <f>'Tax Sched 23'!F14</f>
        <v>23654</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2975745</v>
      </c>
      <c r="C1807" s="2" t="s">
        <v>569</v>
      </c>
      <c r="D1807" s="2" t="str">
        <f t="shared" si="27"/>
        <v>Error?</v>
      </c>
    </row>
    <row r="1808" spans="1:4" x14ac:dyDescent="0.2">
      <c r="A1808" s="5">
        <v>1747</v>
      </c>
      <c r="B1808" s="1890">
        <f>'Tax Sched 23'!E4</f>
        <v>4227921</v>
      </c>
      <c r="D1808" s="2" t="str">
        <f t="shared" si="27"/>
        <v>Error?</v>
      </c>
    </row>
    <row r="1809" spans="1:4" x14ac:dyDescent="0.2">
      <c r="A1809" s="5">
        <v>1748</v>
      </c>
      <c r="B1809" s="1890">
        <f>'Tax Sched 23'!E5</f>
        <v>834798</v>
      </c>
      <c r="D1809" s="2" t="str">
        <f t="shared" si="27"/>
        <v>Error?</v>
      </c>
    </row>
    <row r="1810" spans="1:4" x14ac:dyDescent="0.2">
      <c r="A1810" s="5">
        <v>1749</v>
      </c>
      <c r="B1810" s="1890">
        <f>'Tax Sched 23'!E6</f>
        <v>536656</v>
      </c>
      <c r="D1810" s="2" t="str">
        <f t="shared" si="27"/>
        <v>Error?</v>
      </c>
    </row>
    <row r="1811" spans="1:4" x14ac:dyDescent="0.2">
      <c r="A1811" s="5">
        <v>1750</v>
      </c>
      <c r="B1811" s="1890">
        <f>'Tax Sched 23'!E7</f>
        <v>145721</v>
      </c>
      <c r="D1811" s="2" t="str">
        <f t="shared" si="27"/>
        <v>Error?</v>
      </c>
    </row>
    <row r="1812" spans="1:4" x14ac:dyDescent="0.2">
      <c r="A1812" s="5">
        <v>1751</v>
      </c>
      <c r="B1812" s="1890">
        <f>'Tax Sched 23'!E8</f>
        <v>140194</v>
      </c>
      <c r="D1812" s="2" t="str">
        <f t="shared" si="27"/>
        <v>Error?</v>
      </c>
    </row>
    <row r="1813" spans="1:4" x14ac:dyDescent="0.2">
      <c r="A1813" s="5">
        <v>1752</v>
      </c>
      <c r="B1813" s="1890">
        <f>'Tax Sched 23'!E10</f>
        <v>10217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51421</v>
      </c>
      <c r="D1816" s="2" t="str">
        <f t="shared" si="27"/>
        <v>Error?</v>
      </c>
    </row>
    <row r="1817" spans="1:4" x14ac:dyDescent="0.2">
      <c r="A1817" s="5">
        <v>1756</v>
      </c>
      <c r="B1817" s="1890">
        <f>'Tax Sched 23'!E12</f>
        <v>5025</v>
      </c>
      <c r="D1817" s="2" t="str">
        <f t="shared" si="27"/>
        <v>Error?</v>
      </c>
    </row>
    <row r="1818" spans="1:4" x14ac:dyDescent="0.2">
      <c r="A1818" s="5">
        <v>1757</v>
      </c>
      <c r="B1818" s="1890">
        <f>'Tax Sched 23'!E14</f>
        <v>48406</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6089466</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4085000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47831</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47831</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47831</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40960</v>
      </c>
      <c r="D2008" s="2" t="str">
        <f t="shared" si="30"/>
        <v>Error?</v>
      </c>
    </row>
    <row r="2009" spans="1:4" x14ac:dyDescent="0.2">
      <c r="A2009" s="5">
        <v>1948</v>
      </c>
      <c r="B2009" s="1890">
        <f>'Cap Outlay Deprec 26'!C8</f>
        <v>10951430</v>
      </c>
      <c r="D2009" s="2" t="str">
        <f t="shared" si="30"/>
        <v>Error?</v>
      </c>
    </row>
    <row r="2010" spans="1:4" x14ac:dyDescent="0.2">
      <c r="A2010" s="5">
        <v>1949</v>
      </c>
      <c r="B2010" s="1890">
        <f>'Cap Outlay Deprec 26'!C10</f>
        <v>1464603</v>
      </c>
      <c r="D2010" s="2" t="str">
        <f t="shared" si="30"/>
        <v>Error?</v>
      </c>
    </row>
    <row r="2011" spans="1:4" x14ac:dyDescent="0.2">
      <c r="A2011" s="5">
        <v>1950</v>
      </c>
      <c r="B2011" s="1890">
        <f>'Cap Outlay Deprec 26'!C12</f>
        <v>1231737</v>
      </c>
      <c r="D2011" s="2" t="str">
        <f t="shared" si="30"/>
        <v>Error?</v>
      </c>
    </row>
    <row r="2012" spans="1:4" x14ac:dyDescent="0.2">
      <c r="A2012" s="5">
        <v>1951</v>
      </c>
      <c r="B2012" s="1890">
        <f>'Cap Outlay Deprec 26'!C13</f>
        <v>24997</v>
      </c>
      <c r="D2012" s="2" t="str">
        <f t="shared" si="30"/>
        <v>Error?</v>
      </c>
    </row>
    <row r="2013" spans="1:4" x14ac:dyDescent="0.2">
      <c r="A2013" s="5">
        <v>1952</v>
      </c>
      <c r="B2013" s="1890">
        <f>'Cap Outlay Deprec 26'!C16</f>
        <v>13969236</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110894</v>
      </c>
      <c r="D2016" s="2" t="str">
        <f t="shared" si="30"/>
        <v>Error?</v>
      </c>
    </row>
    <row r="2017" spans="1:4" x14ac:dyDescent="0.2">
      <c r="A2017" s="5">
        <v>1956</v>
      </c>
      <c r="B2017" s="1890">
        <f>'Cap Outlay Deprec 26'!D12</f>
        <v>49352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160246</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40960</v>
      </c>
      <c r="C2026" s="2" t="s">
        <v>569</v>
      </c>
      <c r="D2026" s="2" t="str">
        <f t="shared" si="30"/>
        <v>Error?</v>
      </c>
    </row>
    <row r="2027" spans="1:4" x14ac:dyDescent="0.2">
      <c r="A2027" s="5">
        <v>1966</v>
      </c>
      <c r="B2027" s="1890">
        <f>'Cap Outlay Deprec 26'!F8</f>
        <v>10951430</v>
      </c>
      <c r="C2027" s="2" t="s">
        <v>569</v>
      </c>
      <c r="D2027" s="2" t="str">
        <f t="shared" si="30"/>
        <v>Error?</v>
      </c>
    </row>
    <row r="2028" spans="1:4" x14ac:dyDescent="0.2">
      <c r="A2028" s="5">
        <v>1967</v>
      </c>
      <c r="B2028" s="1890">
        <f>'Cap Outlay Deprec 26'!F10</f>
        <v>1575497</v>
      </c>
      <c r="C2028" s="2" t="s">
        <v>569</v>
      </c>
      <c r="D2028" s="2" t="str">
        <f t="shared" si="30"/>
        <v>Error?</v>
      </c>
    </row>
    <row r="2029" spans="1:4" x14ac:dyDescent="0.2">
      <c r="A2029" s="5">
        <v>1968</v>
      </c>
      <c r="B2029" s="1890">
        <f>'Cap Outlay Deprec 26'!F12</f>
        <v>1281089</v>
      </c>
      <c r="C2029" s="2" t="s">
        <v>569</v>
      </c>
      <c r="D2029" s="2" t="str">
        <f t="shared" si="30"/>
        <v>Error?</v>
      </c>
    </row>
    <row r="2030" spans="1:4" x14ac:dyDescent="0.2">
      <c r="A2030" s="5">
        <v>1969</v>
      </c>
      <c r="B2030" s="1890">
        <f>'Cap Outlay Deprec 26'!F13</f>
        <v>24997</v>
      </c>
      <c r="C2030" s="2" t="s">
        <v>569</v>
      </c>
      <c r="D2030" s="2" t="str">
        <f t="shared" si="30"/>
        <v>Error?</v>
      </c>
    </row>
    <row r="2031" spans="1:4" x14ac:dyDescent="0.2">
      <c r="A2031" s="5">
        <v>1970</v>
      </c>
      <c r="B2031" s="1890">
        <f>'Cap Outlay Deprec 26'!F16</f>
        <v>14129482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5164718</v>
      </c>
      <c r="D2033" s="2" t="str">
        <f t="shared" si="30"/>
        <v>Error?</v>
      </c>
    </row>
    <row r="2034" spans="1:4" x14ac:dyDescent="0.2">
      <c r="A2034" s="5">
        <v>1973</v>
      </c>
      <c r="B2034" s="1890">
        <f>'Cap Outlay Deprec 26'!H10</f>
        <v>580840</v>
      </c>
      <c r="D2034" s="2" t="str">
        <f t="shared" si="30"/>
        <v>Error?</v>
      </c>
    </row>
    <row r="2035" spans="1:4" x14ac:dyDescent="0.2">
      <c r="A2035" s="5">
        <v>1974</v>
      </c>
      <c r="B2035" s="1890">
        <f>'Cap Outlay Deprec 26'!H12</f>
        <v>847457</v>
      </c>
      <c r="D2035" s="2" t="str">
        <f t="shared" si="30"/>
        <v>Error?</v>
      </c>
    </row>
    <row r="2036" spans="1:4" x14ac:dyDescent="0.2">
      <c r="A2036" s="5">
        <v>1975</v>
      </c>
      <c r="B2036" s="1890">
        <f>'Cap Outlay Deprec 26'!H13</f>
        <v>24997</v>
      </c>
      <c r="D2036" s="2" t="str">
        <f t="shared" si="30"/>
        <v>Error?</v>
      </c>
    </row>
    <row r="2037" spans="1:4" x14ac:dyDescent="0.2">
      <c r="A2037" s="5">
        <v>1976</v>
      </c>
      <c r="B2037" s="1890">
        <f>'Cap Outlay Deprec 26'!H16</f>
        <v>6873521</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219163</v>
      </c>
      <c r="D2039" s="2" t="str">
        <f t="shared" si="30"/>
        <v>Error?</v>
      </c>
    </row>
    <row r="2040" spans="1:4" x14ac:dyDescent="0.2">
      <c r="A2040" s="5">
        <v>1979</v>
      </c>
      <c r="B2040" s="1890">
        <f>'Cap Outlay Deprec 26'!I10</f>
        <v>55468</v>
      </c>
      <c r="D2040" s="2" t="str">
        <f t="shared" si="30"/>
        <v>Error?</v>
      </c>
    </row>
    <row r="2041" spans="1:4" x14ac:dyDescent="0.2">
      <c r="A2041" s="5">
        <v>1980</v>
      </c>
      <c r="B2041" s="1890">
        <f>'Cap Outlay Deprec 26'!I12</f>
        <v>14073</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288704</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5383881</v>
      </c>
      <c r="C2051" s="2" t="s">
        <v>569</v>
      </c>
      <c r="D2051" s="2" t="str">
        <f t="shared" si="31"/>
        <v>Error?</v>
      </c>
    </row>
    <row r="2052" spans="1:4" x14ac:dyDescent="0.2">
      <c r="A2052" s="5">
        <v>1991</v>
      </c>
      <c r="B2052" s="1890">
        <f>'Cap Outlay Deprec 26'!K10</f>
        <v>636308</v>
      </c>
      <c r="C2052" s="2" t="s">
        <v>569</v>
      </c>
      <c r="D2052" s="2" t="str">
        <f t="shared" si="31"/>
        <v>Error?</v>
      </c>
    </row>
    <row r="2053" spans="1:4" x14ac:dyDescent="0.2">
      <c r="A2053" s="5">
        <v>1992</v>
      </c>
      <c r="B2053" s="1890">
        <f>'Cap Outlay Deprec 26'!K12</f>
        <v>861530</v>
      </c>
      <c r="C2053" s="2" t="s">
        <v>569</v>
      </c>
      <c r="D2053" s="2" t="str">
        <f t="shared" si="31"/>
        <v>Error?</v>
      </c>
    </row>
    <row r="2054" spans="1:4" x14ac:dyDescent="0.2">
      <c r="A2054" s="5">
        <v>1993</v>
      </c>
      <c r="B2054" s="1890">
        <f>'Cap Outlay Deprec 26'!K13</f>
        <v>24997</v>
      </c>
      <c r="C2054" s="2" t="s">
        <v>569</v>
      </c>
      <c r="D2054" s="2" t="str">
        <f t="shared" si="31"/>
        <v>Error?</v>
      </c>
    </row>
    <row r="2055" spans="1:4" x14ac:dyDescent="0.2">
      <c r="A2055" s="5">
        <v>1994</v>
      </c>
      <c r="B2055" s="1890">
        <f>'Cap Outlay Deprec 26'!K16</f>
        <v>7162225</v>
      </c>
      <c r="C2055" s="2" t="s">
        <v>569</v>
      </c>
      <c r="D2055" s="2" t="str">
        <f t="shared" si="31"/>
        <v>Error?</v>
      </c>
    </row>
    <row r="2056" spans="1:4" x14ac:dyDescent="0.2">
      <c r="A2056" s="5">
        <v>1995</v>
      </c>
      <c r="B2056" s="1890">
        <f>'Cap Outlay Deprec 26'!L5</f>
        <v>40960</v>
      </c>
      <c r="C2056" s="2" t="s">
        <v>569</v>
      </c>
      <c r="D2056" s="2" t="str">
        <f t="shared" si="31"/>
        <v>Error?</v>
      </c>
    </row>
    <row r="2057" spans="1:4" x14ac:dyDescent="0.2">
      <c r="A2057" s="5">
        <v>1996</v>
      </c>
      <c r="B2057" s="1890">
        <f>'Cap Outlay Deprec 26'!L8</f>
        <v>5567549</v>
      </c>
      <c r="C2057" s="2" t="s">
        <v>569</v>
      </c>
      <c r="D2057" s="2" t="str">
        <f t="shared" si="31"/>
        <v>Error?</v>
      </c>
    </row>
    <row r="2058" spans="1:4" x14ac:dyDescent="0.2">
      <c r="A2058" s="5">
        <v>1997</v>
      </c>
      <c r="B2058" s="1890">
        <f>'Cap Outlay Deprec 26'!L10</f>
        <v>939189</v>
      </c>
      <c r="C2058" s="2" t="s">
        <v>569</v>
      </c>
      <c r="D2058" s="2" t="str">
        <f t="shared" si="31"/>
        <v>Error?</v>
      </c>
    </row>
    <row r="2059" spans="1:4" x14ac:dyDescent="0.2">
      <c r="A2059" s="5">
        <v>1998</v>
      </c>
      <c r="B2059" s="1890">
        <f>'Cap Outlay Deprec 26'!L12</f>
        <v>419559</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6967257</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645252</v>
      </c>
      <c r="C2088" s="2" t="s">
        <v>569</v>
      </c>
      <c r="D2088" s="2" t="str">
        <f t="shared" si="31"/>
        <v>Error?</v>
      </c>
    </row>
    <row r="2089" spans="1:4" x14ac:dyDescent="0.2">
      <c r="A2089" s="5">
        <v>2028</v>
      </c>
      <c r="B2089" s="1890">
        <f>'Expenditures 15-22'!K92</f>
        <v>92913</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4568866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1280069</v>
      </c>
      <c r="C2553" s="2" t="s">
        <v>569</v>
      </c>
      <c r="D2553" s="2" t="str">
        <f t="shared" si="38"/>
        <v>Error?</v>
      </c>
    </row>
    <row r="2554" spans="1:4" x14ac:dyDescent="0.2">
      <c r="A2554" s="5">
        <v>2493</v>
      </c>
      <c r="B2554" s="1890">
        <f>'Acct Summary 7-8'!C7</f>
        <v>413864</v>
      </c>
      <c r="C2554" s="2" t="s">
        <v>569</v>
      </c>
      <c r="D2554" s="2" t="str">
        <f t="shared" si="38"/>
        <v>Error?</v>
      </c>
    </row>
    <row r="2555" spans="1:4" x14ac:dyDescent="0.2">
      <c r="A2555" s="5">
        <v>2494</v>
      </c>
      <c r="B2555" s="1890">
        <f>'Acct Summary 7-8'!C8</f>
        <v>6262799</v>
      </c>
      <c r="C2555" s="2" t="s">
        <v>569</v>
      </c>
      <c r="D2555" s="2" t="str">
        <f t="shared" si="38"/>
        <v>Error?</v>
      </c>
    </row>
    <row r="2556" spans="1:4" x14ac:dyDescent="0.2">
      <c r="A2556" s="5">
        <v>2495</v>
      </c>
      <c r="B2556" s="1890">
        <f>'Acct Summary 7-8'!C12</f>
        <v>3288582</v>
      </c>
      <c r="C2556" s="2" t="s">
        <v>569</v>
      </c>
      <c r="D2556" s="2" t="str">
        <f t="shared" si="38"/>
        <v>Error?</v>
      </c>
    </row>
    <row r="2557" spans="1:4" x14ac:dyDescent="0.2">
      <c r="A2557" s="5">
        <v>2496</v>
      </c>
      <c r="B2557" s="1890">
        <f>'Acct Summary 7-8'!C13</f>
        <v>1860238</v>
      </c>
      <c r="C2557" s="2" t="s">
        <v>569</v>
      </c>
      <c r="D2557" s="2" t="str">
        <f t="shared" si="38"/>
        <v>Error?</v>
      </c>
    </row>
    <row r="2558" spans="1:4" x14ac:dyDescent="0.2">
      <c r="A2558" s="5">
        <v>2497</v>
      </c>
      <c r="B2558" s="1890">
        <f>'Acct Summary 7-8'!C14</f>
        <v>10191</v>
      </c>
      <c r="C2558" s="2" t="s">
        <v>569</v>
      </c>
      <c r="D2558" s="2" t="str">
        <f t="shared" si="38"/>
        <v>Error?</v>
      </c>
    </row>
    <row r="2559" spans="1:4" x14ac:dyDescent="0.2">
      <c r="A2559" s="5">
        <v>2498</v>
      </c>
      <c r="B2559" s="1890">
        <f>'Acct Summary 7-8'!C15</f>
        <v>738165</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5897176</v>
      </c>
      <c r="C2561" s="2" t="s">
        <v>569</v>
      </c>
      <c r="D2561" s="2" t="str">
        <f t="shared" si="39"/>
        <v>Error?</v>
      </c>
    </row>
    <row r="2562" spans="1:4" x14ac:dyDescent="0.2">
      <c r="A2562" s="5">
        <v>2501</v>
      </c>
      <c r="B2562" s="1890">
        <f>'Acct Summary 7-8'!C20</f>
        <v>365623</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879730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929730</v>
      </c>
      <c r="C2568" s="2" t="s">
        <v>569</v>
      </c>
      <c r="D2568" s="2" t="str">
        <f t="shared" si="39"/>
        <v>Error?</v>
      </c>
    </row>
    <row r="2569" spans="1:4" x14ac:dyDescent="0.2">
      <c r="A2569" s="5">
        <v>2508</v>
      </c>
      <c r="B2569" s="1890">
        <f>'Acct Summary 7-8'!D13</f>
        <v>861531</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861531</v>
      </c>
      <c r="C2573" s="2" t="s">
        <v>569</v>
      </c>
      <c r="D2573" s="2" t="str">
        <f t="shared" si="39"/>
        <v>Error?</v>
      </c>
    </row>
    <row r="2574" spans="1:4" x14ac:dyDescent="0.2">
      <c r="A2574" s="5">
        <v>2513</v>
      </c>
      <c r="B2574" s="1890">
        <f>'Acct Summary 7-8'!D20</f>
        <v>68199</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97740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132850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230590</v>
      </c>
      <c r="C2595" s="2" t="s">
        <v>569</v>
      </c>
      <c r="D2595" s="2" t="str">
        <f t="shared" si="39"/>
        <v>Error?</v>
      </c>
    </row>
    <row r="2596" spans="1:4" x14ac:dyDescent="0.2">
      <c r="A2596" s="5">
        <v>2535</v>
      </c>
      <c r="B2596" s="1890">
        <f>'Acct Summary 7-8'!F13</f>
        <v>25315</v>
      </c>
      <c r="C2596" s="2" t="s">
        <v>569</v>
      </c>
      <c r="D2596" s="2" t="str">
        <f t="shared" si="39"/>
        <v>Error?</v>
      </c>
    </row>
    <row r="2597" spans="1:4" x14ac:dyDescent="0.2">
      <c r="A2597" s="5">
        <v>2536</v>
      </c>
      <c r="B2597" s="1890">
        <f>'Acct Summary 7-8'!F14</f>
        <v>46</v>
      </c>
      <c r="C2597" s="2" t="s">
        <v>569</v>
      </c>
      <c r="D2597" s="2" t="str">
        <f t="shared" si="39"/>
        <v>Error?</v>
      </c>
    </row>
    <row r="2598" spans="1:4" x14ac:dyDescent="0.2">
      <c r="A2598" s="5">
        <v>2537</v>
      </c>
      <c r="B2598" s="1890">
        <f>'Acct Summary 7-8'!F15</f>
        <v>197625</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222986</v>
      </c>
      <c r="C2600" s="2" t="s">
        <v>569</v>
      </c>
      <c r="D2600" s="2" t="str">
        <f t="shared" si="39"/>
        <v>Error?</v>
      </c>
    </row>
    <row r="2601" spans="1:4" x14ac:dyDescent="0.2">
      <c r="A2601" s="5">
        <v>2540</v>
      </c>
      <c r="B2601" s="1890">
        <f>'Acct Summary 7-8'!F20</f>
        <v>7604</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253190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11930</v>
      </c>
      <c r="C2605" s="2" t="s">
        <v>569</v>
      </c>
      <c r="D2605" s="2" t="str">
        <f t="shared" si="39"/>
        <v>Error?</v>
      </c>
    </row>
    <row r="2606" spans="1:4" x14ac:dyDescent="0.2">
      <c r="A2606" s="5">
        <v>2545</v>
      </c>
      <c r="B2606" s="1890">
        <f>'Acct Summary 7-8'!G8</f>
        <v>265120</v>
      </c>
      <c r="C2606" s="2" t="s">
        <v>569</v>
      </c>
      <c r="D2606" s="2" t="str">
        <f t="shared" si="39"/>
        <v>Error?</v>
      </c>
    </row>
    <row r="2607" spans="1:4" x14ac:dyDescent="0.2">
      <c r="A2607" s="5">
        <v>2546</v>
      </c>
      <c r="B2607" s="1890">
        <f>'Acct Summary 7-8'!G12</f>
        <v>58351</v>
      </c>
      <c r="C2607" s="2" t="s">
        <v>569</v>
      </c>
      <c r="D2607" s="2" t="str">
        <f t="shared" si="39"/>
        <v>Error?</v>
      </c>
    </row>
    <row r="2608" spans="1:4" x14ac:dyDescent="0.2">
      <c r="A2608" s="5">
        <v>2547</v>
      </c>
      <c r="B2608" s="1890">
        <f>'Acct Summary 7-8'!G13</f>
        <v>138877</v>
      </c>
      <c r="C2608" s="2" t="s">
        <v>569</v>
      </c>
      <c r="D2608" s="2" t="str">
        <f t="shared" si="39"/>
        <v>Error?</v>
      </c>
    </row>
    <row r="2609" spans="1:4" x14ac:dyDescent="0.2">
      <c r="A2609" s="5">
        <v>2548</v>
      </c>
      <c r="B2609" s="1890">
        <f>'Acct Summary 7-8'!G14</f>
        <v>759</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197987</v>
      </c>
      <c r="C2612" s="2" t="s">
        <v>569</v>
      </c>
      <c r="D2612" s="2" t="str">
        <f t="shared" si="39"/>
        <v>Error?</v>
      </c>
    </row>
    <row r="2613" spans="1:4" x14ac:dyDescent="0.2">
      <c r="A2613" s="5">
        <v>2552</v>
      </c>
      <c r="B2613" s="1890">
        <f>'Acct Summary 7-8'!G20</f>
        <v>67133</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523229</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523229</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578478</v>
      </c>
      <c r="C2634" s="2" t="s">
        <v>569</v>
      </c>
      <c r="D2634" s="2" t="str">
        <f t="shared" si="40"/>
        <v>Error?</v>
      </c>
    </row>
    <row r="2635" spans="1:4" x14ac:dyDescent="0.2">
      <c r="A2635" s="5">
        <v>2574</v>
      </c>
      <c r="B2635" s="1890">
        <f>'Acct Summary 7-8'!E17</f>
        <v>578478</v>
      </c>
      <c r="C2635" s="2" t="s">
        <v>569</v>
      </c>
      <c r="D2635" s="2" t="str">
        <f t="shared" si="40"/>
        <v>Error?</v>
      </c>
    </row>
    <row r="2636" spans="1:4" x14ac:dyDescent="0.2">
      <c r="A2636" s="5">
        <v>2575</v>
      </c>
      <c r="B2636" s="1890">
        <f>'Acct Summary 7-8'!E20</f>
        <v>-55249</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1500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1500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645252</v>
      </c>
      <c r="C2789" s="2" t="s">
        <v>569</v>
      </c>
      <c r="D2789" s="2" t="str">
        <f t="shared" si="42"/>
        <v>Error?</v>
      </c>
    </row>
    <row r="2790" spans="1:4" x14ac:dyDescent="0.2">
      <c r="A2790" s="5">
        <v>2729</v>
      </c>
      <c r="B2790" s="1890">
        <f>'Expenditures 15-22'!E102</f>
        <v>645252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46</v>
      </c>
      <c r="D2822" s="2" t="str">
        <f t="shared" si="43"/>
        <v>Error?</v>
      </c>
    </row>
    <row r="2823" spans="1:4" x14ac:dyDescent="0.2">
      <c r="A2823" s="5">
        <v>2762</v>
      </c>
      <c r="B2823" s="1890">
        <f>'Expenditures 15-22'!E194</f>
        <v>197625</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46</v>
      </c>
      <c r="C2836" s="2" t="s">
        <v>569</v>
      </c>
      <c r="D2836" s="2" t="str">
        <f t="shared" si="43"/>
        <v>Error?</v>
      </c>
    </row>
    <row r="2837" spans="1:5" x14ac:dyDescent="0.2">
      <c r="A2837" s="12">
        <v>2776</v>
      </c>
      <c r="B2837" s="1890">
        <f>'Expenditures 15-22'!K194</f>
        <v>197625</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403581</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67743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403581</v>
      </c>
      <c r="D2912" s="2" t="str">
        <f t="shared" si="44"/>
        <v>Error?</v>
      </c>
    </row>
    <row r="2913" spans="1:4" x14ac:dyDescent="0.2">
      <c r="A2913" s="5">
        <v>2852</v>
      </c>
      <c r="B2913" s="1890">
        <f>'Assets-Liab 5-6'!I41</f>
        <v>403581</v>
      </c>
      <c r="C2913" s="2" t="s">
        <v>569</v>
      </c>
      <c r="D2913" s="2" t="str">
        <f t="shared" si="44"/>
        <v>Error?</v>
      </c>
    </row>
    <row r="2914" spans="1:4" x14ac:dyDescent="0.2">
      <c r="A2914" s="5">
        <v>2853</v>
      </c>
      <c r="B2914" s="1890">
        <f>'Assets-Liab 5-6'!L33</f>
        <v>67743</v>
      </c>
      <c r="D2914" s="2" t="str">
        <f t="shared" si="44"/>
        <v>Error?</v>
      </c>
    </row>
    <row r="2915" spans="1:4" x14ac:dyDescent="0.2">
      <c r="A2915" s="10">
        <v>2854</v>
      </c>
      <c r="B2915" s="1890"/>
      <c r="D2915" s="2" t="str">
        <f t="shared" si="44"/>
        <v>OK</v>
      </c>
    </row>
    <row r="2916" spans="1:4" x14ac:dyDescent="0.2">
      <c r="A2916" s="5">
        <v>2855</v>
      </c>
      <c r="B2916" s="1890">
        <f>'Assets-Liab 5-6'!L34</f>
        <v>67743</v>
      </c>
      <c r="C2916" s="2" t="s">
        <v>569</v>
      </c>
      <c r="D2916" s="2" t="str">
        <f t="shared" si="44"/>
        <v>Error?</v>
      </c>
    </row>
    <row r="2917" spans="1:4" x14ac:dyDescent="0.2">
      <c r="A2917" s="5">
        <v>2856</v>
      </c>
      <c r="B2917" s="1890">
        <f>'Assets-Liab 5-6'!L41</f>
        <v>67743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645252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645252</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197625</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197625</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168195</v>
      </c>
      <c r="D3055" s="2" t="str">
        <f t="shared" si="46"/>
        <v>Error?</v>
      </c>
    </row>
    <row r="3056" spans="1:4" x14ac:dyDescent="0.2">
      <c r="A3056" s="5">
        <v>2995</v>
      </c>
      <c r="B3056" s="1890">
        <f>'Expenditures 15-22'!D10</f>
        <v>16633</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5444</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190272</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6492</v>
      </c>
      <c r="D3064" s="2" t="str">
        <f t="shared" si="46"/>
        <v>Error?</v>
      </c>
    </row>
    <row r="3065" spans="1:4" x14ac:dyDescent="0.2">
      <c r="A3065" s="5">
        <v>3004</v>
      </c>
      <c r="B3065" s="1890">
        <f>'Expenditures 15-22'!K219</f>
        <v>6492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6692</v>
      </c>
      <c r="C3225" s="2" t="s">
        <v>569</v>
      </c>
      <c r="D3225" s="2" t="str">
        <f t="shared" si="49"/>
        <v>Error?</v>
      </c>
    </row>
    <row r="3226" spans="1:4" x14ac:dyDescent="0.2">
      <c r="A3226" s="5">
        <v>3165</v>
      </c>
      <c r="B3226" s="1890">
        <f>'Acct Summary 7-8'!I8</f>
        <v>6692</v>
      </c>
      <c r="C3226" s="2" t="s">
        <v>569</v>
      </c>
      <c r="D3226" s="2" t="str">
        <f t="shared" si="49"/>
        <v>Error?</v>
      </c>
    </row>
    <row r="3227" spans="1:4" x14ac:dyDescent="0.2">
      <c r="A3227" s="5">
        <v>3166</v>
      </c>
      <c r="B3227" s="1890">
        <f>'Acct Summary 7-8'!I20</f>
        <v>6692</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365623</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53735</v>
      </c>
      <c r="C3237" s="2" t="s">
        <v>569</v>
      </c>
      <c r="D3237" s="2" t="str">
        <f t="shared" si="49"/>
        <v>Error?</v>
      </c>
    </row>
    <row r="3238" spans="1:4" x14ac:dyDescent="0.2">
      <c r="A3238" s="5">
        <v>3177</v>
      </c>
      <c r="B3238" s="1890">
        <f>'Acct Summary 7-8'!D77</f>
        <v>-53735</v>
      </c>
      <c r="C3238" s="2" t="s">
        <v>569</v>
      </c>
      <c r="D3238" s="2" t="str">
        <f t="shared" si="49"/>
        <v>Error?</v>
      </c>
    </row>
    <row r="3239" spans="1:4" x14ac:dyDescent="0.2">
      <c r="A3239" s="5">
        <v>3178</v>
      </c>
      <c r="B3239" s="1890">
        <f>'Acct Summary 7-8'!D78</f>
        <v>14464</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7604</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67133</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53735</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53735</v>
      </c>
      <c r="C3277" s="2" t="s">
        <v>569</v>
      </c>
      <c r="D3277" s="2" t="str">
        <f t="shared" si="50"/>
        <v>Error?</v>
      </c>
    </row>
    <row r="3278" spans="1:4" x14ac:dyDescent="0.2">
      <c r="A3278" s="5">
        <v>3217</v>
      </c>
      <c r="B3278" s="1890">
        <f>'Acct Summary 7-8'!E78</f>
        <v>-1514</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6692</v>
      </c>
      <c r="C3320" s="2" t="s">
        <v>569</v>
      </c>
      <c r="D3320" s="2" t="str">
        <f t="shared" si="50"/>
        <v>Error?</v>
      </c>
    </row>
    <row r="3321" spans="1:4" x14ac:dyDescent="0.2">
      <c r="A3321" s="5">
        <v>3260</v>
      </c>
      <c r="B3321" s="1890">
        <f>'Acct Summary 7-8'!I79</f>
        <v>396889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403581</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376391</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29014</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7220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608</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413233</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25501</v>
      </c>
      <c r="D3387" s="2" t="str">
        <f t="shared" si="51"/>
        <v>Error?</v>
      </c>
    </row>
    <row r="3388" spans="1:4" x14ac:dyDescent="0.2">
      <c r="A3388" s="5">
        <v>3327</v>
      </c>
      <c r="B3388" s="1890">
        <f>'Expenditures 15-22'!D217</f>
        <v>19325</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25501</v>
      </c>
      <c r="C3390" s="2" t="s">
        <v>569</v>
      </c>
      <c r="D3390" s="2" t="str">
        <f t="shared" si="51"/>
        <v>Error?</v>
      </c>
    </row>
    <row r="3391" spans="1:4" x14ac:dyDescent="0.2">
      <c r="A3391" s="5">
        <v>3330</v>
      </c>
      <c r="B3391" s="1890">
        <f>'Expenditures 15-22'!K217</f>
        <v>19325</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5348449</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639278</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155637</v>
      </c>
      <c r="D3417" s="2" t="str">
        <f t="shared" si="52"/>
        <v>Error?</v>
      </c>
    </row>
    <row r="3418" spans="1:4" x14ac:dyDescent="0.2">
      <c r="A3418" s="10">
        <v>3357</v>
      </c>
      <c r="B3418" s="1890"/>
      <c r="D3418" s="2" t="str">
        <f t="shared" si="52"/>
        <v>OK</v>
      </c>
    </row>
    <row r="3419" spans="1:4" x14ac:dyDescent="0.2">
      <c r="A3419" s="5">
        <v>3358</v>
      </c>
      <c r="B3419" s="1890">
        <f>'Assets-Liab 5-6'!F4</f>
        <v>467675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294338</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53477</v>
      </c>
      <c r="D3425" s="2" t="str">
        <f t="shared" si="52"/>
        <v>Error?</v>
      </c>
    </row>
    <row r="3426" spans="1:4" x14ac:dyDescent="0.2">
      <c r="A3426" s="10">
        <v>3365</v>
      </c>
      <c r="B3426" s="1890"/>
      <c r="D3426" s="2" t="str">
        <f t="shared" si="52"/>
        <v>OK</v>
      </c>
    </row>
    <row r="3427" spans="1:4" x14ac:dyDescent="0.2">
      <c r="A3427" s="5">
        <v>3366</v>
      </c>
      <c r="B3427" s="1890">
        <f>'Assets-Liab 5-6'!I4</f>
        <v>403581</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67743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88213</v>
      </c>
      <c r="C3446" s="2" t="s">
        <v>569</v>
      </c>
      <c r="D3446" s="2" t="str">
        <f t="shared" si="52"/>
        <v>Error?</v>
      </c>
    </row>
    <row r="3447" spans="1:4" x14ac:dyDescent="0.2">
      <c r="A3447" s="5">
        <v>3386</v>
      </c>
      <c r="B3447" s="1890">
        <f>'Tax Sched 23'!D16</f>
        <v>46161</v>
      </c>
      <c r="C3447" s="2" t="s">
        <v>569</v>
      </c>
      <c r="D3447" s="2" t="str">
        <f t="shared" si="52"/>
        <v>Error?</v>
      </c>
    </row>
    <row r="3448" spans="1:4" x14ac:dyDescent="0.2">
      <c r="A3448" s="5">
        <v>3387</v>
      </c>
      <c r="B3448" s="1890">
        <f>'Tax Sched 23'!C16</f>
        <v>42052</v>
      </c>
      <c r="D3448" s="2" t="str">
        <f t="shared" si="52"/>
        <v>Error?</v>
      </c>
    </row>
    <row r="3449" spans="1:4" x14ac:dyDescent="0.2">
      <c r="A3449" s="5">
        <v>3388</v>
      </c>
      <c r="B3449" s="1890">
        <f>'Tax Sched 23'!F16</f>
        <v>40188</v>
      </c>
      <c r="C3449" s="2" t="s">
        <v>569</v>
      </c>
      <c r="D3449" s="2" t="str">
        <f t="shared" si="52"/>
        <v>Error?</v>
      </c>
    </row>
    <row r="3450" spans="1:4" x14ac:dyDescent="0.2">
      <c r="A3450" s="5">
        <v>3389</v>
      </c>
      <c r="B3450" s="1890">
        <f>'Tax Sched 23'!E16</f>
        <v>82240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18362</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18362</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18362</v>
      </c>
      <c r="D3567" s="2" t="str">
        <f t="shared" si="54"/>
        <v>Error?</v>
      </c>
    </row>
    <row r="3568" spans="1:4" x14ac:dyDescent="0.2">
      <c r="A3568" s="5">
        <v>3507</v>
      </c>
      <c r="B3568" s="1890">
        <f>'Assets-Liab 5-6'!K41</f>
        <v>18362</v>
      </c>
      <c r="C3568" s="2" t="s">
        <v>569</v>
      </c>
      <c r="D3568" s="2" t="str">
        <f t="shared" si="54"/>
        <v>Error?</v>
      </c>
    </row>
    <row r="3569" spans="1:4" x14ac:dyDescent="0.2">
      <c r="A3569" s="5">
        <v>3508</v>
      </c>
      <c r="B3569" s="1890">
        <f>'Acct Summary 7-8'!K4</f>
        <v>4930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4930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4930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4930</v>
      </c>
      <c r="C3588" s="2" t="s">
        <v>569</v>
      </c>
      <c r="D3588" s="2" t="str">
        <f t="shared" si="55"/>
        <v>Error?</v>
      </c>
    </row>
    <row r="3589" spans="1:4" x14ac:dyDescent="0.2">
      <c r="A3589" s="5">
        <v>3528</v>
      </c>
      <c r="B3589" s="1890">
        <f>'Acct Summary 7-8'!K79</f>
        <v>13432</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18362</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4930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100656</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6765</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3254</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3511</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3356</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6867</v>
      </c>
      <c r="D4111" s="2" t="str">
        <f t="shared" si="63"/>
        <v>Error?</v>
      </c>
    </row>
    <row r="4112" spans="1:4" x14ac:dyDescent="0.2">
      <c r="A4112" s="10">
        <v>4051</v>
      </c>
      <c r="B4112" s="1890"/>
      <c r="D4112" s="2" t="str">
        <f t="shared" si="63"/>
        <v>OK</v>
      </c>
    </row>
    <row r="4113" spans="1:4" x14ac:dyDescent="0.2">
      <c r="A4113" s="5">
        <v>4052</v>
      </c>
      <c r="B4113" s="1890">
        <f>'Acct Summary 7-8'!C9</f>
        <v>2621833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8884632</v>
      </c>
      <c r="C4122" s="2" t="s">
        <v>569</v>
      </c>
      <c r="D4122" s="2" t="str">
        <f t="shared" si="63"/>
        <v>Error?</v>
      </c>
    </row>
    <row r="4123" spans="1:4" x14ac:dyDescent="0.2">
      <c r="A4123" s="5">
        <v>4062</v>
      </c>
      <c r="B4123" s="1890">
        <f>'Acct Summary 7-8'!D10</f>
        <v>929730</v>
      </c>
      <c r="C4123" s="2" t="s">
        <v>569</v>
      </c>
      <c r="D4123" s="2" t="str">
        <f t="shared" si="63"/>
        <v>Error?</v>
      </c>
    </row>
    <row r="4124" spans="1:4" x14ac:dyDescent="0.2">
      <c r="A4124" s="5">
        <v>4063</v>
      </c>
      <c r="B4124" s="1890">
        <f>'Acct Summary 7-8'!E10</f>
        <v>523229</v>
      </c>
      <c r="C4124" s="2" t="s">
        <v>569</v>
      </c>
      <c r="D4124" s="2" t="str">
        <f t="shared" si="63"/>
        <v>Error?</v>
      </c>
    </row>
    <row r="4125" spans="1:4" x14ac:dyDescent="0.2">
      <c r="A4125" s="5">
        <v>4064</v>
      </c>
      <c r="B4125" s="1890">
        <f>'Acct Summary 7-8'!F10</f>
        <v>230590</v>
      </c>
      <c r="C4125" s="2" t="s">
        <v>569</v>
      </c>
      <c r="D4125" s="2" t="str">
        <f t="shared" si="63"/>
        <v>Error?</v>
      </c>
    </row>
    <row r="4126" spans="1:4" x14ac:dyDescent="0.2">
      <c r="A4126" s="5">
        <v>4065</v>
      </c>
      <c r="B4126" s="1890">
        <f>'Acct Summary 7-8'!G10</f>
        <v>265120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6692</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4930</v>
      </c>
      <c r="C4130" s="2" t="s">
        <v>569</v>
      </c>
      <c r="D4130" s="2" t="str">
        <f t="shared" si="63"/>
        <v>Error?</v>
      </c>
    </row>
    <row r="4131" spans="1:4" x14ac:dyDescent="0.2">
      <c r="A4131" s="5">
        <v>4070</v>
      </c>
      <c r="B4131" s="1890">
        <f>'Acct Summary 7-8'!C18</f>
        <v>2621833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8519009</v>
      </c>
      <c r="C4136" s="2" t="s">
        <v>569</v>
      </c>
      <c r="D4136" s="2" t="str">
        <f t="shared" si="63"/>
        <v>Error?</v>
      </c>
    </row>
    <row r="4137" spans="1:4" x14ac:dyDescent="0.2">
      <c r="A4137" s="5">
        <v>4076</v>
      </c>
      <c r="B4137" s="1890">
        <f>'Acct Summary 7-8'!D19</f>
        <v>861531</v>
      </c>
      <c r="C4137" s="2" t="s">
        <v>569</v>
      </c>
      <c r="D4137" s="2" t="str">
        <f t="shared" si="63"/>
        <v>Error?</v>
      </c>
    </row>
    <row r="4138" spans="1:4" x14ac:dyDescent="0.2">
      <c r="A4138" s="5">
        <v>4077</v>
      </c>
      <c r="B4138" s="1890">
        <f>'Acct Summary 7-8'!E19</f>
        <v>578478</v>
      </c>
      <c r="C4138" s="2" t="s">
        <v>569</v>
      </c>
      <c r="D4138" s="2" t="str">
        <f t="shared" si="63"/>
        <v>Error?</v>
      </c>
    </row>
    <row r="4139" spans="1:4" x14ac:dyDescent="0.2">
      <c r="A4139" s="5">
        <v>4078</v>
      </c>
      <c r="B4139" s="1890">
        <f>'Acct Summary 7-8'!F19</f>
        <v>222986</v>
      </c>
      <c r="C4139" s="2" t="s">
        <v>569</v>
      </c>
      <c r="D4139" s="2" t="str">
        <f t="shared" si="63"/>
        <v>Error?</v>
      </c>
    </row>
    <row r="4140" spans="1:4" x14ac:dyDescent="0.2">
      <c r="A4140" s="5">
        <v>4079</v>
      </c>
      <c r="B4140" s="1890">
        <f>'Acct Summary 7-8'!G19</f>
        <v>197987</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3605000</v>
      </c>
      <c r="C4171" s="2" t="s">
        <v>569</v>
      </c>
      <c r="D4171" s="2" t="str">
        <f t="shared" si="64"/>
        <v>Error?</v>
      </c>
    </row>
    <row r="4172" spans="1:4" x14ac:dyDescent="0.2">
      <c r="A4172" s="5">
        <v>4111</v>
      </c>
      <c r="B4172" s="1890">
        <f>'Short-Term Long-Term Debt 24'!J49</f>
        <v>3449363</v>
      </c>
      <c r="C4172" s="2" t="s">
        <v>569</v>
      </c>
      <c r="D4172" s="2" t="str">
        <f t="shared" si="64"/>
        <v>Error?</v>
      </c>
    </row>
    <row r="4173" spans="1:4" x14ac:dyDescent="0.2">
      <c r="A4173" s="5">
        <v>4112</v>
      </c>
      <c r="B4173" s="1890">
        <f>'Short-Term Long-Term Debt 24'!H49</f>
        <v>480000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2524.2000000000003</v>
      </c>
      <c r="C4265" s="2" t="s">
        <v>569</v>
      </c>
      <c r="D4265" s="2" t="str">
        <f t="shared" si="65"/>
        <v>Error?</v>
      </c>
      <c r="E4265" s="125"/>
    </row>
    <row r="4266" spans="1:5" x14ac:dyDescent="0.2">
      <c r="A4266" s="12">
        <v>4205</v>
      </c>
      <c r="B4266" s="1890">
        <f>('FP Info 3'!F10)*100000</f>
        <v>498.4</v>
      </c>
      <c r="C4266" s="2" t="s">
        <v>569</v>
      </c>
      <c r="D4266" s="2" t="str">
        <f t="shared" si="65"/>
        <v>Error?</v>
      </c>
      <c r="E4266" s="125"/>
    </row>
    <row r="4267" spans="1:5" x14ac:dyDescent="0.2">
      <c r="A4267" s="12">
        <v>4206</v>
      </c>
      <c r="B4267" s="1890">
        <f>('FP Info 3'!H10)*100000</f>
        <v>87</v>
      </c>
      <c r="C4267" s="2" t="s">
        <v>569</v>
      </c>
      <c r="D4267" s="2" t="str">
        <f t="shared" si="65"/>
        <v>Error?</v>
      </c>
      <c r="E4267" s="125"/>
    </row>
    <row r="4268" spans="1:5" x14ac:dyDescent="0.2">
      <c r="A4268" s="12">
        <v>4207</v>
      </c>
      <c r="B4268" s="1890">
        <f>('FP Info 3'!J10)*100000</f>
        <v>3110</v>
      </c>
      <c r="C4268" s="2" t="s">
        <v>569</v>
      </c>
      <c r="D4268" s="2" t="str">
        <f t="shared" si="65"/>
        <v>Error?</v>
      </c>
    </row>
    <row r="4269" spans="1:5" x14ac:dyDescent="0.2">
      <c r="A4269" s="12">
        <v>4208</v>
      </c>
      <c r="B4269" s="1890">
        <f>'FP Info 3'!J16</f>
        <v>6858983</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11772</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51501</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5702</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13159</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6.1</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70280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167495503</v>
      </c>
      <c r="D4995" s="2" t="str">
        <f t="shared" si="77"/>
        <v>Error?</v>
      </c>
    </row>
    <row r="4996" spans="1:4" x14ac:dyDescent="0.2">
      <c r="A4996" s="12">
        <v>4935</v>
      </c>
      <c r="B4996" s="1890">
        <f>'FP Info 3'!H31</f>
        <v>11557189.707</v>
      </c>
      <c r="D4996" s="2" t="str">
        <f t="shared" si="77"/>
        <v>Error?</v>
      </c>
    </row>
    <row r="4997" spans="1:4" x14ac:dyDescent="0.2">
      <c r="A4997" s="12">
        <v>4936</v>
      </c>
      <c r="B4997" s="1890">
        <f>'FP Info 3'!H37</f>
        <v>3605000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4147906</v>
      </c>
      <c r="D5061" s="2" t="str">
        <f t="shared" si="78"/>
        <v>Error?</v>
      </c>
    </row>
    <row r="5062" spans="1:4" x14ac:dyDescent="0.2">
      <c r="A5062" s="10">
        <v>5001</v>
      </c>
      <c r="B5062" s="1890"/>
      <c r="D5062" s="2" t="str">
        <f t="shared" si="78"/>
        <v>OK</v>
      </c>
    </row>
    <row r="5063" spans="1:4" x14ac:dyDescent="0.2">
      <c r="A5063" s="5">
        <v>5002</v>
      </c>
      <c r="B5063" s="1890">
        <f>'Revenues 9-14'!C7</f>
        <v>47831</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6765</v>
      </c>
      <c r="D5065" s="2" t="str">
        <f t="shared" si="78"/>
        <v>Error?</v>
      </c>
    </row>
    <row r="5066" spans="1:4" x14ac:dyDescent="0.2">
      <c r="A5066" s="5">
        <v>5005</v>
      </c>
      <c r="B5066" s="1890">
        <f>'Revenues 9-14'!C12</f>
        <v>4202502</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104040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104040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130485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130485</v>
      </c>
      <c r="C5090" s="2" t="s">
        <v>569</v>
      </c>
      <c r="D5090" s="2" t="str">
        <f t="shared" si="78"/>
        <v>Error?</v>
      </c>
    </row>
    <row r="5091" spans="1:4" x14ac:dyDescent="0.2">
      <c r="A5091" s="5">
        <v>5030</v>
      </c>
      <c r="B5091" s="1890">
        <f>'Revenues 9-14'!C70</f>
        <v>548</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46</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33884</v>
      </c>
      <c r="C5096" s="2" t="s">
        <v>569</v>
      </c>
      <c r="D5096" s="2" t="str">
        <f t="shared" si="78"/>
        <v>Error?</v>
      </c>
    </row>
    <row r="5097" spans="1:4" x14ac:dyDescent="0.2">
      <c r="A5097" s="5">
        <v>5036</v>
      </c>
      <c r="B5097" s="1890">
        <f>'Revenues 9-14'!C77</f>
        <v>2681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7447</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10128</v>
      </c>
      <c r="C5102" s="2" t="s">
        <v>569</v>
      </c>
      <c r="D5102" s="2" t="str">
        <f t="shared" si="78"/>
        <v>Error?</v>
      </c>
    </row>
    <row r="5103" spans="1:4" x14ac:dyDescent="0.2">
      <c r="A5103" s="5">
        <v>5042</v>
      </c>
      <c r="B5103" s="1890">
        <f>'Revenues 9-14'!C84</f>
        <v>59846</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59846</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3971</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34</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10980</v>
      </c>
      <c r="D5119" s="2" t="str">
        <f t="shared" ref="D5119:D5182" si="79">IF(ISBLANK(B5119),"OK",IF(A5119-B5119=0,"OK","Error?"))</f>
        <v>Error?</v>
      </c>
    </row>
    <row r="5120" spans="1:4" x14ac:dyDescent="0.2">
      <c r="A5120" s="5">
        <v>5059</v>
      </c>
      <c r="B5120" s="1890">
        <f>'Revenues 9-14'!C108</f>
        <v>27981</v>
      </c>
      <c r="C5120" s="2" t="s">
        <v>569</v>
      </c>
      <c r="D5120" s="2" t="str">
        <f t="shared" si="79"/>
        <v>Error?</v>
      </c>
    </row>
    <row r="5121" spans="1:4" x14ac:dyDescent="0.2">
      <c r="A5121" s="5">
        <v>5060</v>
      </c>
      <c r="B5121" s="1890">
        <f>'Revenues 9-14'!C109</f>
        <v>4568866</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992525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992525</v>
      </c>
      <c r="C5132" s="2" t="s">
        <v>569</v>
      </c>
      <c r="D5132" s="2" t="str">
        <f t="shared" si="79"/>
        <v>Error?</v>
      </c>
    </row>
    <row r="5133" spans="1:4" x14ac:dyDescent="0.2">
      <c r="A5133" s="5">
        <v>5072</v>
      </c>
      <c r="B5133" s="1890">
        <f>'Revenues 9-14'!C125</f>
        <v>96958</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96958</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880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119426</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287544</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1280069</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55785</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8452</v>
      </c>
      <c r="D5241" s="2" t="str">
        <f t="shared" si="80"/>
        <v>Error?</v>
      </c>
    </row>
    <row r="5242" spans="1:4" x14ac:dyDescent="0.2">
      <c r="A5242" s="5">
        <v>5181</v>
      </c>
      <c r="B5242" s="1890">
        <f>'Revenues 9-14'!C194</f>
        <v>37048</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101285</v>
      </c>
      <c r="C5246" s="2" t="s">
        <v>569</v>
      </c>
      <c r="D5246" s="2" t="str">
        <f t="shared" si="80"/>
        <v>Error?</v>
      </c>
    </row>
    <row r="5247" spans="1:4" x14ac:dyDescent="0.2">
      <c r="A5247" s="5">
        <v>5186</v>
      </c>
      <c r="B5247" s="1890">
        <f>'Revenues 9-14'!C200</f>
        <v>87203</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5702</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87203</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111040</v>
      </c>
      <c r="D5278" s="2" t="str">
        <f t="shared" si="81"/>
        <v>Error?</v>
      </c>
    </row>
    <row r="5279" spans="1:4" x14ac:dyDescent="0.2">
      <c r="A5279" s="5">
        <v>5218</v>
      </c>
      <c r="B5279" s="1890">
        <f>'Revenues 9-14'!C214</f>
        <v>32202</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143242</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413864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413864</v>
      </c>
      <c r="C5326" s="2" t="s">
        <v>569</v>
      </c>
      <c r="D5326" s="2" t="str">
        <f t="shared" si="82"/>
        <v>Error?</v>
      </c>
    </row>
    <row r="5327" spans="1:5" x14ac:dyDescent="0.2">
      <c r="A5327" s="5">
        <v>5266</v>
      </c>
      <c r="B5327" s="1890">
        <f>'Revenues 9-14'!C268</f>
        <v>6262799</v>
      </c>
      <c r="C5327" s="2" t="s">
        <v>569</v>
      </c>
      <c r="D5327" s="2" t="str">
        <f t="shared" si="82"/>
        <v>Error?</v>
      </c>
    </row>
    <row r="5328" spans="1:5" x14ac:dyDescent="0.2">
      <c r="A5328" s="5">
        <v>5267</v>
      </c>
      <c r="B5328" s="1890">
        <f>'Revenues 9-14'!D5</f>
        <v>802498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802498</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167</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167</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52000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22639</v>
      </c>
      <c r="D5354" s="2" t="str">
        <f t="shared" si="82"/>
        <v>Error?</v>
      </c>
    </row>
    <row r="5355" spans="1:4" x14ac:dyDescent="0.2">
      <c r="A5355" s="5">
        <v>5294</v>
      </c>
      <c r="B5355" s="1890">
        <f>'Revenues 9-14'!D108</f>
        <v>77065</v>
      </c>
      <c r="C5355" s="2" t="s">
        <v>569</v>
      </c>
      <c r="D5355" s="2" t="str">
        <f t="shared" si="82"/>
        <v>Error?</v>
      </c>
    </row>
    <row r="5356" spans="1:4" x14ac:dyDescent="0.2">
      <c r="A5356" s="5">
        <v>5295</v>
      </c>
      <c r="B5356" s="1890">
        <f>'Revenues 9-14'!D109</f>
        <v>879730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929730</v>
      </c>
      <c r="C5508" s="2" t="s">
        <v>569</v>
      </c>
      <c r="D5508" s="2" t="str">
        <f t="shared" si="85"/>
        <v>Error?</v>
      </c>
    </row>
    <row r="5509" spans="1:4" x14ac:dyDescent="0.2">
      <c r="A5509" s="5">
        <v>5448</v>
      </c>
      <c r="B5509" s="1890">
        <f>'Revenues 9-14'!E5</f>
        <v>521632</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521632</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1597</v>
      </c>
      <c r="C5526" s="2" t="s">
        <v>569</v>
      </c>
      <c r="D5526" s="2" t="str">
        <f t="shared" si="85"/>
        <v>Error?</v>
      </c>
    </row>
    <row r="5527" spans="1:4" x14ac:dyDescent="0.2">
      <c r="A5527" s="5">
        <v>5466</v>
      </c>
      <c r="B5527" s="1890">
        <f>'Revenues 9-14'!E109</f>
        <v>523229</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523229</v>
      </c>
      <c r="C5552" s="2" t="s">
        <v>569</v>
      </c>
      <c r="D5552" s="2" t="str">
        <f t="shared" si="85"/>
        <v>Error?</v>
      </c>
    </row>
    <row r="5553" spans="1:4" x14ac:dyDescent="0.2">
      <c r="A5553" s="5">
        <v>5492</v>
      </c>
      <c r="B5553" s="1890">
        <f>'Revenues 9-14'!F5</f>
        <v>97591</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97591</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149</v>
      </c>
      <c r="C5587" s="2" t="s">
        <v>569</v>
      </c>
      <c r="D5587" s="2" t="str">
        <f t="shared" si="86"/>
        <v>Error?</v>
      </c>
    </row>
    <row r="5588" spans="1:4" x14ac:dyDescent="0.2">
      <c r="A5588" s="5">
        <v>5527</v>
      </c>
      <c r="B5588" s="1890">
        <f>'Revenues 9-14'!F109</f>
        <v>97740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4</v>
      </c>
      <c r="D5615" s="2" t="str">
        <f t="shared" si="86"/>
        <v>Error?</v>
      </c>
    </row>
    <row r="5616" spans="1:4" x14ac:dyDescent="0.2">
      <c r="A5616" s="10">
        <v>5555</v>
      </c>
      <c r="B5616" s="1890"/>
      <c r="D5616" s="2" t="str">
        <f t="shared" si="86"/>
        <v>OK</v>
      </c>
    </row>
    <row r="5617" spans="1:5" x14ac:dyDescent="0.2">
      <c r="A5617" s="5">
        <v>5556</v>
      </c>
      <c r="B5617" s="1890">
        <f>'Revenues 9-14'!F153</f>
        <v>132846</v>
      </c>
      <c r="D5617" s="2" t="str">
        <f t="shared" si="86"/>
        <v>Error?</v>
      </c>
    </row>
    <row r="5618" spans="1:5" x14ac:dyDescent="0.2">
      <c r="A5618" s="5">
        <v>5557</v>
      </c>
      <c r="B5618" s="1890">
        <f>'Revenues 9-14'!F155</f>
        <v>132850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132850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132850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230590</v>
      </c>
      <c r="C5720" s="2" t="s">
        <v>569</v>
      </c>
      <c r="D5720" s="2" t="str">
        <f t="shared" si="88"/>
        <v>Error?</v>
      </c>
    </row>
    <row r="5721" spans="1:4" x14ac:dyDescent="0.2">
      <c r="A5721" s="5">
        <v>5660</v>
      </c>
      <c r="B5721" s="1890">
        <f>'Revenues 9-14'!G5</f>
        <v>164082</v>
      </c>
      <c r="D5721" s="2" t="str">
        <f t="shared" si="88"/>
        <v>Error?</v>
      </c>
    </row>
    <row r="5722" spans="1:4" x14ac:dyDescent="0.2">
      <c r="A5722" s="5">
        <v>5661</v>
      </c>
      <c r="B5722" s="1890">
        <f>'Revenues 9-14'!G7</f>
        <v>0</v>
      </c>
      <c r="D5722" s="2" t="str">
        <f t="shared" si="88"/>
        <v>Error?</v>
      </c>
    </row>
    <row r="5723" spans="1:4" x14ac:dyDescent="0.2">
      <c r="A5723" s="5">
        <v>5662</v>
      </c>
      <c r="B5723" s="1890">
        <f>'Revenues 9-14'!G8</f>
        <v>88213</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252295</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895</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11930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11930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11930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11930</v>
      </c>
      <c r="C5869" s="2" t="s">
        <v>569</v>
      </c>
      <c r="D5869" s="2" t="str">
        <f t="shared" si="90"/>
        <v>Error?</v>
      </c>
    </row>
    <row r="5870" spans="1:4" x14ac:dyDescent="0.2">
      <c r="A5870" s="5">
        <v>5809</v>
      </c>
      <c r="B5870" s="1890">
        <f>'Revenues 9-14'!G268</f>
        <v>265120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6057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6057</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630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630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5</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6692</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4915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4915</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15</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4930</v>
      </c>
      <c r="C6023" s="2" t="s">
        <v>569</v>
      </c>
      <c r="D6023" s="2" t="str">
        <f t="shared" si="93"/>
        <v>Error?</v>
      </c>
    </row>
    <row r="6024" spans="1:5" x14ac:dyDescent="0.2">
      <c r="A6024" s="5">
        <v>5963</v>
      </c>
      <c r="B6024" s="1890">
        <f>'Revenues 9-14'!G109</f>
        <v>253190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6692</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4930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33290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9286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566.70000000000005</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15431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15431</v>
      </c>
      <c r="D6215" s="2" t="str">
        <f t="shared" si="96"/>
        <v>Error?</v>
      </c>
      <c r="E6215" s="2" t="s">
        <v>189</v>
      </c>
    </row>
    <row r="6216" spans="1:5" x14ac:dyDescent="0.2">
      <c r="A6216">
        <v>6155</v>
      </c>
      <c r="B6216" s="1890">
        <f>'Assets-Liab 5-6'!J41</f>
        <v>15431</v>
      </c>
      <c r="D6216" s="2" t="str">
        <f t="shared" si="96"/>
        <v>Error?</v>
      </c>
      <c r="E6216" s="2" t="s">
        <v>189</v>
      </c>
    </row>
    <row r="6217" spans="1:5" x14ac:dyDescent="0.2">
      <c r="A6217">
        <v>6156</v>
      </c>
      <c r="B6217" s="1890">
        <f>'Assets-Liab 5-6'!J4</f>
        <v>15431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50970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50970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50970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50099</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50099</v>
      </c>
      <c r="D6229" s="2" t="str">
        <f t="shared" si="96"/>
        <v>Error?</v>
      </c>
      <c r="E6229" s="2" t="s">
        <v>189</v>
      </c>
    </row>
    <row r="6230" spans="1:5" x14ac:dyDescent="0.2">
      <c r="A6230">
        <v>6169</v>
      </c>
      <c r="B6230" s="1890">
        <f>'Acct Summary 7-8'!J20</f>
        <v>871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871</v>
      </c>
      <c r="D6263" s="2" t="str">
        <f t="shared" si="96"/>
        <v>Error?</v>
      </c>
      <c r="E6263" s="2" t="s">
        <v>189</v>
      </c>
    </row>
    <row r="6264" spans="1:5" x14ac:dyDescent="0.2">
      <c r="A6264">
        <v>6203</v>
      </c>
      <c r="B6264" s="1890">
        <f>'Acct Summary 7-8'!J79</f>
        <v>14560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15431</v>
      </c>
      <c r="D6266" s="2" t="str">
        <f t="shared" si="96"/>
        <v>Error?</v>
      </c>
      <c r="E6266" s="2" t="s">
        <v>189</v>
      </c>
    </row>
    <row r="6267" spans="1:5" x14ac:dyDescent="0.2">
      <c r="A6267">
        <v>6206</v>
      </c>
      <c r="B6267" s="1890">
        <f>'Acct Summary 7-8'!C82</f>
        <v>365623</v>
      </c>
      <c r="D6267" s="2" t="str">
        <f t="shared" si="96"/>
        <v>Error?</v>
      </c>
      <c r="E6267" s="2" t="s">
        <v>189</v>
      </c>
    </row>
    <row r="6268" spans="1:5" x14ac:dyDescent="0.2">
      <c r="A6268">
        <v>6207</v>
      </c>
      <c r="B6268" s="1890">
        <f>'Acct Summary 7-8'!D82</f>
        <v>14464</v>
      </c>
      <c r="D6268" s="2" t="str">
        <f t="shared" si="96"/>
        <v>Error?</v>
      </c>
      <c r="E6268" s="2" t="s">
        <v>189</v>
      </c>
    </row>
    <row r="6269" spans="1:5" x14ac:dyDescent="0.2">
      <c r="A6269">
        <v>6208</v>
      </c>
      <c r="B6269" s="1890">
        <f>'Acct Summary 7-8'!E82</f>
        <v>-1514</v>
      </c>
      <c r="D6269" s="2" t="str">
        <f t="shared" si="96"/>
        <v>Error?</v>
      </c>
      <c r="E6269" s="2" t="s">
        <v>189</v>
      </c>
    </row>
    <row r="6270" spans="1:5" x14ac:dyDescent="0.2">
      <c r="A6270">
        <v>6209</v>
      </c>
      <c r="B6270" s="1890">
        <f>'Acct Summary 7-8'!F82</f>
        <v>7604</v>
      </c>
      <c r="D6270" s="2" t="str">
        <f t="shared" si="96"/>
        <v>Error?</v>
      </c>
      <c r="E6270" s="2" t="s">
        <v>189</v>
      </c>
    </row>
    <row r="6271" spans="1:5" x14ac:dyDescent="0.2">
      <c r="A6271">
        <v>6210</v>
      </c>
      <c r="B6271" s="1890">
        <f>'Acct Summary 7-8'!G82</f>
        <v>67133</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6692</v>
      </c>
      <c r="D6273" s="2" t="str">
        <f t="shared" si="97"/>
        <v>Error?</v>
      </c>
      <c r="E6273" s="2" t="s">
        <v>189</v>
      </c>
    </row>
    <row r="6274" spans="1:5" x14ac:dyDescent="0.2">
      <c r="A6274">
        <v>6213</v>
      </c>
      <c r="B6274" s="1890">
        <f>'Acct Summary 7-8'!J82</f>
        <v>871</v>
      </c>
      <c r="D6274" s="2" t="str">
        <f t="shared" si="97"/>
        <v>Error?</v>
      </c>
      <c r="E6274" s="2" t="s">
        <v>189</v>
      </c>
    </row>
    <row r="6275" spans="1:5" x14ac:dyDescent="0.2">
      <c r="A6275">
        <v>6214</v>
      </c>
      <c r="B6275" s="1890">
        <f>'Acct Summary 7-8'!K82</f>
        <v>4930</v>
      </c>
      <c r="D6275" s="2" t="str">
        <f t="shared" si="97"/>
        <v>Error?</v>
      </c>
      <c r="E6275" s="2" t="s">
        <v>189</v>
      </c>
    </row>
    <row r="6276" spans="1:5" x14ac:dyDescent="0.2">
      <c r="A6276">
        <v>6215</v>
      </c>
      <c r="B6276" s="1890">
        <f>'Acct Summary 7-8'!C83</f>
        <v>6.8360565838806731E-2</v>
      </c>
      <c r="D6276" s="2" t="str">
        <f t="shared" si="97"/>
        <v>Error?</v>
      </c>
      <c r="E6276" s="2" t="s">
        <v>189</v>
      </c>
    </row>
    <row r="6277" spans="1:5" x14ac:dyDescent="0.2">
      <c r="A6277">
        <v>6216</v>
      </c>
      <c r="B6277" s="1890">
        <f>'Acct Summary 7-8'!D83</f>
        <v>2.2625524419736014E-2</v>
      </c>
      <c r="D6277" s="2" t="str">
        <f t="shared" si="97"/>
        <v>Error?</v>
      </c>
      <c r="E6277" s="2" t="s">
        <v>189</v>
      </c>
    </row>
    <row r="6278" spans="1:5" x14ac:dyDescent="0.2">
      <c r="A6278">
        <v>6217</v>
      </c>
      <c r="B6278" s="1890">
        <f>'Acct Summary 7-8'!E83</f>
        <v>-9.7277639635819247E-3</v>
      </c>
      <c r="D6278" s="2" t="str">
        <f t="shared" si="97"/>
        <v>Error?</v>
      </c>
      <c r="E6278" s="2" t="s">
        <v>189</v>
      </c>
    </row>
    <row r="6279" spans="1:5" x14ac:dyDescent="0.2">
      <c r="A6279">
        <v>6218</v>
      </c>
      <c r="B6279" s="1890">
        <f>'Acct Summary 7-8'!F83</f>
        <v>1.6259154327257178E-2</v>
      </c>
      <c r="D6279" s="2" t="str">
        <f t="shared" si="97"/>
        <v>Error?</v>
      </c>
      <c r="E6279" s="2" t="s">
        <v>189</v>
      </c>
    </row>
    <row r="6280" spans="1:5" x14ac:dyDescent="0.2">
      <c r="A6280">
        <v>6219</v>
      </c>
      <c r="B6280" s="1890">
        <f>'Acct Summary 7-8'!G83</f>
        <v>0.22808132147395171</v>
      </c>
      <c r="D6280" s="2" t="str">
        <f t="shared" si="97"/>
        <v>Error?</v>
      </c>
      <c r="E6280" s="2" t="s">
        <v>189</v>
      </c>
    </row>
    <row r="6281" spans="1:5" x14ac:dyDescent="0.2">
      <c r="A6281">
        <v>6220</v>
      </c>
      <c r="B6281" s="1890">
        <f>'Acct Summary 7-8'!H83</f>
        <v>0</v>
      </c>
      <c r="D6281" s="2" t="str">
        <f t="shared" si="97"/>
        <v>Error?</v>
      </c>
      <c r="E6281" s="2" t="s">
        <v>189</v>
      </c>
    </row>
    <row r="6282" spans="1:5" x14ac:dyDescent="0.2">
      <c r="A6282">
        <v>6221</v>
      </c>
      <c r="B6282" s="1890">
        <f>'Acct Summary 7-8'!I83</f>
        <v>1.6581553641028691E-2</v>
      </c>
      <c r="D6282" s="2" t="str">
        <f t="shared" si="97"/>
        <v>Error?</v>
      </c>
      <c r="E6282" s="2" t="s">
        <v>189</v>
      </c>
    </row>
    <row r="6283" spans="1:5" x14ac:dyDescent="0.2">
      <c r="A6283">
        <v>6222</v>
      </c>
      <c r="B6283" s="1890">
        <f>'Acct Summary 7-8'!J83</f>
        <v>5.6444818871103621E-2</v>
      </c>
      <c r="D6283" s="2" t="str">
        <f t="shared" si="97"/>
        <v>Error?</v>
      </c>
      <c r="E6283" s="2" t="s">
        <v>189</v>
      </c>
    </row>
    <row r="6284" spans="1:5" x14ac:dyDescent="0.2">
      <c r="A6284">
        <v>6223</v>
      </c>
      <c r="B6284" s="1890">
        <f>'Acct Summary 7-8'!K83</f>
        <v>0.26848927132120681</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45000</v>
      </c>
      <c r="D6287" s="2" t="str">
        <f t="shared" si="97"/>
        <v>Error?</v>
      </c>
      <c r="E6287" s="2" t="s">
        <v>189</v>
      </c>
    </row>
    <row r="6288" spans="1:5" x14ac:dyDescent="0.2">
      <c r="A6288">
        <v>6227</v>
      </c>
      <c r="B6288" s="1890">
        <f>'Acct Summary 7-8'!E40</f>
        <v>8735</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50812</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50812</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12996</v>
      </c>
      <c r="D6330" s="2" t="str">
        <f t="shared" si="97"/>
        <v>Error?</v>
      </c>
      <c r="E6330" s="2" t="s">
        <v>189</v>
      </c>
    </row>
    <row r="6331" spans="1:5" x14ac:dyDescent="0.2">
      <c r="A6331">
        <v>6270</v>
      </c>
      <c r="B6331" s="1890">
        <f>'Revenues 9-14'!D100</f>
        <v>2426</v>
      </c>
      <c r="D6331" s="2" t="str">
        <f t="shared" si="97"/>
        <v>Error?</v>
      </c>
      <c r="E6331" s="2" t="s">
        <v>189</v>
      </c>
    </row>
    <row r="6332" spans="1:5" x14ac:dyDescent="0.2">
      <c r="A6332">
        <v>6271</v>
      </c>
      <c r="B6332" s="1890">
        <f>'Revenues 9-14'!E100</f>
        <v>1597</v>
      </c>
      <c r="D6332" s="2" t="str">
        <f t="shared" si="97"/>
        <v>Error?</v>
      </c>
      <c r="E6332" s="2" t="s">
        <v>189</v>
      </c>
    </row>
    <row r="6333" spans="1:5" x14ac:dyDescent="0.2">
      <c r="A6333">
        <v>6272</v>
      </c>
      <c r="B6333" s="1890">
        <f>'Revenues 9-14'!F100</f>
        <v>149</v>
      </c>
      <c r="D6333" s="2" t="str">
        <f t="shared" si="97"/>
        <v>Error?</v>
      </c>
      <c r="E6333" s="2" t="s">
        <v>189</v>
      </c>
    </row>
    <row r="6334" spans="1:5" x14ac:dyDescent="0.2">
      <c r="A6334">
        <v>6273</v>
      </c>
      <c r="B6334" s="1890">
        <f>'Revenues 9-14'!G100</f>
        <v>895</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5</v>
      </c>
      <c r="D6336" s="2" t="str">
        <f t="shared" si="98"/>
        <v>Error?</v>
      </c>
      <c r="E6336" s="2" t="s">
        <v>189</v>
      </c>
    </row>
    <row r="6337" spans="1:5" x14ac:dyDescent="0.2">
      <c r="A6337">
        <v>6276</v>
      </c>
      <c r="B6337" s="1890">
        <f>'Revenues 9-14'!J100</f>
        <v>158</v>
      </c>
      <c r="D6337" s="2" t="str">
        <f t="shared" si="98"/>
        <v>Error?</v>
      </c>
      <c r="E6337" s="2" t="s">
        <v>189</v>
      </c>
    </row>
    <row r="6338" spans="1:5" x14ac:dyDescent="0.2">
      <c r="A6338">
        <v>6277</v>
      </c>
      <c r="B6338" s="1890">
        <f>'Revenues 9-14'!K100</f>
        <v>15</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158</v>
      </c>
      <c r="D6351" s="2" t="str">
        <f t="shared" si="98"/>
        <v>Error?</v>
      </c>
      <c r="E6351" s="2" t="s">
        <v>189</v>
      </c>
    </row>
    <row r="6352" spans="1:5" x14ac:dyDescent="0.2">
      <c r="A6352">
        <v>6291</v>
      </c>
      <c r="B6352" s="1890">
        <f>'Revenues 9-14'!J109</f>
        <v>50970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65538</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12142</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70987</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15321</v>
      </c>
      <c r="D6878" s="2" t="str">
        <f t="shared" si="106"/>
        <v>Error?</v>
      </c>
    </row>
    <row r="6879" spans="1:4" x14ac:dyDescent="0.2">
      <c r="A6879">
        <v>6818</v>
      </c>
      <c r="B6879" s="1890">
        <f>'Expenditures 15-22'!K21</f>
        <v>15321</v>
      </c>
      <c r="D6879" s="2" t="str">
        <f t="shared" si="106"/>
        <v>Error?</v>
      </c>
    </row>
    <row r="6880" spans="1:4" x14ac:dyDescent="0.2">
      <c r="A6880">
        <v>6819</v>
      </c>
      <c r="B6880" s="1890">
        <f>'Expenditures 15-22'!H22</f>
        <v>131320</v>
      </c>
      <c r="D6880" s="2" t="str">
        <f t="shared" si="106"/>
        <v>Error?</v>
      </c>
    </row>
    <row r="6881" spans="1:4" x14ac:dyDescent="0.2">
      <c r="A6881">
        <v>6820</v>
      </c>
      <c r="B6881" s="1890">
        <f>'Expenditures 15-22'!K22</f>
        <v>131320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12142</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f>'Expenditures 15-22'!E52</f>
        <v>234</v>
      </c>
      <c r="D6934" s="2" t="str">
        <f t="shared" si="107"/>
        <v>Error?</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234</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6385</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114</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6499</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6499</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92913</v>
      </c>
      <c r="D6983" s="2" t="str">
        <f t="shared" si="108"/>
        <v>Error?</v>
      </c>
    </row>
    <row r="6984" spans="1:4" x14ac:dyDescent="0.2">
      <c r="A6984">
        <v>6923</v>
      </c>
      <c r="B6984" s="1890">
        <f>'Expenditures 15-22'!K86</f>
        <v>92913</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92913</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18641</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11218</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11218</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11218</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50099</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11218</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50970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3541</v>
      </c>
      <c r="D7073" s="2" t="str">
        <f t="shared" si="109"/>
        <v>Error?</v>
      </c>
    </row>
    <row r="7074" spans="1:4" x14ac:dyDescent="0.2">
      <c r="A7074">
        <v>7013</v>
      </c>
      <c r="B7074" s="1890">
        <f>'Expenditures 15-22'!K216</f>
        <v>3541</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19623</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19623</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29929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29929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547</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547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50099</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50099</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50099</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50099</v>
      </c>
      <c r="D7224" s="2" t="str">
        <f t="shared" si="111"/>
        <v>Error?</v>
      </c>
    </row>
    <row r="7225" spans="1:4" x14ac:dyDescent="0.2">
      <c r="A7225">
        <v>7164</v>
      </c>
      <c r="B7225" s="1890">
        <f>'Expenditures 15-22'!K343</f>
        <v>871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820</v>
      </c>
      <c r="D7246" s="2" t="str">
        <f t="shared" si="112"/>
        <v>Error?</v>
      </c>
    </row>
    <row r="7247" spans="1:4" x14ac:dyDescent="0.2">
      <c r="A7247">
        <f t="shared" si="113"/>
        <v>7186</v>
      </c>
      <c r="B7247" s="1890">
        <f>'Expenditures 15-22'!E7</f>
        <v>2616</v>
      </c>
      <c r="D7247" s="2" t="str">
        <f t="shared" si="112"/>
        <v>Error?</v>
      </c>
    </row>
    <row r="7248" spans="1:4" x14ac:dyDescent="0.2">
      <c r="A7248">
        <f t="shared" si="113"/>
        <v>7187</v>
      </c>
      <c r="B7248" s="1890">
        <f>'Expenditures 15-22'!F7</f>
        <v>2013</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255509</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255509</v>
      </c>
      <c r="D7618" s="2" t="str">
        <f t="shared" si="124"/>
        <v>Error?</v>
      </c>
      <c r="E7618" s="2" t="s">
        <v>19</v>
      </c>
    </row>
    <row r="7619" spans="1:5" x14ac:dyDescent="0.2">
      <c r="A7619">
        <f t="shared" si="123"/>
        <v>7558</v>
      </c>
      <c r="B7619" s="1890">
        <f>'Cap Outlay Deprec 26'!H14</f>
        <v>255509</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255509</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29859</v>
      </c>
      <c r="D7624" s="2" t="str">
        <f t="shared" si="124"/>
        <v>Error?</v>
      </c>
      <c r="E7624" s="2" t="s">
        <v>19</v>
      </c>
    </row>
    <row r="7625" spans="1:5" x14ac:dyDescent="0.2">
      <c r="A7625">
        <f t="shared" si="123"/>
        <v>7564</v>
      </c>
      <c r="B7625" s="1890">
        <f>'Cap Outlay Deprec 26'!I17</f>
        <v>2985.9</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291689.90000000002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45000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8735</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47831</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5250600</v>
      </c>
      <c r="D7817" s="2" t="str">
        <f t="shared" si="128"/>
        <v>Error?</v>
      </c>
      <c r="E7817" s="4" t="s">
        <v>1969</v>
      </c>
    </row>
    <row r="7818" spans="1:5" x14ac:dyDescent="0.2">
      <c r="A7818">
        <v>7757</v>
      </c>
      <c r="B7818" s="1890">
        <f>'PCTC-OEPP 27-28'!F172</f>
        <v>194239</v>
      </c>
      <c r="D7818" s="2" t="str">
        <f t="shared" si="128"/>
        <v>Error?</v>
      </c>
      <c r="E7818" s="4" t="s">
        <v>1983</v>
      </c>
    </row>
    <row r="7819" spans="1:5" x14ac:dyDescent="0.2">
      <c r="A7819">
        <v>7758</v>
      </c>
      <c r="B7819" s="1890">
        <f>'PCTC-OEPP 27-28'!F173</f>
        <v>3675</v>
      </c>
      <c r="D7819" s="2" t="str">
        <f t="shared" si="128"/>
        <v>Error?</v>
      </c>
      <c r="E7819" s="4" t="s">
        <v>1983</v>
      </c>
    </row>
    <row r="7820" spans="1:5" x14ac:dyDescent="0.2">
      <c r="A7820">
        <v>7759</v>
      </c>
      <c r="B7820" s="1890">
        <f>'ICR Computation 30'!E40</f>
        <v>-64253</v>
      </c>
      <c r="D7820" s="2" t="str">
        <f t="shared" si="128"/>
        <v>Error?</v>
      </c>
    </row>
    <row r="7821" spans="1:5" x14ac:dyDescent="0.2">
      <c r="A7821">
        <v>7760</v>
      </c>
      <c r="B7821" s="1890">
        <f>'ICR Computation 30'!G40</f>
        <v>-64253</v>
      </c>
      <c r="D7821" s="2" t="str">
        <f t="shared" si="128"/>
        <v>Error?</v>
      </c>
    </row>
    <row r="7822" spans="1:5" x14ac:dyDescent="0.2">
      <c r="A7822" s="1">
        <v>7761</v>
      </c>
      <c r="B7822" s="1890">
        <f>'PCTC-OEPP 27-28'!F14</f>
        <v>7808257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70987</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10191</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46</v>
      </c>
      <c r="D7833" s="2" t="str">
        <f t="shared" si="129"/>
        <v>Error?</v>
      </c>
      <c r="E7833" s="4" t="s">
        <v>2001</v>
      </c>
    </row>
    <row r="7834" spans="1:5" x14ac:dyDescent="0.2">
      <c r="A7834">
        <v>7773</v>
      </c>
      <c r="B7834" s="1890">
        <f>'PCTC-OEPP 27-28'!F77</f>
        <v>1838056</v>
      </c>
      <c r="D7834" s="2" t="str">
        <f t="shared" si="129"/>
        <v>Error?</v>
      </c>
      <c r="E7834" s="4" t="s">
        <v>2001</v>
      </c>
    </row>
    <row r="7835" spans="1:5" x14ac:dyDescent="0.2">
      <c r="A7835">
        <v>7774</v>
      </c>
      <c r="B7835" s="1890">
        <f>'PCTC-OEPP 27-28'!F78</f>
        <v>5970201</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10535.029115934356</v>
      </c>
      <c r="D7837" s="2" t="str">
        <f t="shared" si="129"/>
        <v>Error?</v>
      </c>
      <c r="E7837" s="4" t="s">
        <v>2001</v>
      </c>
    </row>
    <row r="7838" spans="1:5" x14ac:dyDescent="0.2">
      <c r="A7838">
        <v>7777</v>
      </c>
      <c r="B7838" s="1890">
        <f>'PCTC-OEPP 27-28'!F96</f>
        <v>10128</v>
      </c>
      <c r="D7838" s="2" t="str">
        <f t="shared" si="129"/>
        <v>Error?</v>
      </c>
      <c r="E7838" s="4" t="s">
        <v>2001</v>
      </c>
    </row>
    <row r="7839" spans="1:5" x14ac:dyDescent="0.2">
      <c r="A7839">
        <v>7778</v>
      </c>
      <c r="B7839" s="1890">
        <f>'PCTC-OEPP 27-28'!F102</f>
        <v>52000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96958</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132850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70280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101285</v>
      </c>
      <c r="D7858" s="2" t="str">
        <f t="shared" si="129"/>
        <v>Error?</v>
      </c>
      <c r="E7858" s="4" t="s">
        <v>2001</v>
      </c>
    </row>
    <row r="7859" spans="1:5" x14ac:dyDescent="0.2">
      <c r="A7859">
        <v>7798</v>
      </c>
      <c r="B7859" s="1890">
        <f>'PCTC-OEPP 27-28'!F127</f>
        <v>87203</v>
      </c>
      <c r="D7859" s="2" t="str">
        <f t="shared" si="129"/>
        <v>Error?</v>
      </c>
      <c r="E7859" s="4" t="s">
        <v>2001</v>
      </c>
    </row>
    <row r="7860" spans="1:5" x14ac:dyDescent="0.2">
      <c r="A7860">
        <v>7799</v>
      </c>
      <c r="B7860" s="1890">
        <f>'PCTC-OEPP 27-28'!F128</f>
        <v>5702</v>
      </c>
      <c r="D7860" s="2" t="str">
        <f t="shared" si="129"/>
        <v>Error?</v>
      </c>
      <c r="E7860" s="4" t="s">
        <v>2001</v>
      </c>
    </row>
    <row r="7861" spans="1:5" x14ac:dyDescent="0.2">
      <c r="A7861">
        <v>7800</v>
      </c>
      <c r="B7861" s="1890">
        <f>'PCTC-OEPP 27-28'!F129</f>
        <v>122970</v>
      </c>
      <c r="D7861" s="2" t="str">
        <f t="shared" si="129"/>
        <v>Error?</v>
      </c>
      <c r="E7861" s="4" t="s">
        <v>2001</v>
      </c>
    </row>
    <row r="7862" spans="1:5" x14ac:dyDescent="0.2">
      <c r="A7862">
        <v>7801</v>
      </c>
      <c r="B7862" s="1890">
        <f>'PCTC-OEPP 27-28'!F130</f>
        <v>32202</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13159</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11772</v>
      </c>
      <c r="D7874" s="2" t="str">
        <f t="shared" si="129"/>
        <v>Error?</v>
      </c>
      <c r="E7874" s="4" t="s">
        <v>2001</v>
      </c>
    </row>
    <row r="7875" spans="1:5" x14ac:dyDescent="0.2">
      <c r="A7875">
        <v>7814</v>
      </c>
      <c r="B7875" s="1890">
        <f>'PCTC-OEPP 27-28'!F170</f>
        <v>51501</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1130534</v>
      </c>
      <c r="D7877" s="2" t="str">
        <f t="shared" si="129"/>
        <v>Error?</v>
      </c>
      <c r="E7877" s="4" t="s">
        <v>2001</v>
      </c>
    </row>
    <row r="7878" spans="1:5" x14ac:dyDescent="0.2">
      <c r="A7878">
        <v>7817</v>
      </c>
      <c r="B7878" s="1890">
        <f>'PCTC-OEPP 27-28'!F176</f>
        <v>4839667</v>
      </c>
      <c r="D7878" s="2" t="str">
        <f t="shared" si="129"/>
        <v>Error?</v>
      </c>
      <c r="E7878" s="4" t="s">
        <v>2001</v>
      </c>
    </row>
    <row r="7879" spans="1:5" x14ac:dyDescent="0.2">
      <c r="A7879">
        <v>7818</v>
      </c>
      <c r="B7879" s="1890">
        <f>'PCTC-OEPP 27-28'!F178</f>
        <v>5131356.9000000004</v>
      </c>
      <c r="D7879" s="2" t="str">
        <f t="shared" si="129"/>
        <v>Error?</v>
      </c>
      <c r="E7879" s="4" t="s">
        <v>2001</v>
      </c>
    </row>
    <row r="7880" spans="1:5" x14ac:dyDescent="0.2">
      <c r="A7880">
        <v>7819</v>
      </c>
      <c r="B7880" s="1890">
        <f>'PCTC-OEPP 27-28'!F180</f>
        <v>9054.8030704076227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1" t="s">
        <v>1183</v>
      </c>
      <c r="B2" s="2631"/>
      <c r="C2" s="2631"/>
      <c r="D2" s="2631"/>
      <c r="E2" s="2631"/>
      <c r="F2" s="2631"/>
      <c r="G2" s="2631"/>
      <c r="H2" s="2631"/>
      <c r="I2" s="2631"/>
      <c r="J2" s="2631"/>
      <c r="K2" s="2631"/>
      <c r="L2" s="2631"/>
    </row>
    <row r="3" spans="1:29" ht="13.5" customHeight="1" x14ac:dyDescent="0.2">
      <c r="A3" s="2617" t="s">
        <v>1182</v>
      </c>
      <c r="B3" s="2617"/>
      <c r="C3" s="2617"/>
      <c r="D3" s="2617"/>
      <c r="E3" s="2617"/>
      <c r="F3" s="2617"/>
      <c r="G3" s="2617"/>
      <c r="H3" s="2617"/>
      <c r="I3" s="2617"/>
      <c r="J3" s="2617"/>
      <c r="K3" s="2617"/>
      <c r="L3" s="2617"/>
    </row>
    <row r="4" spans="1:29" ht="13.5" customHeight="1" x14ac:dyDescent="0.2">
      <c r="A4" s="2648" t="str">
        <f>"Year Ending June 30, "&amp;'AFR20'!E2</f>
        <v>Year Ending June 30, 2020</v>
      </c>
      <c r="B4" s="2649"/>
      <c r="C4" s="2649"/>
      <c r="D4" s="2649"/>
      <c r="E4" s="2649"/>
      <c r="F4" s="2649"/>
      <c r="G4" s="2649"/>
      <c r="H4" s="2649"/>
      <c r="I4" s="2649"/>
      <c r="J4" s="2649"/>
      <c r="K4" s="2649"/>
      <c r="L4" s="264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1" t="str">
        <f>COVER!A17</f>
        <v>Lockport SD 91</v>
      </c>
      <c r="B7" s="2612"/>
      <c r="C7" s="2612"/>
      <c r="D7" s="2650"/>
      <c r="E7" s="2651">
        <f>COVER!A13</f>
        <v>56099091002</v>
      </c>
      <c r="F7" s="2652"/>
      <c r="G7" s="2618" t="str">
        <f>COVER!T23</f>
        <v>066-004945</v>
      </c>
      <c r="H7" s="2619"/>
      <c r="I7" s="2619"/>
      <c r="J7" s="2619"/>
      <c r="K7" s="2619"/>
      <c r="L7" s="262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1"/>
      <c r="B9" s="2622"/>
      <c r="C9" s="2622"/>
      <c r="D9" s="2622"/>
      <c r="E9" s="2622"/>
      <c r="F9" s="2623"/>
      <c r="G9" s="2624" t="str">
        <f>COVER!T13</f>
        <v>GASSENSMITH &amp; MICHALESKO, LTD.</v>
      </c>
      <c r="H9" s="2625"/>
      <c r="I9" s="2625"/>
      <c r="J9" s="2625"/>
      <c r="K9" s="2625"/>
      <c r="L9" s="2626"/>
    </row>
    <row r="10" spans="1:29" ht="13.5" customHeight="1" x14ac:dyDescent="0.2">
      <c r="A10" s="2608" t="str">
        <f>COVER!A38</f>
        <v>DONNA GRAY</v>
      </c>
      <c r="B10" s="2609"/>
      <c r="C10" s="2609"/>
      <c r="D10" s="2609"/>
      <c r="E10" s="2609"/>
      <c r="F10" s="2610"/>
      <c r="G10" s="2624" t="str">
        <f>COVER!T17</f>
        <v>323 SPRINGFIELD AVE</v>
      </c>
      <c r="H10" s="2637"/>
      <c r="I10" s="2637"/>
      <c r="J10" s="2637"/>
      <c r="K10" s="2637"/>
      <c r="L10" s="2638"/>
    </row>
    <row r="11" spans="1:29" ht="13.5" customHeight="1" x14ac:dyDescent="0.2">
      <c r="A11" s="1008" t="s">
        <v>1505</v>
      </c>
      <c r="B11" s="1009"/>
      <c r="C11" s="1010"/>
      <c r="D11" s="1015"/>
      <c r="E11" s="1010"/>
      <c r="F11" s="1014"/>
      <c r="G11" s="2624" t="str">
        <f>COVER!T19</f>
        <v>JOLIET</v>
      </c>
      <c r="H11" s="2637"/>
      <c r="I11" s="2637"/>
      <c r="J11" s="2637"/>
      <c r="K11" s="2637"/>
      <c r="L11" s="2638"/>
    </row>
    <row r="12" spans="1:29" ht="13.5" customHeight="1" x14ac:dyDescent="0.2">
      <c r="A12" s="2642" t="s">
        <v>1504</v>
      </c>
      <c r="B12" s="2643"/>
      <c r="C12" s="2643"/>
      <c r="D12" s="2643"/>
      <c r="E12" s="2643"/>
      <c r="F12" s="2644"/>
      <c r="G12" s="2639"/>
      <c r="H12" s="2640"/>
      <c r="I12" s="2640"/>
      <c r="J12" s="2640"/>
      <c r="K12" s="2640"/>
      <c r="L12" s="2641"/>
    </row>
    <row r="13" spans="1:29" ht="13.5" customHeight="1" x14ac:dyDescent="0.2">
      <c r="A13" s="2624"/>
      <c r="B13" s="2637"/>
      <c r="C13" s="2637"/>
      <c r="D13" s="2637"/>
      <c r="E13" s="2637"/>
      <c r="F13" s="2638"/>
      <c r="G13" s="2632" t="s">
        <v>1506</v>
      </c>
      <c r="H13" s="2633"/>
      <c r="I13" s="2645" t="str">
        <f>COVER!T25</f>
        <v>JILLE@GASSENSMITH.COM</v>
      </c>
      <c r="J13" s="2646"/>
      <c r="K13" s="2646"/>
      <c r="L13" s="2647"/>
    </row>
    <row r="14" spans="1:29" ht="13.5" customHeight="1" x14ac:dyDescent="0.2">
      <c r="A14" s="2624" t="str">
        <f>COVER!A19</f>
        <v>808 ADAMS ST</v>
      </c>
      <c r="B14" s="2637"/>
      <c r="C14" s="2637"/>
      <c r="D14" s="2637"/>
      <c r="E14" s="2637"/>
      <c r="F14" s="2638"/>
      <c r="G14" s="1019" t="s">
        <v>1177</v>
      </c>
      <c r="H14" s="1017"/>
      <c r="I14" s="1017"/>
      <c r="J14" s="1017"/>
      <c r="K14" s="1017"/>
      <c r="L14" s="1018"/>
    </row>
    <row r="15" spans="1:29" ht="13.5" customHeight="1" x14ac:dyDescent="0.2">
      <c r="A15" s="2624" t="str">
        <f>COVER!A21</f>
        <v xml:space="preserve">LOCKPORT  </v>
      </c>
      <c r="B15" s="2637"/>
      <c r="C15" s="2637"/>
      <c r="D15" s="2637"/>
      <c r="E15" s="2637"/>
      <c r="F15" s="2638"/>
      <c r="G15" s="2634" t="str">
        <f>COVER!T15</f>
        <v>JILL E GASSENSMITH</v>
      </c>
      <c r="H15" s="2635"/>
      <c r="I15" s="2635"/>
      <c r="J15" s="2635"/>
      <c r="K15" s="2635"/>
      <c r="L15" s="2636"/>
    </row>
    <row r="16" spans="1:29" ht="12.2" customHeight="1" x14ac:dyDescent="0.2">
      <c r="A16" s="2614">
        <f>COVER!A25</f>
        <v>60441</v>
      </c>
      <c r="B16" s="2615"/>
      <c r="C16" s="2615"/>
      <c r="D16" s="2615"/>
      <c r="E16" s="2615"/>
      <c r="F16" s="2616"/>
      <c r="G16" s="2627"/>
      <c r="H16" s="2628"/>
      <c r="I16" s="2628"/>
      <c r="J16" s="2628"/>
      <c r="K16" s="2628"/>
      <c r="L16" s="2629"/>
    </row>
    <row r="17" spans="1:13" ht="12.2" customHeight="1" x14ac:dyDescent="0.2">
      <c r="A17" s="2630"/>
      <c r="B17" s="2615"/>
      <c r="C17" s="2615"/>
      <c r="D17" s="2615"/>
      <c r="E17" s="2615"/>
      <c r="F17" s="2616"/>
      <c r="G17" s="1019" t="s">
        <v>1176</v>
      </c>
      <c r="H17" s="1017"/>
      <c r="I17" s="1017"/>
      <c r="J17" s="1017"/>
      <c r="K17" s="1021" t="s">
        <v>1175</v>
      </c>
      <c r="L17" s="1014"/>
      <c r="M17" s="1007"/>
    </row>
    <row r="18" spans="1:13" ht="12.2" customHeight="1" x14ac:dyDescent="0.2">
      <c r="A18" s="2608"/>
      <c r="B18" s="2609"/>
      <c r="C18" s="2609"/>
      <c r="D18" s="2609"/>
      <c r="E18" s="2609"/>
      <c r="F18" s="2610"/>
      <c r="G18" s="2611" t="str">
        <f>COVER!T21</f>
        <v>(815)744-6200</v>
      </c>
      <c r="H18" s="2612"/>
      <c r="I18" s="2612"/>
      <c r="J18" s="2612"/>
      <c r="K18" s="2611" t="str">
        <f>COVER!X21</f>
        <v>(815)744-3822</v>
      </c>
      <c r="L18" s="261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Lockport SD 91</v>
      </c>
      <c r="B1" s="2654"/>
      <c r="C1" s="2654"/>
      <c r="D1" s="2654"/>
    </row>
    <row r="2" spans="1:11" s="1036" customFormat="1" ht="12.75" x14ac:dyDescent="0.2">
      <c r="A2" s="2655">
        <f>'Single Audit Cover'!E7</f>
        <v>56099091002</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Lockport SD 91</v>
      </c>
      <c r="B1" s="2658"/>
      <c r="C1" s="2658"/>
      <c r="D1" s="2658"/>
      <c r="E1" s="2658"/>
    </row>
    <row r="2" spans="1:5" x14ac:dyDescent="0.2">
      <c r="A2" s="2659">
        <f>'Single Audit Cover'!E7</f>
        <v>56099091002</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425794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9286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-51501</v>
      </c>
    </row>
    <row r="19" spans="1:4" ht="13.5" thickBot="1" x14ac:dyDescent="0.25">
      <c r="A19" s="1086" t="s">
        <v>1226</v>
      </c>
      <c r="D19" s="1087">
        <f>SUM(D10:D17)</f>
        <v>383579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383579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383579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7" t="str">
        <f>'Single Audit Cover'!A7</f>
        <v>Lockport SD 91</v>
      </c>
      <c r="C1" s="2662"/>
      <c r="D1" s="2662"/>
      <c r="E1" s="2662"/>
      <c r="F1" s="2662"/>
      <c r="G1" s="2662"/>
      <c r="H1" s="2662"/>
      <c r="I1" s="2662"/>
      <c r="J1" s="2662"/>
      <c r="K1" s="2662"/>
      <c r="L1" s="2662"/>
      <c r="M1" s="2662"/>
    </row>
    <row r="2" spans="2:14" ht="15" x14ac:dyDescent="0.2">
      <c r="B2" s="2663">
        <f>'Single Audit Cover'!E7</f>
        <v>56099091002</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C73" sqref="C7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2074</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7" t="str">
        <f>'Single Audit Cover'!A7</f>
        <v>Lockport SD 91</v>
      </c>
      <c r="B1" s="2667"/>
      <c r="C1" s="2667"/>
      <c r="D1" s="2667"/>
      <c r="E1" s="2667"/>
      <c r="F1" s="2667"/>
    </row>
    <row r="2" spans="1:7" ht="13.5" customHeight="1" x14ac:dyDescent="0.2">
      <c r="A2" s="2663">
        <f>'Single Audit Cover'!E7</f>
        <v>56099091002</v>
      </c>
      <c r="B2" s="2663"/>
      <c r="C2" s="2663"/>
      <c r="D2" s="2663"/>
      <c r="E2" s="2663"/>
      <c r="F2" s="2663"/>
      <c r="G2" s="1096"/>
    </row>
    <row r="3" spans="1:7" ht="15.75" customHeight="1" x14ac:dyDescent="0.2">
      <c r="A3" s="2668" t="s">
        <v>1262</v>
      </c>
      <c r="B3" s="2668"/>
      <c r="C3" s="2668"/>
      <c r="D3" s="2668"/>
      <c r="E3" s="2668"/>
      <c r="F3" s="2668"/>
    </row>
    <row r="4" spans="1:7" ht="13.5" customHeight="1" x14ac:dyDescent="0.2">
      <c r="A4" s="2669" t="str">
        <f>'Single Audit Cover'!A4</f>
        <v>Year Ending June 30, 2020</v>
      </c>
      <c r="B4" s="2669"/>
      <c r="C4" s="2669"/>
      <c r="D4" s="2669"/>
      <c r="E4" s="2669"/>
      <c r="F4" s="2669"/>
    </row>
    <row r="5" spans="1:7" ht="8.25" customHeight="1" x14ac:dyDescent="0.2">
      <c r="C5" s="295"/>
      <c r="D5" s="295"/>
    </row>
    <row r="6" spans="1:7" ht="13.5" customHeight="1" x14ac:dyDescent="0.2">
      <c r="A6" s="1097" t="s">
        <v>1708</v>
      </c>
      <c r="C6" s="295"/>
      <c r="D6" s="295"/>
    </row>
    <row r="7" spans="1:7" ht="60.95" customHeight="1" x14ac:dyDescent="0.2">
      <c r="A7" s="2666" t="s">
        <v>1709</v>
      </c>
      <c r="B7" s="2666"/>
      <c r="C7" s="2666"/>
      <c r="D7" s="2666"/>
      <c r="E7" s="2666"/>
      <c r="F7" s="2666"/>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6" t="s">
        <v>1711</v>
      </c>
      <c r="B13" s="2666"/>
      <c r="C13" s="2666"/>
      <c r="D13" s="2666"/>
      <c r="E13" s="2666"/>
      <c r="F13" s="2666"/>
    </row>
    <row r="14" spans="1:7" ht="9.75" customHeight="1" x14ac:dyDescent="0.2">
      <c r="C14" s="1081"/>
      <c r="D14" s="1081"/>
    </row>
    <row r="15" spans="1:7" ht="13.5" customHeight="1" x14ac:dyDescent="0.2">
      <c r="C15" s="1525" t="s">
        <v>1261</v>
      </c>
      <c r="D15" s="2671" t="s">
        <v>1260</v>
      </c>
      <c r="E15" s="2671"/>
      <c r="F15" s="2671"/>
    </row>
    <row r="16" spans="1:7" ht="13.5" customHeight="1" x14ac:dyDescent="0.2">
      <c r="A16" s="1103"/>
      <c r="B16" s="1097" t="s">
        <v>1259</v>
      </c>
      <c r="C16" s="1525" t="s">
        <v>1258</v>
      </c>
      <c r="D16" s="2672" t="s">
        <v>1574</v>
      </c>
      <c r="E16" s="2672"/>
      <c r="F16" s="2672"/>
    </row>
    <row r="17" spans="1:6" ht="20.45" customHeight="1" x14ac:dyDescent="0.2">
      <c r="A17" s="1104"/>
      <c r="B17" s="1105"/>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4" t="s">
        <v>1712</v>
      </c>
      <c r="B32" s="2674"/>
      <c r="C32" s="2674"/>
      <c r="D32" s="2674"/>
      <c r="E32" s="2674"/>
      <c r="F32" s="267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5">
        <f>+C33+C34</f>
        <v>0</v>
      </c>
      <c r="F34" s="267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7" t="s">
        <v>1576</v>
      </c>
      <c r="C49" s="2677"/>
      <c r="D49" s="2677"/>
      <c r="E49" s="1213"/>
    </row>
    <row r="50" spans="1:5" s="1121" customFormat="1" ht="3.75" customHeight="1" x14ac:dyDescent="0.2">
      <c r="A50" s="1120"/>
      <c r="B50" s="1524"/>
      <c r="C50" s="1524"/>
      <c r="D50" s="1524"/>
      <c r="E50" s="1213"/>
    </row>
    <row r="51" spans="1:5" s="1121" customFormat="1" ht="20.25" customHeight="1" x14ac:dyDescent="0.2">
      <c r="A51" s="1122">
        <v>6</v>
      </c>
      <c r="B51" s="2673" t="s">
        <v>1537</v>
      </c>
      <c r="C51" s="2673"/>
      <c r="D51" s="2673"/>
    </row>
    <row r="52" spans="1:5" ht="14.25" customHeight="1" x14ac:dyDescent="0.2">
      <c r="A52" s="1122"/>
      <c r="B52" s="2673"/>
      <c r="C52" s="2673"/>
      <c r="D52" s="26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2" t="str">
        <f>'Single Audit Cover'!A7</f>
        <v>Lockport SD 91</v>
      </c>
      <c r="C1" s="2683"/>
      <c r="D1" s="2683"/>
      <c r="E1" s="2683"/>
      <c r="F1" s="2683"/>
      <c r="G1" s="2683"/>
      <c r="H1" s="2683"/>
      <c r="I1" s="2683"/>
      <c r="J1" s="1223"/>
    </row>
    <row r="2" spans="2:10" s="295" customFormat="1" ht="12.75" customHeight="1" x14ac:dyDescent="0.2">
      <c r="B2" s="2684">
        <f>'Single Audit Cover'!E7</f>
        <v>56099091002</v>
      </c>
      <c r="C2" s="2685"/>
      <c r="D2" s="2685"/>
      <c r="E2" s="2685"/>
      <c r="F2" s="2685"/>
      <c r="G2" s="2685"/>
      <c r="H2" s="2685"/>
      <c r="I2" s="2685"/>
      <c r="J2" s="1223"/>
    </row>
    <row r="3" spans="2:10" s="295" customFormat="1" ht="12.75" customHeight="1" x14ac:dyDescent="0.2">
      <c r="B3" s="2686" t="s">
        <v>1276</v>
      </c>
      <c r="C3" s="2687"/>
      <c r="D3" s="2687"/>
      <c r="E3" s="2687"/>
      <c r="F3" s="2687"/>
      <c r="G3" s="2687"/>
      <c r="H3" s="2687"/>
      <c r="I3" s="2687"/>
      <c r="J3" s="1224"/>
    </row>
    <row r="4" spans="2:10" s="295" customFormat="1" ht="12.75" customHeight="1" x14ac:dyDescent="0.2">
      <c r="B4" s="2686" t="str">
        <f>'Single Audit Cover'!A4</f>
        <v>Year Ending June 30, 2020</v>
      </c>
      <c r="C4" s="2687"/>
      <c r="D4" s="2687"/>
      <c r="E4" s="2687"/>
      <c r="F4" s="2687"/>
      <c r="G4" s="2687"/>
      <c r="H4" s="2687"/>
      <c r="I4" s="268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6" t="s">
        <v>1275</v>
      </c>
      <c r="C7" s="2687"/>
      <c r="D7" s="2687"/>
      <c r="E7" s="2687"/>
      <c r="F7" s="2687"/>
      <c r="G7" s="2687"/>
      <c r="H7" s="2687"/>
      <c r="I7" s="268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88"/>
      <c r="D11" s="268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89"/>
      <c r="E29" s="2689"/>
      <c r="F29" s="2689"/>
      <c r="G29" s="2689"/>
      <c r="H29" s="2689"/>
      <c r="I29" s="268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0" t="s">
        <v>1731</v>
      </c>
      <c r="D37" s="2691"/>
      <c r="E37" s="2691"/>
      <c r="F37" s="2692"/>
      <c r="G37" s="2690" t="s">
        <v>1578</v>
      </c>
      <c r="H37" s="2691"/>
      <c r="I37" s="2692"/>
    </row>
    <row r="38" spans="2:9" ht="16.5" customHeight="1" x14ac:dyDescent="0.2">
      <c r="B38" s="1245"/>
      <c r="C38" s="2678"/>
      <c r="D38" s="2679"/>
      <c r="E38" s="2679"/>
      <c r="F38" s="2680"/>
      <c r="G38" s="2693"/>
      <c r="H38" s="2694"/>
      <c r="I38" s="2695"/>
    </row>
    <row r="39" spans="2:9" ht="16.5" customHeight="1" x14ac:dyDescent="0.2">
      <c r="B39" s="1245"/>
      <c r="C39" s="2678"/>
      <c r="D39" s="2679"/>
      <c r="E39" s="2679"/>
      <c r="F39" s="2680"/>
      <c r="G39" s="2681"/>
      <c r="H39" s="2681"/>
      <c r="I39" s="2681"/>
    </row>
    <row r="40" spans="2:9" ht="16.5" customHeight="1" x14ac:dyDescent="0.2">
      <c r="B40" s="1245"/>
      <c r="C40" s="2678"/>
      <c r="D40" s="2679"/>
      <c r="E40" s="2679"/>
      <c r="F40" s="2680"/>
      <c r="G40" s="2681"/>
      <c r="H40" s="2681"/>
      <c r="I40" s="2681"/>
    </row>
    <row r="41" spans="2:9" ht="16.5" customHeight="1" x14ac:dyDescent="0.2">
      <c r="B41" s="1245"/>
      <c r="C41" s="2678"/>
      <c r="D41" s="2679"/>
      <c r="E41" s="2679"/>
      <c r="F41" s="2680"/>
      <c r="G41" s="2681"/>
      <c r="H41" s="2681"/>
      <c r="I41" s="2681"/>
    </row>
    <row r="42" spans="2:9" ht="16.5" customHeight="1" x14ac:dyDescent="0.2">
      <c r="B42" s="1245"/>
      <c r="C42" s="2678"/>
      <c r="D42" s="2679"/>
      <c r="E42" s="2679"/>
      <c r="F42" s="2680"/>
      <c r="G42" s="2681"/>
      <c r="H42" s="2681"/>
      <c r="I42" s="2681"/>
    </row>
    <row r="43" spans="2:9" ht="16.5" customHeight="1" x14ac:dyDescent="0.2">
      <c r="B43" s="1245"/>
      <c r="C43" s="2696" t="s">
        <v>1579</v>
      </c>
      <c r="D43" s="2697"/>
      <c r="E43" s="2697"/>
      <c r="F43" s="2698"/>
      <c r="G43" s="2699">
        <f>SUM(G38:I42)</f>
        <v>0</v>
      </c>
      <c r="H43" s="2699"/>
      <c r="I43" s="2699"/>
    </row>
    <row r="44" spans="2:9" ht="12.75" customHeight="1" x14ac:dyDescent="0.2"/>
    <row r="45" spans="2:9" ht="12.75" customHeight="1" x14ac:dyDescent="0.2">
      <c r="B45" s="1985" t="str">
        <f>"Total Federal Expenditures for 7/1/"&amp;MID('AFR20'!E2,3,2)-1&amp;"-6/30/"&amp;MID('AFR20'!E2,3,2)</f>
        <v>Total Federal Expenditures for 7/1/19-6/30/20</v>
      </c>
      <c r="C45" s="1986"/>
      <c r="D45" s="2700">
        <v>0</v>
      </c>
      <c r="E45" s="2701"/>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2"/>
      <c r="F49" s="2702"/>
      <c r="G49" s="2702"/>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2" t="str">
        <f>'Single Audit Cover'!A7</f>
        <v>Lockport SD 91</v>
      </c>
      <c r="C1" s="2682"/>
      <c r="D1" s="2682"/>
      <c r="E1" s="2682"/>
      <c r="F1" s="2682"/>
      <c r="G1" s="2682"/>
      <c r="H1" s="2682"/>
      <c r="I1" s="2682"/>
      <c r="J1" s="2682"/>
      <c r="K1" s="2682"/>
      <c r="L1" s="1189"/>
      <c r="M1" s="1189"/>
    </row>
    <row r="2" spans="1:13" ht="12" customHeight="1" x14ac:dyDescent="0.2">
      <c r="B2" s="2684">
        <f>'Single Audit Cover'!E7</f>
        <v>56099091002</v>
      </c>
      <c r="C2" s="2684"/>
      <c r="D2" s="2684"/>
      <c r="E2" s="2684"/>
      <c r="F2" s="2684"/>
      <c r="G2" s="2684"/>
      <c r="H2" s="2684"/>
      <c r="I2" s="2684"/>
      <c r="J2" s="2684"/>
      <c r="K2" s="2684"/>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9" t="str">
        <f>'Single Audit Cover'!A7</f>
        <v>Lockport SD 91</v>
      </c>
      <c r="C1" s="2709"/>
      <c r="D1" s="2709"/>
      <c r="E1" s="2709"/>
      <c r="F1" s="2709"/>
      <c r="G1" s="2709"/>
      <c r="H1" s="2709"/>
      <c r="I1" s="2709"/>
      <c r="J1" s="2709"/>
      <c r="K1" s="2709"/>
      <c r="L1" s="1266"/>
    </row>
    <row r="2" spans="1:12" ht="12.75" customHeight="1" x14ac:dyDescent="0.2">
      <c r="B2" s="2710">
        <f>'Single Audit Cover'!E7</f>
        <v>56099091002</v>
      </c>
      <c r="C2" s="2710"/>
      <c r="D2" s="2710"/>
      <c r="E2" s="2710"/>
      <c r="F2" s="2710"/>
      <c r="G2" s="2710"/>
      <c r="H2" s="2710"/>
      <c r="I2" s="2710"/>
      <c r="J2" s="2710"/>
      <c r="K2" s="2710"/>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1" t="s">
        <v>1299</v>
      </c>
      <c r="C6" s="2711"/>
      <c r="D6" s="2711"/>
      <c r="E6" s="2711"/>
      <c r="F6" s="2711"/>
      <c r="G6" s="2711"/>
      <c r="H6" s="2711"/>
      <c r="I6" s="2711"/>
      <c r="J6" s="2711"/>
      <c r="K6" s="2711"/>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89"/>
      <c r="G12" s="2689"/>
      <c r="H12" s="2689"/>
      <c r="I12" s="2689"/>
      <c r="J12" s="2689"/>
      <c r="K12" s="268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2" t="str">
        <f>'Single Audit Cover'!A7</f>
        <v>Lockport SD 91</v>
      </c>
      <c r="C1" s="2682"/>
      <c r="D1" s="2682"/>
      <c r="E1" s="1285"/>
    </row>
    <row r="2" spans="2:5" s="1103" customFormat="1" ht="12.75" customHeight="1" x14ac:dyDescent="0.2">
      <c r="B2" s="2684">
        <f>'Single Audit Cover'!E7</f>
        <v>56099091002</v>
      </c>
      <c r="C2" s="2684"/>
      <c r="D2" s="2684"/>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C73" sqref="C7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167495503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2.5242000000000001E-2</v>
      </c>
      <c r="E10" s="333" t="s">
        <v>998</v>
      </c>
      <c r="F10" s="332">
        <v>4.9839999999999997E-3</v>
      </c>
      <c r="G10" s="333" t="s">
        <v>998</v>
      </c>
      <c r="H10" s="332">
        <v>8.7000000000000001E-4</v>
      </c>
      <c r="I10" s="333" t="s">
        <v>999</v>
      </c>
      <c r="J10" s="1473">
        <f>ROUND(D10+F10+H10,5)</f>
        <v>3.1099999999999999E-2</v>
      </c>
      <c r="K10" s="217"/>
      <c r="L10" s="332">
        <v>6.0999999999999999E-5</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7429811</v>
      </c>
      <c r="E16" s="1597"/>
      <c r="F16" s="1596">
        <f>SUM('Acct Summary 7-8'!C17,'Acct Summary 7-8'!D17,'Acct Summary 7-8'!F17)</f>
        <v>6981693</v>
      </c>
      <c r="G16" s="1597"/>
      <c r="H16" s="1596">
        <f>SUM(D16-F16)</f>
        <v>448118</v>
      </c>
      <c r="I16" s="1598"/>
      <c r="J16" s="1596">
        <f>SUM('Acct Summary 7-8'!C81,'Acct Summary 7-8'!D81,'Acct Summary 7-8'!F81,'Acct Summary 7-8'!I81)</f>
        <v>6858983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2074</v>
      </c>
      <c r="C31" s="344" t="s">
        <v>582</v>
      </c>
      <c r="D31" s="232" t="s">
        <v>1065</v>
      </c>
      <c r="E31" s="217"/>
      <c r="F31" s="217"/>
      <c r="G31" s="340"/>
      <c r="H31" s="1474">
        <f>IF(B31="X",(J7*0.069),IF(B32="X",(J7*0.138),"Enter x in a.or b."))</f>
        <v>11557189.707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3605000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73" sqref="C7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Lockport SD 91</v>
      </c>
      <c r="E7" s="368"/>
      <c r="G7" s="247"/>
      <c r="H7" s="364"/>
      <c r="I7" s="364"/>
      <c r="J7" s="364"/>
      <c r="K7" s="364"/>
      <c r="L7" s="307"/>
      <c r="M7" s="307"/>
      <c r="N7" s="307"/>
      <c r="O7" s="307"/>
      <c r="P7" s="307"/>
    </row>
    <row r="8" spans="1:18" ht="12.75" x14ac:dyDescent="0.2">
      <c r="A8" s="307"/>
      <c r="B8" s="307"/>
      <c r="C8" s="366" t="s">
        <v>1117</v>
      </c>
      <c r="D8" s="369">
        <f>COVER!A13</f>
        <v>56099091002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6858983</v>
      </c>
      <c r="I12" s="380"/>
      <c r="J12" s="380"/>
      <c r="K12" s="1609">
        <f>TRUNC((H12/H13*100000),5)/100000</f>
        <v>0.9298959229</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7376076</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-53735</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6981693</v>
      </c>
      <c r="I17" s="380"/>
      <c r="J17" s="389"/>
      <c r="K17" s="1609">
        <f>TRUNC((H17/H18*100000),5)/100000</f>
        <v>0.94653213979999995</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7376076</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-53735</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6858983</v>
      </c>
      <c r="I24" s="394"/>
      <c r="J24" s="394"/>
      <c r="K24" s="1605">
        <f>TRUNC(((H24/H25*100000)/100000),2)</f>
        <v>353.67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19393.591670000002</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4427743.6218100004</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3605000</v>
      </c>
      <c r="I32" s="392"/>
      <c r="J32" s="392"/>
      <c r="K32" s="1605">
        <f>TRUNC(100-((((H32/H33*100))*100)/100),2)</f>
        <v>68.8</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11557189.707</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C73" sqref="C73"/>
      <selection pane="bottomLeft" activeCell="F40" sqref="F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5348449</v>
      </c>
      <c r="D4" s="1623">
        <v>639278</v>
      </c>
      <c r="E4" s="1623">
        <v>155637</v>
      </c>
      <c r="F4" s="1623">
        <v>467675</v>
      </c>
      <c r="G4" s="1623">
        <v>294338</v>
      </c>
      <c r="H4" s="1623">
        <v>53477</v>
      </c>
      <c r="I4" s="1623">
        <v>403581</v>
      </c>
      <c r="J4" s="1624">
        <v>15431</v>
      </c>
      <c r="K4" s="1623">
        <v>18362</v>
      </c>
      <c r="L4" s="1623">
        <v>67743</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5348449</v>
      </c>
      <c r="D13" s="1637">
        <f t="shared" ref="D13:L13" si="0">SUM(D4:D12)</f>
        <v>639278</v>
      </c>
      <c r="E13" s="1637">
        <f t="shared" si="0"/>
        <v>155637</v>
      </c>
      <c r="F13" s="1637">
        <f t="shared" si="0"/>
        <v>467675</v>
      </c>
      <c r="G13" s="1637">
        <f t="shared" si="0"/>
        <v>294338</v>
      </c>
      <c r="H13" s="1637">
        <f t="shared" si="0"/>
        <v>53477</v>
      </c>
      <c r="I13" s="1637">
        <f t="shared" si="0"/>
        <v>403581</v>
      </c>
      <c r="J13" s="1637">
        <f t="shared" si="0"/>
        <v>15431</v>
      </c>
      <c r="K13" s="1637">
        <f t="shared" si="0"/>
        <v>18362</v>
      </c>
      <c r="L13" s="1637">
        <f t="shared" si="0"/>
        <v>67743</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40960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10951430</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1575497</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1561595</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155637</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3449363</v>
      </c>
    </row>
    <row r="23" spans="1:14" ht="13.5" customHeight="1" thickBot="1" x14ac:dyDescent="0.25">
      <c r="A23" s="1475" t="s">
        <v>638</v>
      </c>
      <c r="B23" s="1478"/>
      <c r="C23" s="1625"/>
      <c r="D23" s="1625"/>
      <c r="E23" s="1625"/>
      <c r="F23" s="1625"/>
      <c r="G23" s="1625"/>
      <c r="H23" s="1625"/>
      <c r="I23" s="1625"/>
      <c r="J23" s="1625"/>
      <c r="K23" s="1625"/>
      <c r="L23" s="1625"/>
      <c r="M23" s="1644">
        <f>SUM(M15:M22)</f>
        <v>14129482</v>
      </c>
      <c r="N23" s="1644">
        <f>SUM(N21:N22)</f>
        <v>3605000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67743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67743</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3605000</v>
      </c>
    </row>
    <row r="37" spans="1:14" ht="13.5" thickBot="1" x14ac:dyDescent="0.25">
      <c r="A37" s="1475" t="s">
        <v>648</v>
      </c>
      <c r="B37" s="1478"/>
      <c r="C37" s="1632"/>
      <c r="D37" s="1632"/>
      <c r="E37" s="1632"/>
      <c r="F37" s="1632"/>
      <c r="G37" s="1632"/>
      <c r="H37" s="1632"/>
      <c r="I37" s="1632"/>
      <c r="J37" s="1632"/>
      <c r="K37" s="1632"/>
      <c r="L37" s="1635"/>
      <c r="M37" s="1625"/>
      <c r="N37" s="1644">
        <f>SUM(N36:N36)</f>
        <v>3605000</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5348449</v>
      </c>
      <c r="D39" s="1623">
        <v>639278</v>
      </c>
      <c r="E39" s="1623">
        <v>155637</v>
      </c>
      <c r="F39" s="1623">
        <v>467675</v>
      </c>
      <c r="G39" s="1623">
        <v>294338</v>
      </c>
      <c r="H39" s="1623">
        <v>53477</v>
      </c>
      <c r="I39" s="1623">
        <v>403581</v>
      </c>
      <c r="J39" s="1624">
        <v>15431</v>
      </c>
      <c r="K39" s="1623">
        <v>18362</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14129482</v>
      </c>
      <c r="N40" s="1654"/>
    </row>
    <row r="41" spans="1:14" ht="13.5" customHeight="1" thickBot="1" x14ac:dyDescent="0.25">
      <c r="A41" s="1475" t="s">
        <v>650</v>
      </c>
      <c r="B41" s="1454"/>
      <c r="C41" s="1644">
        <f>(SUM(C34,C37,C38,C39))</f>
        <v>5348449</v>
      </c>
      <c r="D41" s="1644">
        <f t="shared" ref="D41:L41" si="2">SUM(D34,D37,D38:D39)</f>
        <v>639278</v>
      </c>
      <c r="E41" s="1644">
        <f t="shared" si="2"/>
        <v>155637</v>
      </c>
      <c r="F41" s="1644">
        <f t="shared" si="2"/>
        <v>467675</v>
      </c>
      <c r="G41" s="1644">
        <f t="shared" si="2"/>
        <v>294338</v>
      </c>
      <c r="H41" s="1644">
        <f t="shared" si="2"/>
        <v>53477</v>
      </c>
      <c r="I41" s="1644">
        <f t="shared" si="2"/>
        <v>403581</v>
      </c>
      <c r="J41" s="1644">
        <f t="shared" si="2"/>
        <v>15431</v>
      </c>
      <c r="K41" s="1644">
        <f t="shared" si="2"/>
        <v>18362</v>
      </c>
      <c r="L41" s="1644">
        <f t="shared" si="2"/>
        <v>67743</v>
      </c>
      <c r="M41" s="1644">
        <f>SUM(M40)</f>
        <v>14129482</v>
      </c>
      <c r="N41" s="1644">
        <f>SUM(N37)</f>
        <v>3605000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73" sqref="C73"/>
      <selection pane="bottomLeft" activeCell="C73" sqref="C7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4568866</v>
      </c>
      <c r="D4" s="1656">
        <f>'Revenues 9-14'!D109</f>
        <v>879730</v>
      </c>
      <c r="E4" s="1656">
        <f>'Revenues 9-14'!E109</f>
        <v>523229</v>
      </c>
      <c r="F4" s="1656">
        <f>'Revenues 9-14'!F109</f>
        <v>97740</v>
      </c>
      <c r="G4" s="1656">
        <f>'Revenues 9-14'!G109</f>
        <v>253190</v>
      </c>
      <c r="H4" s="1656">
        <f>'Revenues 9-14'!H109</f>
        <v>0</v>
      </c>
      <c r="I4" s="1656">
        <f>'Revenues 9-14'!I109</f>
        <v>6692</v>
      </c>
      <c r="J4" s="1656">
        <f>'Revenues 9-14'!J109</f>
        <v>50970</v>
      </c>
      <c r="K4" s="1656">
        <f>'Revenues 9-14'!K109</f>
        <v>4930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1280069</v>
      </c>
      <c r="D6" s="1657">
        <f>'Revenues 9-14'!D170</f>
        <v>50000</v>
      </c>
      <c r="E6" s="1657">
        <f>'Revenues 9-14'!E170</f>
        <v>0</v>
      </c>
      <c r="F6" s="1657">
        <f>'Revenues 9-14'!F170</f>
        <v>132850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413864</v>
      </c>
      <c r="D7" s="1657">
        <f>'Revenues 9-14'!D267</f>
        <v>0</v>
      </c>
      <c r="E7" s="1657">
        <f>'Revenues 9-14'!E267</f>
        <v>0</v>
      </c>
      <c r="F7" s="1657">
        <f>'Revenues 9-14'!F267</f>
        <v>0</v>
      </c>
      <c r="G7" s="1657">
        <f>'Revenues 9-14'!G267</f>
        <v>11930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6262799</v>
      </c>
      <c r="D8" s="1644">
        <f t="shared" ref="D8:K8" si="0">SUM(D4:D7)</f>
        <v>929730</v>
      </c>
      <c r="E8" s="1644">
        <f t="shared" si="0"/>
        <v>523229</v>
      </c>
      <c r="F8" s="1644">
        <f t="shared" si="0"/>
        <v>230590</v>
      </c>
      <c r="G8" s="1644">
        <f t="shared" si="0"/>
        <v>265120</v>
      </c>
      <c r="H8" s="1644">
        <f t="shared" si="0"/>
        <v>0</v>
      </c>
      <c r="I8" s="1644">
        <f t="shared" si="0"/>
        <v>6692</v>
      </c>
      <c r="J8" s="1644">
        <f t="shared" si="0"/>
        <v>50970</v>
      </c>
      <c r="K8" s="1644">
        <f t="shared" si="0"/>
        <v>4930</v>
      </c>
      <c r="L8" s="325"/>
    </row>
    <row r="9" spans="1:13" ht="15.75" thickTop="1" x14ac:dyDescent="0.2">
      <c r="A9" s="449" t="s">
        <v>1637</v>
      </c>
      <c r="B9" s="450">
        <v>3998</v>
      </c>
      <c r="C9" s="1636">
        <v>2621833</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8884632</v>
      </c>
      <c r="D10" s="1644">
        <f t="shared" ref="D10:K10" si="1">SUM(D8:D9)</f>
        <v>929730</v>
      </c>
      <c r="E10" s="1644">
        <f t="shared" si="1"/>
        <v>523229</v>
      </c>
      <c r="F10" s="1644">
        <f t="shared" si="1"/>
        <v>230590</v>
      </c>
      <c r="G10" s="1644">
        <f t="shared" si="1"/>
        <v>265120</v>
      </c>
      <c r="H10" s="1644">
        <f t="shared" si="1"/>
        <v>0</v>
      </c>
      <c r="I10" s="1644">
        <f t="shared" si="1"/>
        <v>6692</v>
      </c>
      <c r="J10" s="1644">
        <f t="shared" si="1"/>
        <v>50970</v>
      </c>
      <c r="K10" s="1644">
        <f t="shared" si="1"/>
        <v>4930</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3288582</v>
      </c>
      <c r="D12" s="1666" t="s">
        <v>1161</v>
      </c>
      <c r="E12" s="1625" t="s">
        <v>1161</v>
      </c>
      <c r="F12" s="1625" t="s">
        <v>1161</v>
      </c>
      <c r="G12" s="1656">
        <f>'Expenditures 15-22'!K229</f>
        <v>58351</v>
      </c>
      <c r="H12" s="1667"/>
      <c r="I12" s="1625" t="s">
        <v>1161</v>
      </c>
      <c r="J12" s="1625" t="s">
        <v>1161</v>
      </c>
      <c r="K12" s="1667" t="s">
        <v>1161</v>
      </c>
      <c r="L12" s="325"/>
    </row>
    <row r="13" spans="1:13" ht="15.75" customHeight="1" x14ac:dyDescent="0.2">
      <c r="A13" s="1359" t="s">
        <v>454</v>
      </c>
      <c r="B13" s="1361">
        <v>2000</v>
      </c>
      <c r="C13" s="1657">
        <f>'Expenditures 15-22'!K74</f>
        <v>1860238</v>
      </c>
      <c r="D13" s="1657">
        <f>'Expenditures 15-22'!K129</f>
        <v>861531</v>
      </c>
      <c r="E13" s="1626" t="s">
        <v>1161</v>
      </c>
      <c r="F13" s="1657">
        <f>'Expenditures 15-22'!K184</f>
        <v>25315</v>
      </c>
      <c r="G13" s="1657">
        <f>'Expenditures 15-22'!K279</f>
        <v>138877</v>
      </c>
      <c r="H13" s="1657">
        <f>'Expenditures 15-22'!K303</f>
        <v>0</v>
      </c>
      <c r="I13" s="1625" t="s">
        <v>1161</v>
      </c>
      <c r="J13" s="1657">
        <f>'Expenditures 15-22'!K330</f>
        <v>50099</v>
      </c>
      <c r="K13" s="1668">
        <f>'Expenditures 15-22'!K352</f>
        <v>0</v>
      </c>
      <c r="L13" s="325"/>
    </row>
    <row r="14" spans="1:13" ht="15.75" customHeight="1" x14ac:dyDescent="0.2">
      <c r="A14" s="1359" t="s">
        <v>446</v>
      </c>
      <c r="B14" s="1361">
        <v>3000</v>
      </c>
      <c r="C14" s="1657">
        <f>'Expenditures 15-22'!K75</f>
        <v>10191</v>
      </c>
      <c r="D14" s="1657">
        <f>'Expenditures 15-22'!K130</f>
        <v>0</v>
      </c>
      <c r="E14" s="1666" t="s">
        <v>1161</v>
      </c>
      <c r="F14" s="1657">
        <f>'Expenditures 15-22'!K185</f>
        <v>46</v>
      </c>
      <c r="G14" s="1657">
        <f>'Expenditures 15-22'!K280</f>
        <v>759</v>
      </c>
      <c r="H14" s="1662"/>
      <c r="I14" s="1625" t="s">
        <v>1161</v>
      </c>
      <c r="J14" s="1625" t="s">
        <v>1161</v>
      </c>
      <c r="K14" s="1662" t="s">
        <v>1161</v>
      </c>
      <c r="L14" s="325"/>
    </row>
    <row r="15" spans="1:13" ht="15.75" customHeight="1" x14ac:dyDescent="0.2">
      <c r="A15" s="1359" t="s">
        <v>107</v>
      </c>
      <c r="B15" s="1361">
        <v>4000</v>
      </c>
      <c r="C15" s="1657">
        <f>'Expenditures 15-22'!K102</f>
        <v>738165</v>
      </c>
      <c r="D15" s="1657">
        <f>'Expenditures 15-22'!K139</f>
        <v>0</v>
      </c>
      <c r="E15" s="1657">
        <f>'Expenditures 15-22'!K160</f>
        <v>0</v>
      </c>
      <c r="F15" s="1657">
        <f>'Expenditures 15-22'!K196</f>
        <v>197625</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578478</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5897176</v>
      </c>
      <c r="D17" s="1644">
        <f t="shared" si="2"/>
        <v>861531</v>
      </c>
      <c r="E17" s="1644">
        <f t="shared" si="2"/>
        <v>578478</v>
      </c>
      <c r="F17" s="1644">
        <f t="shared" si="2"/>
        <v>222986</v>
      </c>
      <c r="G17" s="1644">
        <f t="shared" si="2"/>
        <v>197987</v>
      </c>
      <c r="H17" s="1644">
        <f t="shared" si="2"/>
        <v>0</v>
      </c>
      <c r="I17" s="1625"/>
      <c r="J17" s="1644">
        <f>SUM(J12:J16)</f>
        <v>50099</v>
      </c>
      <c r="K17" s="1644">
        <f>SUM(K12:K16)</f>
        <v>0</v>
      </c>
      <c r="L17" s="325"/>
    </row>
    <row r="18" spans="1:12" ht="15" customHeight="1" thickTop="1" x14ac:dyDescent="0.2">
      <c r="A18" s="1479" t="s">
        <v>1638</v>
      </c>
      <c r="B18" s="1480">
        <v>4180</v>
      </c>
      <c r="C18" s="1656">
        <f t="shared" ref="C18:H18" si="3">C9</f>
        <v>2621833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8519009</v>
      </c>
      <c r="D19" s="1644">
        <f t="shared" si="4"/>
        <v>861531</v>
      </c>
      <c r="E19" s="1644">
        <f t="shared" si="4"/>
        <v>578478</v>
      </c>
      <c r="F19" s="1644">
        <f t="shared" si="4"/>
        <v>222986</v>
      </c>
      <c r="G19" s="1644">
        <f t="shared" si="4"/>
        <v>197987</v>
      </c>
      <c r="H19" s="1644">
        <f t="shared" si="4"/>
        <v>0</v>
      </c>
      <c r="I19" s="1625"/>
      <c r="J19" s="1644">
        <f>SUM(J17:J18)</f>
        <v>50099</v>
      </c>
      <c r="K19" s="1644">
        <f>SUM(K17:K18)</f>
        <v>0</v>
      </c>
      <c r="L19" s="325"/>
    </row>
    <row r="20" spans="1:12" ht="16.5" thickTop="1" thickBot="1" x14ac:dyDescent="0.25">
      <c r="A20" s="2300" t="s">
        <v>1639</v>
      </c>
      <c r="B20" s="2301"/>
      <c r="C20" s="1672">
        <f>C8-C17</f>
        <v>365623</v>
      </c>
      <c r="D20" s="1672">
        <f t="shared" ref="D20:K20" si="5">D8-D17</f>
        <v>68199</v>
      </c>
      <c r="E20" s="1672">
        <f t="shared" si="5"/>
        <v>-55249</v>
      </c>
      <c r="F20" s="1672">
        <f t="shared" si="5"/>
        <v>7604</v>
      </c>
      <c r="G20" s="1672">
        <f t="shared" si="5"/>
        <v>67133</v>
      </c>
      <c r="H20" s="1672">
        <f t="shared" si="5"/>
        <v>0</v>
      </c>
      <c r="I20" s="1672">
        <f t="shared" si="5"/>
        <v>6692</v>
      </c>
      <c r="J20" s="1672">
        <f t="shared" si="5"/>
        <v>871</v>
      </c>
      <c r="K20" s="1672">
        <f t="shared" si="5"/>
        <v>4930</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45000</v>
      </c>
      <c r="F39" s="1632"/>
      <c r="G39" s="1632"/>
      <c r="H39" s="1632"/>
      <c r="I39" s="1632"/>
      <c r="J39" s="1632"/>
      <c r="K39" s="1632"/>
      <c r="L39" s="453"/>
    </row>
    <row r="40" spans="1:12" s="433" customFormat="1" ht="13.5" customHeight="1" x14ac:dyDescent="0.2">
      <c r="A40" s="1305" t="s">
        <v>637</v>
      </c>
      <c r="B40" s="432">
        <v>7700</v>
      </c>
      <c r="C40" s="1632"/>
      <c r="D40" s="1632"/>
      <c r="E40" s="1657">
        <f>SUM(C66:D69)</f>
        <v>8735</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0</v>
      </c>
      <c r="D44" s="1674">
        <f t="shared" ref="D44:K44" si="6">SUM(D24:D43)</f>
        <v>0</v>
      </c>
      <c r="E44" s="1674">
        <f t="shared" si="6"/>
        <v>53735</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45000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8735</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0</v>
      </c>
      <c r="D76" s="1674">
        <f t="shared" si="7"/>
        <v>53735</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2" t="s">
        <v>1169</v>
      </c>
      <c r="B77" s="2293"/>
      <c r="C77" s="1674">
        <f t="shared" ref="C77:K77" si="8">C44-C76</f>
        <v>0</v>
      </c>
      <c r="D77" s="1674">
        <f t="shared" si="8"/>
        <v>-53735</v>
      </c>
      <c r="E77" s="1674">
        <f t="shared" si="8"/>
        <v>53735</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6" t="s">
        <v>593</v>
      </c>
      <c r="B78" s="2297"/>
      <c r="C78" s="1679">
        <f t="shared" ref="C78:K78" si="9">C20+C77</f>
        <v>365623</v>
      </c>
      <c r="D78" s="1679">
        <f t="shared" si="9"/>
        <v>14464</v>
      </c>
      <c r="E78" s="1679">
        <f t="shared" si="9"/>
        <v>-1514</v>
      </c>
      <c r="F78" s="1679">
        <f t="shared" si="9"/>
        <v>7604</v>
      </c>
      <c r="G78" s="1679">
        <f t="shared" si="9"/>
        <v>67133</v>
      </c>
      <c r="H78" s="1679">
        <f t="shared" si="9"/>
        <v>0</v>
      </c>
      <c r="I78" s="1679">
        <f t="shared" si="9"/>
        <v>6692</v>
      </c>
      <c r="J78" s="1679">
        <f t="shared" si="9"/>
        <v>871</v>
      </c>
      <c r="K78" s="1679">
        <f t="shared" si="9"/>
        <v>4930</v>
      </c>
      <c r="L78" s="457"/>
    </row>
    <row r="79" spans="1:12" ht="13.5" thickTop="1" x14ac:dyDescent="0.2">
      <c r="A79" s="1902" t="str">
        <f>"Fund Balances - July 1, "&amp;'AFR20'!E2-1</f>
        <v>Fund Balances - July 1, 2019</v>
      </c>
      <c r="B79" s="458"/>
      <c r="C79" s="1633">
        <v>4982826</v>
      </c>
      <c r="D79" s="1680">
        <v>624814</v>
      </c>
      <c r="E79" s="1680">
        <v>157151</v>
      </c>
      <c r="F79" s="1680">
        <v>460071</v>
      </c>
      <c r="G79" s="1680">
        <v>227205</v>
      </c>
      <c r="H79" s="1680">
        <v>53477</v>
      </c>
      <c r="I79" s="1680">
        <v>396889</v>
      </c>
      <c r="J79" s="1680">
        <v>14560</v>
      </c>
      <c r="K79" s="1680">
        <v>13432</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5348449</v>
      </c>
      <c r="D81" s="1644">
        <f>SUM(D78:D80)</f>
        <v>639278</v>
      </c>
      <c r="E81" s="1644">
        <f t="shared" ref="E81:K81" si="10">SUM(E78:E80)</f>
        <v>155637</v>
      </c>
      <c r="F81" s="1644">
        <f t="shared" si="10"/>
        <v>467675</v>
      </c>
      <c r="G81" s="1644">
        <f t="shared" si="10"/>
        <v>294338</v>
      </c>
      <c r="H81" s="1644">
        <f t="shared" si="10"/>
        <v>53477</v>
      </c>
      <c r="I81" s="1644">
        <f t="shared" si="10"/>
        <v>403581</v>
      </c>
      <c r="J81" s="1644">
        <f t="shared" si="10"/>
        <v>15431</v>
      </c>
      <c r="K81" s="1644">
        <f t="shared" si="10"/>
        <v>18362</v>
      </c>
      <c r="L81" s="325"/>
    </row>
    <row r="82" spans="1:12" ht="0.75" customHeight="1" thickTop="1" thickBot="1" x14ac:dyDescent="0.25">
      <c r="A82" s="459" t="s">
        <v>340</v>
      </c>
      <c r="B82" s="460"/>
      <c r="C82" s="461">
        <f>(C81-C79)</f>
        <v>365623</v>
      </c>
      <c r="D82" s="461">
        <f t="shared" ref="D82:K82" si="11">(D81-D79)</f>
        <v>14464</v>
      </c>
      <c r="E82" s="461">
        <f t="shared" si="11"/>
        <v>-1514</v>
      </c>
      <c r="F82" s="461">
        <f t="shared" si="11"/>
        <v>7604</v>
      </c>
      <c r="G82" s="461">
        <f t="shared" si="11"/>
        <v>67133</v>
      </c>
      <c r="H82" s="461">
        <f t="shared" si="11"/>
        <v>0</v>
      </c>
      <c r="I82" s="461">
        <f t="shared" si="11"/>
        <v>6692</v>
      </c>
      <c r="J82" s="461">
        <f t="shared" si="11"/>
        <v>871</v>
      </c>
      <c r="K82" s="461">
        <f t="shared" si="11"/>
        <v>4930</v>
      </c>
    </row>
    <row r="83" spans="1:12" ht="14.25" hidden="1" thickTop="1" thickBot="1" x14ac:dyDescent="0.25">
      <c r="A83" s="462" t="s">
        <v>341</v>
      </c>
      <c r="B83" s="428"/>
      <c r="C83" s="463">
        <f>C82/C81</f>
        <v>6.8360565838806731E-2</v>
      </c>
      <c r="D83" s="463">
        <f t="shared" ref="D83:K83" si="12">D82/D81</f>
        <v>2.2625524419736014E-2</v>
      </c>
      <c r="E83" s="463">
        <f t="shared" si="12"/>
        <v>-9.7277639635819247E-3</v>
      </c>
      <c r="F83" s="463">
        <f t="shared" si="12"/>
        <v>1.6259154327257178E-2</v>
      </c>
      <c r="G83" s="463">
        <f t="shared" si="12"/>
        <v>0.22808132147395171</v>
      </c>
      <c r="H83" s="463">
        <f t="shared" si="12"/>
        <v>0</v>
      </c>
      <c r="I83" s="463">
        <f t="shared" si="12"/>
        <v>1.6581553641028691E-2</v>
      </c>
      <c r="J83" s="463">
        <f t="shared" si="12"/>
        <v>5.6444818871103621E-2</v>
      </c>
      <c r="K83" s="463">
        <f t="shared" si="12"/>
        <v>0.26848927132120681</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73" sqref="C7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4147906</v>
      </c>
      <c r="D5" s="1636">
        <v>802498</v>
      </c>
      <c r="E5" s="1623">
        <v>521632</v>
      </c>
      <c r="F5" s="1681">
        <v>97591</v>
      </c>
      <c r="G5" s="1623">
        <v>164082</v>
      </c>
      <c r="H5" s="1623">
        <v>0</v>
      </c>
      <c r="I5" s="1623">
        <v>6057</v>
      </c>
      <c r="J5" s="1624">
        <v>50812</v>
      </c>
      <c r="K5" s="1623">
        <v>4915</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47831</v>
      </c>
      <c r="D7" s="1623">
        <v>0</v>
      </c>
      <c r="E7" s="1625"/>
      <c r="F7" s="1624">
        <v>0</v>
      </c>
      <c r="G7" s="1624">
        <v>0</v>
      </c>
      <c r="H7" s="1624">
        <v>0</v>
      </c>
      <c r="I7" s="1625"/>
      <c r="J7" s="1625"/>
      <c r="K7" s="1625"/>
    </row>
    <row r="8" spans="1:12" x14ac:dyDescent="0.2">
      <c r="A8" s="427" t="s">
        <v>410</v>
      </c>
      <c r="B8" s="429">
        <v>1150</v>
      </c>
      <c r="C8" s="1630"/>
      <c r="D8" s="1630"/>
      <c r="E8" s="1632"/>
      <c r="F8" s="1632"/>
      <c r="G8" s="1636">
        <v>88213</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6765</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4202502</v>
      </c>
      <c r="D12" s="1683">
        <f t="shared" si="0"/>
        <v>802498</v>
      </c>
      <c r="E12" s="1683">
        <f t="shared" si="0"/>
        <v>521632</v>
      </c>
      <c r="F12" s="1683">
        <f t="shared" si="0"/>
        <v>97591</v>
      </c>
      <c r="G12" s="1683">
        <f t="shared" si="0"/>
        <v>252295</v>
      </c>
      <c r="H12" s="1683">
        <f t="shared" si="0"/>
        <v>0</v>
      </c>
      <c r="I12" s="1683">
        <f t="shared" si="0"/>
        <v>6057</v>
      </c>
      <c r="J12" s="1683">
        <f t="shared" si="0"/>
        <v>50812</v>
      </c>
      <c r="K12" s="1644">
        <f t="shared" si="0"/>
        <v>4915</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104040</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104040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130485</v>
      </c>
      <c r="D65" s="1623">
        <v>167</v>
      </c>
      <c r="E65" s="1623">
        <v>0</v>
      </c>
      <c r="F65" s="1624">
        <v>0</v>
      </c>
      <c r="G65" s="1623">
        <v>0</v>
      </c>
      <c r="H65" s="1623">
        <v>0</v>
      </c>
      <c r="I65" s="1623">
        <v>630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130485</v>
      </c>
      <c r="D67" s="1644">
        <f t="shared" ref="D67:K67" si="2">SUM(D65:D66)</f>
        <v>167</v>
      </c>
      <c r="E67" s="1644">
        <f t="shared" si="2"/>
        <v>0</v>
      </c>
      <c r="F67" s="1644">
        <f t="shared" si="2"/>
        <v>0</v>
      </c>
      <c r="G67" s="1644">
        <f t="shared" si="2"/>
        <v>0</v>
      </c>
      <c r="H67" s="1644">
        <f t="shared" si="2"/>
        <v>0</v>
      </c>
      <c r="I67" s="1644">
        <f t="shared" si="2"/>
        <v>630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33290</v>
      </c>
      <c r="D69" s="1625"/>
      <c r="E69" s="1625"/>
      <c r="F69" s="1625"/>
      <c r="G69" s="1625"/>
      <c r="H69" s="1625"/>
      <c r="I69" s="1625"/>
      <c r="J69" s="1625"/>
      <c r="K69" s="1625"/>
    </row>
    <row r="70" spans="1:11" ht="12.75" customHeight="1" x14ac:dyDescent="0.2">
      <c r="A70" s="427" t="s">
        <v>990</v>
      </c>
      <c r="B70" s="429">
        <v>1612</v>
      </c>
      <c r="C70" s="1682">
        <v>548</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46</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33884</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2681</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7447</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10128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59846</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59846</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52000</v>
      </c>
      <c r="E95" s="1667"/>
      <c r="F95" s="1667"/>
      <c r="G95" s="1667"/>
      <c r="H95" s="1667"/>
      <c r="I95" s="1667"/>
      <c r="J95" s="1667"/>
      <c r="K95" s="1667"/>
    </row>
    <row r="96" spans="1:11" ht="12.75" customHeight="1" x14ac:dyDescent="0.2">
      <c r="A96" s="427" t="s">
        <v>388</v>
      </c>
      <c r="B96" s="429">
        <v>1920</v>
      </c>
      <c r="C96" s="1682">
        <v>3971</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34</v>
      </c>
      <c r="D99" s="1623">
        <v>0</v>
      </c>
      <c r="E99" s="1623">
        <v>0</v>
      </c>
      <c r="F99" s="1623">
        <v>0</v>
      </c>
      <c r="G99" s="1623">
        <v>0</v>
      </c>
      <c r="H99" s="1623">
        <v>0</v>
      </c>
      <c r="I99" s="1625"/>
      <c r="J99" s="1624">
        <v>0</v>
      </c>
      <c r="K99" s="1623">
        <v>0</v>
      </c>
    </row>
    <row r="100" spans="1:12" ht="12.75" customHeight="1" x14ac:dyDescent="0.2">
      <c r="A100" s="427" t="s">
        <v>243</v>
      </c>
      <c r="B100" s="429">
        <v>1960</v>
      </c>
      <c r="C100" s="1648">
        <v>12996</v>
      </c>
      <c r="D100" s="1648">
        <v>2426</v>
      </c>
      <c r="E100" s="1648">
        <v>1597</v>
      </c>
      <c r="F100" s="1648">
        <v>149</v>
      </c>
      <c r="G100" s="1648">
        <v>895</v>
      </c>
      <c r="H100" s="1648">
        <v>0</v>
      </c>
      <c r="I100" s="1624">
        <v>5</v>
      </c>
      <c r="J100" s="1648">
        <v>158</v>
      </c>
      <c r="K100" s="1624">
        <v>15</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10980</v>
      </c>
      <c r="D107" s="1623">
        <v>22639</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27981</v>
      </c>
      <c r="D108" s="1683">
        <f t="shared" ref="D108:K108" si="3">SUM(D95:D107)</f>
        <v>77065</v>
      </c>
      <c r="E108" s="1683">
        <f t="shared" si="3"/>
        <v>1597</v>
      </c>
      <c r="F108" s="1683">
        <f t="shared" si="3"/>
        <v>149</v>
      </c>
      <c r="G108" s="1683">
        <f t="shared" si="3"/>
        <v>895</v>
      </c>
      <c r="H108" s="1683">
        <f t="shared" si="3"/>
        <v>0</v>
      </c>
      <c r="I108" s="1683">
        <f t="shared" si="3"/>
        <v>5</v>
      </c>
      <c r="J108" s="1683">
        <f t="shared" si="3"/>
        <v>158</v>
      </c>
      <c r="K108" s="1644">
        <f t="shared" si="3"/>
        <v>15</v>
      </c>
    </row>
    <row r="109" spans="1:12" ht="14.25" thickTop="1" thickBot="1" x14ac:dyDescent="0.25">
      <c r="A109" s="1458" t="s">
        <v>246</v>
      </c>
      <c r="B109" s="1459" t="s">
        <v>566</v>
      </c>
      <c r="C109" s="1691">
        <f t="shared" ref="C109:K109" si="4">SUM(C12,C18,C40,C63,C67,C75,C82,C93,C108,)</f>
        <v>4568866</v>
      </c>
      <c r="D109" s="1691">
        <f t="shared" si="4"/>
        <v>879730</v>
      </c>
      <c r="E109" s="1691">
        <f t="shared" si="4"/>
        <v>523229</v>
      </c>
      <c r="F109" s="1691">
        <f t="shared" si="4"/>
        <v>97740</v>
      </c>
      <c r="G109" s="1691">
        <f t="shared" si="4"/>
        <v>253190</v>
      </c>
      <c r="H109" s="1691">
        <f t="shared" si="4"/>
        <v>0</v>
      </c>
      <c r="I109" s="1691">
        <f t="shared" si="4"/>
        <v>6692</v>
      </c>
      <c r="J109" s="1691">
        <f t="shared" si="4"/>
        <v>50970</v>
      </c>
      <c r="K109" s="1679">
        <f t="shared" si="4"/>
        <v>4930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992525</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992525</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96958</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96958</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880</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4</v>
      </c>
      <c r="G152" s="1624">
        <v>0</v>
      </c>
      <c r="H152" s="1625"/>
      <c r="I152" s="1625"/>
      <c r="J152" s="1625"/>
      <c r="K152" s="1625"/>
    </row>
    <row r="153" spans="1:11" ht="12.75" customHeight="1" x14ac:dyDescent="0.2">
      <c r="A153" s="427" t="s">
        <v>1050</v>
      </c>
      <c r="B153" s="478">
        <v>3510</v>
      </c>
      <c r="C153" s="1682">
        <v>0</v>
      </c>
      <c r="D153" s="1623">
        <v>0</v>
      </c>
      <c r="E153" s="1690"/>
      <c r="F153" s="1623">
        <v>132846</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132850</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119426</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70280</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287544</v>
      </c>
      <c r="D169" s="1708">
        <f t="shared" si="6"/>
        <v>50000</v>
      </c>
      <c r="E169" s="1708">
        <f t="shared" si="6"/>
        <v>0</v>
      </c>
      <c r="F169" s="1708">
        <f t="shared" si="6"/>
        <v>132850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1280069</v>
      </c>
      <c r="D170" s="1691">
        <f t="shared" si="7"/>
        <v>50000</v>
      </c>
      <c r="E170" s="1691">
        <f t="shared" si="7"/>
        <v>0</v>
      </c>
      <c r="F170" s="1691">
        <f t="shared" si="7"/>
        <v>132850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55785</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8452</v>
      </c>
      <c r="D193" s="1625"/>
      <c r="E193" s="1690"/>
      <c r="F193" s="1625"/>
      <c r="G193" s="1714">
        <v>0</v>
      </c>
      <c r="H193" s="1625"/>
      <c r="I193" s="1625"/>
      <c r="J193" s="1625"/>
      <c r="K193" s="1625"/>
    </row>
    <row r="194" spans="1:11" ht="12.75" customHeight="1" x14ac:dyDescent="0.2">
      <c r="A194" s="427" t="s">
        <v>1437</v>
      </c>
      <c r="B194" s="429">
        <v>4225</v>
      </c>
      <c r="C194" s="1682">
        <v>37048</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101285</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87203</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87203</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5702</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5702</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111040</v>
      </c>
      <c r="D213" s="1623">
        <v>0</v>
      </c>
      <c r="E213" s="1625"/>
      <c r="F213" s="1623">
        <v>0</v>
      </c>
      <c r="G213" s="1623">
        <v>11930</v>
      </c>
      <c r="H213" s="1625"/>
      <c r="I213" s="1625"/>
      <c r="J213" s="1625"/>
      <c r="K213" s="1625"/>
    </row>
    <row r="214" spans="1:11" ht="12.75" customHeight="1" x14ac:dyDescent="0.2">
      <c r="A214" s="427" t="s">
        <v>1047</v>
      </c>
      <c r="B214" s="429">
        <v>4625</v>
      </c>
      <c r="C214" s="1682">
        <v>32202</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143242</v>
      </c>
      <c r="D217" s="1683">
        <f>SUM(D211:D216)</f>
        <v>0</v>
      </c>
      <c r="E217" s="1625"/>
      <c r="F217" s="1683">
        <f>SUM(F211:F216)</f>
        <v>0</v>
      </c>
      <c r="G217" s="1683">
        <f>SUM(G211:G216)</f>
        <v>11930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13159</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11772</v>
      </c>
      <c r="D263" s="1701">
        <v>0</v>
      </c>
      <c r="E263" s="1625"/>
      <c r="F263" s="1701">
        <v>0</v>
      </c>
      <c r="G263" s="1701">
        <v>0</v>
      </c>
      <c r="H263" s="1625"/>
      <c r="I263" s="1625"/>
      <c r="J263" s="1625"/>
      <c r="K263" s="1625"/>
    </row>
    <row r="264" spans="1:11" ht="12.75" customHeight="1" thickTop="1" thickBot="1" x14ac:dyDescent="0.25">
      <c r="A264" s="427" t="s">
        <v>374</v>
      </c>
      <c r="B264" s="429">
        <v>4992</v>
      </c>
      <c r="C264" s="1700">
        <v>51501</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413864</v>
      </c>
      <c r="D266" s="1691">
        <f t="shared" si="10"/>
        <v>0</v>
      </c>
      <c r="E266" s="1691">
        <f t="shared" si="10"/>
        <v>0</v>
      </c>
      <c r="F266" s="1691">
        <f t="shared" si="10"/>
        <v>0</v>
      </c>
      <c r="G266" s="1691">
        <f t="shared" si="10"/>
        <v>11930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413864</v>
      </c>
      <c r="D267" s="1691">
        <f>SUM(D175,D181,D266)</f>
        <v>0</v>
      </c>
      <c r="E267" s="1691">
        <f>SUM(E175,E266)</f>
        <v>0</v>
      </c>
      <c r="F267" s="1691">
        <f t="shared" ref="F267:K267" si="11">SUM(F175,F181,F266)</f>
        <v>0</v>
      </c>
      <c r="G267" s="1691">
        <f t="shared" si="11"/>
        <v>11930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6262799</v>
      </c>
      <c r="D268" s="1691">
        <f t="shared" si="12"/>
        <v>929730</v>
      </c>
      <c r="E268" s="1691">
        <f t="shared" si="12"/>
        <v>523229</v>
      </c>
      <c r="F268" s="1691">
        <f t="shared" si="12"/>
        <v>230590</v>
      </c>
      <c r="G268" s="1691">
        <f t="shared" si="12"/>
        <v>265120</v>
      </c>
      <c r="H268" s="1691">
        <f t="shared" si="12"/>
        <v>0</v>
      </c>
      <c r="I268" s="1691">
        <f t="shared" si="12"/>
        <v>6692</v>
      </c>
      <c r="J268" s="1691">
        <f t="shared" si="12"/>
        <v>50970</v>
      </c>
      <c r="K268" s="1679">
        <f t="shared" si="12"/>
        <v>4930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7" activePane="bottomLeft" state="frozen"/>
      <selection activeCell="C73" sqref="C73"/>
      <selection pane="bottomLeft" activeCell="C73" sqref="C7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8" t="s">
        <v>294</v>
      </c>
      <c r="B3" s="2339"/>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1793465</v>
      </c>
      <c r="D5" s="1623">
        <v>211334</v>
      </c>
      <c r="E5" s="1623">
        <v>0</v>
      </c>
      <c r="F5" s="1623">
        <v>246343</v>
      </c>
      <c r="G5" s="1623">
        <v>12287</v>
      </c>
      <c r="H5" s="1623">
        <v>3371</v>
      </c>
      <c r="I5" s="1624">
        <v>12142</v>
      </c>
      <c r="J5" s="1624">
        <v>0</v>
      </c>
      <c r="K5" s="1722">
        <f>SUM(C5:J5)</f>
        <v>2278942</v>
      </c>
      <c r="L5" s="1623">
        <v>2309098</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65538</v>
      </c>
      <c r="D7" s="1624">
        <v>820</v>
      </c>
      <c r="E7" s="1624">
        <v>2616</v>
      </c>
      <c r="F7" s="1624">
        <v>2013</v>
      </c>
      <c r="G7" s="1624">
        <v>0</v>
      </c>
      <c r="H7" s="1624">
        <v>0</v>
      </c>
      <c r="I7" s="1624">
        <v>0</v>
      </c>
      <c r="J7" s="1624">
        <v>0</v>
      </c>
      <c r="K7" s="1722">
        <f t="shared" ref="K7:K32" si="0">SUM(C7:J7)</f>
        <v>70987</v>
      </c>
      <c r="L7" s="1623">
        <v>72073</v>
      </c>
    </row>
    <row r="8" spans="1:14" x14ac:dyDescent="0.2">
      <c r="A8" s="1319" t="s">
        <v>163</v>
      </c>
      <c r="B8" s="503">
        <v>1200</v>
      </c>
      <c r="C8" s="1623">
        <v>376391</v>
      </c>
      <c r="D8" s="1623">
        <v>29014</v>
      </c>
      <c r="E8" s="1623">
        <v>7220</v>
      </c>
      <c r="F8" s="1623">
        <v>608</v>
      </c>
      <c r="G8" s="1623">
        <v>0</v>
      </c>
      <c r="H8" s="1623">
        <v>0</v>
      </c>
      <c r="I8" s="1624">
        <v>0</v>
      </c>
      <c r="J8" s="1624">
        <v>0</v>
      </c>
      <c r="K8" s="1722">
        <f t="shared" si="0"/>
        <v>413233</v>
      </c>
      <c r="L8" s="1623">
        <v>393689</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168195</v>
      </c>
      <c r="D10" s="1623">
        <v>16633</v>
      </c>
      <c r="E10" s="1623">
        <v>0</v>
      </c>
      <c r="F10" s="1623">
        <v>5444</v>
      </c>
      <c r="G10" s="1623">
        <v>0</v>
      </c>
      <c r="H10" s="1623">
        <v>0</v>
      </c>
      <c r="I10" s="1624">
        <v>0</v>
      </c>
      <c r="J10" s="1624">
        <v>0</v>
      </c>
      <c r="K10" s="1722">
        <f t="shared" si="0"/>
        <v>190272</v>
      </c>
      <c r="L10" s="1623">
        <v>198061</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77287</v>
      </c>
      <c r="D14" s="1623">
        <v>975</v>
      </c>
      <c r="E14" s="1623">
        <v>10191</v>
      </c>
      <c r="F14" s="1623">
        <v>3175</v>
      </c>
      <c r="G14" s="1623">
        <v>0</v>
      </c>
      <c r="H14" s="1623">
        <v>2914</v>
      </c>
      <c r="I14" s="1624">
        <v>0</v>
      </c>
      <c r="J14" s="1624">
        <v>0</v>
      </c>
      <c r="K14" s="1722">
        <f t="shared" si="0"/>
        <v>94542</v>
      </c>
      <c r="L14" s="1623">
        <v>94041</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54998</v>
      </c>
      <c r="D16" s="1623">
        <v>7182</v>
      </c>
      <c r="E16" s="1623">
        <v>0</v>
      </c>
      <c r="F16" s="1623">
        <v>832</v>
      </c>
      <c r="G16" s="1623">
        <v>0</v>
      </c>
      <c r="H16" s="1623">
        <v>0</v>
      </c>
      <c r="I16" s="1624">
        <v>0</v>
      </c>
      <c r="J16" s="1624">
        <v>0</v>
      </c>
      <c r="K16" s="1722">
        <f t="shared" si="0"/>
        <v>63012</v>
      </c>
      <c r="L16" s="1623">
        <v>63013</v>
      </c>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30391</v>
      </c>
      <c r="D18" s="1623">
        <v>416</v>
      </c>
      <c r="E18" s="1623">
        <v>0</v>
      </c>
      <c r="F18" s="1623">
        <v>146</v>
      </c>
      <c r="G18" s="1623">
        <v>0</v>
      </c>
      <c r="H18" s="1623">
        <v>0</v>
      </c>
      <c r="I18" s="1624">
        <v>0</v>
      </c>
      <c r="J18" s="1624">
        <v>0</v>
      </c>
      <c r="K18" s="1722">
        <f t="shared" si="0"/>
        <v>30953</v>
      </c>
      <c r="L18" s="1623">
        <v>33253</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15321</v>
      </c>
      <c r="I21" s="1723"/>
      <c r="J21" s="1632"/>
      <c r="K21" s="1722">
        <f t="shared" si="0"/>
        <v>15321</v>
      </c>
      <c r="L21" s="1627">
        <v>26000</v>
      </c>
    </row>
    <row r="22" spans="1:12" x14ac:dyDescent="0.2">
      <c r="A22" s="1320" t="s">
        <v>735</v>
      </c>
      <c r="B22" s="494" t="s">
        <v>722</v>
      </c>
      <c r="C22" s="1632"/>
      <c r="D22" s="1632"/>
      <c r="E22" s="1632"/>
      <c r="F22" s="1632"/>
      <c r="G22" s="1632"/>
      <c r="H22" s="1629">
        <v>131320</v>
      </c>
      <c r="I22" s="1723"/>
      <c r="J22" s="1632"/>
      <c r="K22" s="1722">
        <f t="shared" si="0"/>
        <v>131320</v>
      </c>
      <c r="L22" s="1627">
        <v>180000</v>
      </c>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2566265</v>
      </c>
      <c r="D33" s="1724">
        <f t="shared" ref="D33:L33" si="1">SUM(D5:D32)</f>
        <v>266374</v>
      </c>
      <c r="E33" s="1724">
        <f t="shared" si="1"/>
        <v>20027</v>
      </c>
      <c r="F33" s="1724">
        <f t="shared" si="1"/>
        <v>258561</v>
      </c>
      <c r="G33" s="1724">
        <f t="shared" si="1"/>
        <v>12287</v>
      </c>
      <c r="H33" s="1724">
        <f t="shared" si="1"/>
        <v>152926</v>
      </c>
      <c r="I33" s="1724">
        <f t="shared" si="1"/>
        <v>12142</v>
      </c>
      <c r="J33" s="1724">
        <f t="shared" si="1"/>
        <v>0</v>
      </c>
      <c r="K33" s="1724">
        <f t="shared" si="1"/>
        <v>3288582</v>
      </c>
      <c r="L33" s="1724">
        <f t="shared" si="1"/>
        <v>3369228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167239</v>
      </c>
      <c r="D36" s="1636">
        <v>39955</v>
      </c>
      <c r="E36" s="1636">
        <v>0</v>
      </c>
      <c r="F36" s="1636">
        <v>130</v>
      </c>
      <c r="G36" s="1636">
        <v>0</v>
      </c>
      <c r="H36" s="1636">
        <v>0</v>
      </c>
      <c r="I36" s="1624">
        <v>0</v>
      </c>
      <c r="J36" s="1624">
        <v>0</v>
      </c>
      <c r="K36" s="1722">
        <f t="shared" ref="K36:K41" si="2">SUM(C36:J36)</f>
        <v>207324</v>
      </c>
      <c r="L36" s="1623">
        <v>215431</v>
      </c>
    </row>
    <row r="37" spans="1:14" x14ac:dyDescent="0.2">
      <c r="A37" s="1319" t="s">
        <v>1083</v>
      </c>
      <c r="B37" s="503">
        <v>2120</v>
      </c>
      <c r="C37" s="1623">
        <v>0</v>
      </c>
      <c r="D37" s="1623">
        <v>6</v>
      </c>
      <c r="E37" s="1623">
        <v>0</v>
      </c>
      <c r="F37" s="1623">
        <v>0</v>
      </c>
      <c r="G37" s="1623">
        <v>0</v>
      </c>
      <c r="H37" s="1623">
        <v>0</v>
      </c>
      <c r="I37" s="1624">
        <v>0</v>
      </c>
      <c r="J37" s="1624">
        <v>0</v>
      </c>
      <c r="K37" s="1722">
        <f t="shared" si="2"/>
        <v>6</v>
      </c>
      <c r="L37" s="1623">
        <v>2436</v>
      </c>
    </row>
    <row r="38" spans="1:14" x14ac:dyDescent="0.2">
      <c r="A38" s="1319" t="s">
        <v>196</v>
      </c>
      <c r="B38" s="503">
        <v>2130</v>
      </c>
      <c r="C38" s="1623">
        <v>74986</v>
      </c>
      <c r="D38" s="1623">
        <v>141</v>
      </c>
      <c r="E38" s="1623">
        <v>0</v>
      </c>
      <c r="F38" s="1623">
        <v>1779</v>
      </c>
      <c r="G38" s="1623">
        <v>0</v>
      </c>
      <c r="H38" s="1623">
        <v>0</v>
      </c>
      <c r="I38" s="1624">
        <v>0</v>
      </c>
      <c r="J38" s="1624">
        <v>0</v>
      </c>
      <c r="K38" s="1722">
        <f t="shared" si="2"/>
        <v>76906</v>
      </c>
      <c r="L38" s="1623">
        <v>82326</v>
      </c>
    </row>
    <row r="39" spans="1:14" x14ac:dyDescent="0.2">
      <c r="A39" s="1319" t="s">
        <v>197</v>
      </c>
      <c r="B39" s="503">
        <v>2140</v>
      </c>
      <c r="C39" s="1623">
        <v>0</v>
      </c>
      <c r="D39" s="1623">
        <v>0</v>
      </c>
      <c r="E39" s="1623">
        <v>58151</v>
      </c>
      <c r="F39" s="1623">
        <v>0</v>
      </c>
      <c r="G39" s="1623">
        <v>0</v>
      </c>
      <c r="H39" s="1623">
        <v>0</v>
      </c>
      <c r="I39" s="1624">
        <v>0</v>
      </c>
      <c r="J39" s="1624">
        <v>0</v>
      </c>
      <c r="K39" s="1722">
        <f t="shared" si="2"/>
        <v>58151</v>
      </c>
      <c r="L39" s="1623">
        <v>66580</v>
      </c>
    </row>
    <row r="40" spans="1:14" x14ac:dyDescent="0.2">
      <c r="A40" s="1319" t="s">
        <v>198</v>
      </c>
      <c r="B40" s="503">
        <v>2150</v>
      </c>
      <c r="C40" s="1623">
        <v>134100</v>
      </c>
      <c r="D40" s="1623">
        <v>23793</v>
      </c>
      <c r="E40" s="1623">
        <v>0</v>
      </c>
      <c r="F40" s="1623">
        <v>2481</v>
      </c>
      <c r="G40" s="1623">
        <v>0</v>
      </c>
      <c r="H40" s="1623">
        <v>0</v>
      </c>
      <c r="I40" s="1624">
        <v>0</v>
      </c>
      <c r="J40" s="1624">
        <v>0</v>
      </c>
      <c r="K40" s="1722">
        <f t="shared" si="2"/>
        <v>160374</v>
      </c>
      <c r="L40" s="1623">
        <v>165833</v>
      </c>
    </row>
    <row r="41" spans="1:14" x14ac:dyDescent="0.2">
      <c r="A41" s="1319" t="s">
        <v>1653</v>
      </c>
      <c r="B41" s="503">
        <v>2190</v>
      </c>
      <c r="C41" s="1623">
        <v>22844</v>
      </c>
      <c r="D41" s="1623">
        <v>333</v>
      </c>
      <c r="E41" s="1623">
        <v>55</v>
      </c>
      <c r="F41" s="1623">
        <v>2914</v>
      </c>
      <c r="G41" s="1623">
        <v>0</v>
      </c>
      <c r="H41" s="1623">
        <v>0</v>
      </c>
      <c r="I41" s="1624">
        <v>0</v>
      </c>
      <c r="J41" s="1624">
        <v>0</v>
      </c>
      <c r="K41" s="1722">
        <f t="shared" si="2"/>
        <v>26146</v>
      </c>
      <c r="L41" s="1623">
        <v>30126</v>
      </c>
    </row>
    <row r="42" spans="1:14" ht="12.75" customHeight="1" thickBot="1" x14ac:dyDescent="0.25">
      <c r="A42" s="1429" t="s">
        <v>556</v>
      </c>
      <c r="B42" s="1430" t="s">
        <v>711</v>
      </c>
      <c r="C42" s="1724">
        <f>SUM(C36:C41)</f>
        <v>399169</v>
      </c>
      <c r="D42" s="1724">
        <f t="shared" ref="D42:L42" si="3">SUM(D36:D41)</f>
        <v>64228</v>
      </c>
      <c r="E42" s="1724">
        <f t="shared" si="3"/>
        <v>58206</v>
      </c>
      <c r="F42" s="1724">
        <f t="shared" si="3"/>
        <v>7304</v>
      </c>
      <c r="G42" s="1724">
        <f t="shared" si="3"/>
        <v>0</v>
      </c>
      <c r="H42" s="1724">
        <f t="shared" si="3"/>
        <v>0</v>
      </c>
      <c r="I42" s="1724">
        <f t="shared" si="3"/>
        <v>0</v>
      </c>
      <c r="J42" s="1724">
        <f t="shared" si="3"/>
        <v>0</v>
      </c>
      <c r="K42" s="1724">
        <f t="shared" si="3"/>
        <v>528907</v>
      </c>
      <c r="L42" s="1724">
        <f t="shared" si="3"/>
        <v>562732</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88695</v>
      </c>
      <c r="D44" s="1636">
        <v>16830</v>
      </c>
      <c r="E44" s="1636">
        <v>26737</v>
      </c>
      <c r="F44" s="1636">
        <v>1863</v>
      </c>
      <c r="G44" s="1636">
        <v>0</v>
      </c>
      <c r="H44" s="1636">
        <v>0</v>
      </c>
      <c r="I44" s="1624">
        <v>0</v>
      </c>
      <c r="J44" s="1624">
        <v>0</v>
      </c>
      <c r="K44" s="1728">
        <f>SUM(C44:J44)</f>
        <v>134125</v>
      </c>
      <c r="L44" s="1636">
        <v>141459</v>
      </c>
    </row>
    <row r="45" spans="1:14" x14ac:dyDescent="0.2">
      <c r="A45" s="1319" t="s">
        <v>810</v>
      </c>
      <c r="B45" s="503">
        <v>2220</v>
      </c>
      <c r="C45" s="1623">
        <v>134722</v>
      </c>
      <c r="D45" s="1623">
        <v>22854</v>
      </c>
      <c r="E45" s="1623">
        <v>0</v>
      </c>
      <c r="F45" s="1623">
        <v>9029</v>
      </c>
      <c r="G45" s="1623">
        <v>0</v>
      </c>
      <c r="H45" s="1623">
        <v>0</v>
      </c>
      <c r="I45" s="1624">
        <v>0</v>
      </c>
      <c r="J45" s="1624">
        <v>0</v>
      </c>
      <c r="K45" s="1728">
        <f>SUM(C45:J45)</f>
        <v>166605</v>
      </c>
      <c r="L45" s="1623">
        <v>165531</v>
      </c>
    </row>
    <row r="46" spans="1:14" x14ac:dyDescent="0.2">
      <c r="A46" s="1319" t="s">
        <v>811</v>
      </c>
      <c r="B46" s="503">
        <v>2230</v>
      </c>
      <c r="C46" s="1623">
        <v>456</v>
      </c>
      <c r="D46" s="1623">
        <v>7</v>
      </c>
      <c r="E46" s="1623">
        <v>0</v>
      </c>
      <c r="F46" s="1623">
        <v>7497</v>
      </c>
      <c r="G46" s="1623">
        <v>0</v>
      </c>
      <c r="H46" s="1623">
        <v>0</v>
      </c>
      <c r="I46" s="1624">
        <v>0</v>
      </c>
      <c r="J46" s="1624">
        <v>0</v>
      </c>
      <c r="K46" s="1728">
        <f>SUM(C46:J46)</f>
        <v>7960</v>
      </c>
      <c r="L46" s="1623">
        <v>8006</v>
      </c>
    </row>
    <row r="47" spans="1:14" ht="12.75" customHeight="1" thickBot="1" x14ac:dyDescent="0.25">
      <c r="A47" s="1429" t="s">
        <v>557</v>
      </c>
      <c r="B47" s="1430" t="s">
        <v>32</v>
      </c>
      <c r="C47" s="1724">
        <f>SUM(C44:C46)</f>
        <v>223873</v>
      </c>
      <c r="D47" s="1724">
        <f t="shared" ref="D47:K47" si="4">SUM(D44:D46)</f>
        <v>39691</v>
      </c>
      <c r="E47" s="1724">
        <f t="shared" si="4"/>
        <v>26737</v>
      </c>
      <c r="F47" s="1724">
        <f t="shared" si="4"/>
        <v>18389</v>
      </c>
      <c r="G47" s="1724">
        <f t="shared" si="4"/>
        <v>0</v>
      </c>
      <c r="H47" s="1724">
        <f t="shared" si="4"/>
        <v>0</v>
      </c>
      <c r="I47" s="1724">
        <f t="shared" si="4"/>
        <v>0</v>
      </c>
      <c r="J47" s="1724">
        <f t="shared" si="4"/>
        <v>0</v>
      </c>
      <c r="K47" s="1724">
        <f t="shared" si="4"/>
        <v>308690</v>
      </c>
      <c r="L47" s="1724">
        <f>SUM(L44:L46)</f>
        <v>314996</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3375</v>
      </c>
      <c r="D49" s="1636">
        <v>0</v>
      </c>
      <c r="E49" s="1636">
        <v>51869</v>
      </c>
      <c r="F49" s="1636">
        <v>18824</v>
      </c>
      <c r="G49" s="1636">
        <v>0</v>
      </c>
      <c r="H49" s="1636">
        <v>5758</v>
      </c>
      <c r="I49" s="1624">
        <v>0</v>
      </c>
      <c r="J49" s="1624">
        <v>0</v>
      </c>
      <c r="K49" s="1728">
        <f>SUM(C49:J49)</f>
        <v>79826</v>
      </c>
      <c r="L49" s="1636">
        <v>96803</v>
      </c>
    </row>
    <row r="50" spans="1:14" x14ac:dyDescent="0.2">
      <c r="A50" s="1319" t="s">
        <v>813</v>
      </c>
      <c r="B50" s="503">
        <v>2320</v>
      </c>
      <c r="C50" s="1623">
        <v>209822</v>
      </c>
      <c r="D50" s="1623">
        <v>30201</v>
      </c>
      <c r="E50" s="1623">
        <v>284</v>
      </c>
      <c r="F50" s="1623">
        <v>0</v>
      </c>
      <c r="G50" s="1623">
        <v>0</v>
      </c>
      <c r="H50" s="1623">
        <v>2314</v>
      </c>
      <c r="I50" s="1624">
        <v>0</v>
      </c>
      <c r="J50" s="1624">
        <v>0</v>
      </c>
      <c r="K50" s="1728">
        <f>SUM(C50:J50)</f>
        <v>242621</v>
      </c>
      <c r="L50" s="1623">
        <v>243993</v>
      </c>
    </row>
    <row r="51" spans="1:14" x14ac:dyDescent="0.2">
      <c r="A51" s="1319" t="s">
        <v>42</v>
      </c>
      <c r="B51" s="503">
        <v>2330</v>
      </c>
      <c r="C51" s="1623">
        <v>1500</v>
      </c>
      <c r="D51" s="1623">
        <v>0</v>
      </c>
      <c r="E51" s="1623">
        <v>0</v>
      </c>
      <c r="F51" s="1623">
        <v>0</v>
      </c>
      <c r="G51" s="1623">
        <v>0</v>
      </c>
      <c r="H51" s="1623">
        <v>0</v>
      </c>
      <c r="I51" s="1624">
        <v>0</v>
      </c>
      <c r="J51" s="1624">
        <v>0</v>
      </c>
      <c r="K51" s="1728">
        <f>SUM(C51:J51)</f>
        <v>1500</v>
      </c>
      <c r="L51" s="1623">
        <v>1500</v>
      </c>
    </row>
    <row r="52" spans="1:14" ht="22.5" x14ac:dyDescent="0.2">
      <c r="A52" s="1320" t="s">
        <v>295</v>
      </c>
      <c r="B52" s="511" t="s">
        <v>363</v>
      </c>
      <c r="C52" s="1629" t="s">
        <v>1161</v>
      </c>
      <c r="D52" s="1629" t="s">
        <v>1161</v>
      </c>
      <c r="E52" s="1629">
        <v>234</v>
      </c>
      <c r="F52" s="1629" t="s">
        <v>1161</v>
      </c>
      <c r="G52" s="1629" t="s">
        <v>1161</v>
      </c>
      <c r="H52" s="1629" t="s">
        <v>1161</v>
      </c>
      <c r="I52" s="1629" t="s">
        <v>1161</v>
      </c>
      <c r="J52" s="1629" t="s">
        <v>1161</v>
      </c>
      <c r="K52" s="1728">
        <f>SUM(C52:J52)</f>
        <v>234</v>
      </c>
      <c r="L52" s="1629">
        <v>2500</v>
      </c>
    </row>
    <row r="53" spans="1:14" ht="12.75" customHeight="1" thickBot="1" x14ac:dyDescent="0.25">
      <c r="A53" s="1429" t="s">
        <v>712</v>
      </c>
      <c r="B53" s="1430" t="s">
        <v>33</v>
      </c>
      <c r="C53" s="1724">
        <f>SUM(C49:C52)</f>
        <v>214697</v>
      </c>
      <c r="D53" s="1724">
        <f t="shared" ref="D53:L53" si="5">SUM(D49:D52)</f>
        <v>30201</v>
      </c>
      <c r="E53" s="1724">
        <f t="shared" si="5"/>
        <v>52387</v>
      </c>
      <c r="F53" s="1724">
        <f t="shared" si="5"/>
        <v>18824</v>
      </c>
      <c r="G53" s="1724">
        <f t="shared" si="5"/>
        <v>0</v>
      </c>
      <c r="H53" s="1724">
        <f t="shared" si="5"/>
        <v>8072</v>
      </c>
      <c r="I53" s="1724">
        <f t="shared" si="5"/>
        <v>0</v>
      </c>
      <c r="J53" s="1724">
        <f t="shared" si="5"/>
        <v>0</v>
      </c>
      <c r="K53" s="1724">
        <f t="shared" si="5"/>
        <v>324181</v>
      </c>
      <c r="L53" s="1724">
        <f t="shared" si="5"/>
        <v>344796</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297300</v>
      </c>
      <c r="D55" s="1636">
        <v>70496</v>
      </c>
      <c r="E55" s="1636">
        <v>6685</v>
      </c>
      <c r="F55" s="1636">
        <v>8709</v>
      </c>
      <c r="G55" s="1636">
        <v>0</v>
      </c>
      <c r="H55" s="1636">
        <v>0</v>
      </c>
      <c r="I55" s="1624">
        <v>0</v>
      </c>
      <c r="J55" s="1624">
        <v>0</v>
      </c>
      <c r="K55" s="1728">
        <f>SUM(C55:J55)</f>
        <v>383190</v>
      </c>
      <c r="L55" s="1636">
        <v>393101</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297300</v>
      </c>
      <c r="D57" s="1729">
        <f t="shared" ref="D57:K57" si="6">SUM(D55:D56)</f>
        <v>70496</v>
      </c>
      <c r="E57" s="1729">
        <f t="shared" si="6"/>
        <v>6685</v>
      </c>
      <c r="F57" s="1729">
        <f t="shared" si="6"/>
        <v>8709</v>
      </c>
      <c r="G57" s="1729">
        <f t="shared" si="6"/>
        <v>0</v>
      </c>
      <c r="H57" s="1729">
        <f t="shared" si="6"/>
        <v>0</v>
      </c>
      <c r="I57" s="1729">
        <f t="shared" si="6"/>
        <v>0</v>
      </c>
      <c r="J57" s="1729">
        <f t="shared" si="6"/>
        <v>0</v>
      </c>
      <c r="K57" s="1729">
        <f t="shared" si="6"/>
        <v>383190</v>
      </c>
      <c r="L57" s="1724">
        <f>SUM(L55:L56)</f>
        <v>393101</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33659</v>
      </c>
      <c r="D59" s="1636">
        <v>4553</v>
      </c>
      <c r="E59" s="1636">
        <v>0</v>
      </c>
      <c r="F59" s="1636">
        <v>0</v>
      </c>
      <c r="G59" s="1636">
        <v>0</v>
      </c>
      <c r="H59" s="1636">
        <v>0</v>
      </c>
      <c r="I59" s="1624">
        <v>0</v>
      </c>
      <c r="J59" s="1624">
        <v>0</v>
      </c>
      <c r="K59" s="1728">
        <f t="shared" ref="K59:K64" si="7">SUM(C59:J59)</f>
        <v>38212</v>
      </c>
      <c r="L59" s="1636">
        <v>38074</v>
      </c>
      <c r="M59" s="501"/>
      <c r="N59" s="501"/>
    </row>
    <row r="60" spans="1:14" s="321" customFormat="1" x14ac:dyDescent="0.2">
      <c r="A60" s="1319" t="s">
        <v>460</v>
      </c>
      <c r="B60" s="503">
        <v>2520</v>
      </c>
      <c r="C60" s="1623">
        <v>45989</v>
      </c>
      <c r="D60" s="1623">
        <v>15663</v>
      </c>
      <c r="E60" s="1623">
        <v>33408</v>
      </c>
      <c r="F60" s="1623">
        <v>748</v>
      </c>
      <c r="G60" s="1623">
        <v>0</v>
      </c>
      <c r="H60" s="1623">
        <v>0</v>
      </c>
      <c r="I60" s="1624">
        <v>0</v>
      </c>
      <c r="J60" s="1624">
        <v>0</v>
      </c>
      <c r="K60" s="1728">
        <f t="shared" si="7"/>
        <v>95808</v>
      </c>
      <c r="L60" s="1623">
        <v>99121</v>
      </c>
      <c r="M60" s="501"/>
      <c r="N60" s="501"/>
    </row>
    <row r="61" spans="1:14" s="321" customFormat="1" x14ac:dyDescent="0.2">
      <c r="A61" s="1319" t="s">
        <v>195</v>
      </c>
      <c r="B61" s="503">
        <v>2540</v>
      </c>
      <c r="C61" s="1623">
        <v>0</v>
      </c>
      <c r="D61" s="1623">
        <v>0</v>
      </c>
      <c r="E61" s="1623">
        <v>31912</v>
      </c>
      <c r="F61" s="1623">
        <v>1961</v>
      </c>
      <c r="G61" s="1623">
        <v>0</v>
      </c>
      <c r="H61" s="1623">
        <v>0</v>
      </c>
      <c r="I61" s="1624">
        <v>6385</v>
      </c>
      <c r="J61" s="1624">
        <v>0</v>
      </c>
      <c r="K61" s="1728">
        <f t="shared" si="7"/>
        <v>40258</v>
      </c>
      <c r="L61" s="1623">
        <v>44995</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44568</v>
      </c>
      <c r="D63" s="1623">
        <v>0</v>
      </c>
      <c r="E63" s="1623">
        <v>128</v>
      </c>
      <c r="F63" s="1623">
        <v>95452</v>
      </c>
      <c r="G63" s="1623">
        <v>0</v>
      </c>
      <c r="H63" s="1623">
        <v>730</v>
      </c>
      <c r="I63" s="1624">
        <v>114</v>
      </c>
      <c r="J63" s="1624">
        <v>0</v>
      </c>
      <c r="K63" s="1728">
        <f t="shared" si="7"/>
        <v>140992</v>
      </c>
      <c r="L63" s="1623">
        <v>149216</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124216</v>
      </c>
      <c r="D65" s="1724">
        <f t="shared" ref="D65:L65" si="8">SUM(D59:D64)</f>
        <v>20216</v>
      </c>
      <c r="E65" s="1724">
        <f t="shared" si="8"/>
        <v>65448</v>
      </c>
      <c r="F65" s="1724">
        <f t="shared" si="8"/>
        <v>98161</v>
      </c>
      <c r="G65" s="1724">
        <f t="shared" si="8"/>
        <v>0</v>
      </c>
      <c r="H65" s="1724">
        <f t="shared" si="8"/>
        <v>730</v>
      </c>
      <c r="I65" s="1724">
        <f t="shared" si="8"/>
        <v>6499</v>
      </c>
      <c r="J65" s="1724">
        <f t="shared" si="8"/>
        <v>0</v>
      </c>
      <c r="K65" s="1724">
        <f t="shared" si="8"/>
        <v>315270</v>
      </c>
      <c r="L65" s="1724">
        <f t="shared" si="8"/>
        <v>331406</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806</v>
      </c>
      <c r="B74" s="1433">
        <v>2000</v>
      </c>
      <c r="C74" s="1731">
        <f>SUM(C42,C47,C53,C57,C65,C72,C73)</f>
        <v>1259255</v>
      </c>
      <c r="D74" s="1731">
        <f t="shared" ref="D74:K74" si="10">SUM(D42,D47,D53,D57,D65,D72,D73)</f>
        <v>224832</v>
      </c>
      <c r="E74" s="1731">
        <f t="shared" si="10"/>
        <v>209463</v>
      </c>
      <c r="F74" s="1731">
        <f t="shared" si="10"/>
        <v>151387</v>
      </c>
      <c r="G74" s="1731">
        <f t="shared" si="10"/>
        <v>0</v>
      </c>
      <c r="H74" s="1731">
        <f t="shared" si="10"/>
        <v>8802</v>
      </c>
      <c r="I74" s="1731">
        <f t="shared" si="10"/>
        <v>6499</v>
      </c>
      <c r="J74" s="1731">
        <f t="shared" si="10"/>
        <v>0</v>
      </c>
      <c r="K74" s="1731">
        <f t="shared" si="10"/>
        <v>1860238</v>
      </c>
      <c r="L74" s="1731">
        <f>SUM(L42,L47,L53,L57,L65,L72,L73)</f>
        <v>1947031</v>
      </c>
    </row>
    <row r="75" spans="1:14" s="254" customFormat="1" ht="15.75" customHeight="1" thickTop="1" thickBot="1" x14ac:dyDescent="0.25">
      <c r="A75" s="1393" t="s">
        <v>47</v>
      </c>
      <c r="B75" s="1394" t="s">
        <v>571</v>
      </c>
      <c r="C75" s="1699">
        <v>10094</v>
      </c>
      <c r="D75" s="1699">
        <v>4</v>
      </c>
      <c r="E75" s="1699">
        <v>0</v>
      </c>
      <c r="F75" s="1699">
        <v>93</v>
      </c>
      <c r="G75" s="1699">
        <v>0</v>
      </c>
      <c r="H75" s="1699">
        <v>0</v>
      </c>
      <c r="I75" s="1677">
        <v>0</v>
      </c>
      <c r="J75" s="1677">
        <v>0</v>
      </c>
      <c r="K75" s="1724">
        <f>SUM(C75:J75)</f>
        <v>10191</v>
      </c>
      <c r="L75" s="1701">
        <v>58412</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645252</v>
      </c>
      <c r="F79" s="1723"/>
      <c r="G79" s="1723"/>
      <c r="H79" s="1623">
        <v>0</v>
      </c>
      <c r="I79" s="1632"/>
      <c r="J79" s="1632"/>
      <c r="K79" s="1722">
        <f t="shared" si="11"/>
        <v>645252</v>
      </c>
      <c r="L79" s="1623">
        <v>609522</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645252</v>
      </c>
      <c r="F84" s="1723"/>
      <c r="G84" s="1723"/>
      <c r="H84" s="1724">
        <f>SUM(H78:H83)</f>
        <v>0</v>
      </c>
      <c r="I84" s="1632"/>
      <c r="J84" s="1632"/>
      <c r="K84" s="1724">
        <f>SUM(K78:K83)</f>
        <v>645252</v>
      </c>
      <c r="L84" s="1724">
        <f>SUM(L78:L83)</f>
        <v>609522</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92913</v>
      </c>
      <c r="I86" s="1632"/>
      <c r="J86" s="1632"/>
      <c r="K86" s="1731">
        <f t="shared" ref="K86:K98" si="12">H86</f>
        <v>92913</v>
      </c>
      <c r="L86" s="1676">
        <v>145000</v>
      </c>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92913</v>
      </c>
      <c r="I92" s="1632"/>
      <c r="J92" s="1632"/>
      <c r="K92" s="1731">
        <f t="shared" si="12"/>
        <v>92913</v>
      </c>
      <c r="L92" s="1724">
        <f>SUM(L85:L91)</f>
        <v>145000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645252</v>
      </c>
      <c r="F102" s="1723"/>
      <c r="G102" s="1723"/>
      <c r="H102" s="1731">
        <f>SUM(H84,H92,H100,H101)</f>
        <v>92913</v>
      </c>
      <c r="I102" s="1632"/>
      <c r="J102" s="1632"/>
      <c r="K102" s="1731">
        <f>SUM(K84,K92,K100,K101)</f>
        <v>738165</v>
      </c>
      <c r="L102" s="1731">
        <f>SUM(L84,L92,L100,L101)</f>
        <v>754522</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3835614</v>
      </c>
      <c r="D114" s="1724">
        <f t="shared" ref="D114:K114" si="13">SUM(D33,D74,D75,D102,D112,D113)</f>
        <v>491210</v>
      </c>
      <c r="E114" s="1724">
        <f t="shared" si="13"/>
        <v>874742</v>
      </c>
      <c r="F114" s="1724">
        <f t="shared" si="13"/>
        <v>410041</v>
      </c>
      <c r="G114" s="1724">
        <f t="shared" si="13"/>
        <v>12287</v>
      </c>
      <c r="H114" s="1724">
        <f>SUM(H33,H74,H75,H102,H112,H113)</f>
        <v>254641</v>
      </c>
      <c r="I114" s="1724">
        <f t="shared" si="13"/>
        <v>18641</v>
      </c>
      <c r="J114" s="1724">
        <f t="shared" si="13"/>
        <v>0</v>
      </c>
      <c r="K114" s="1724">
        <f t="shared" si="13"/>
        <v>5897176</v>
      </c>
      <c r="L114" s="1724">
        <f>SUM(L33,L74,L75,L102,L112,L113)</f>
        <v>6129193</v>
      </c>
    </row>
    <row r="115" spans="1:14" ht="13.5" thickTop="1" x14ac:dyDescent="0.2">
      <c r="A115" s="2330" t="s">
        <v>989</v>
      </c>
      <c r="B115" s="2331"/>
      <c r="C115" s="1725"/>
      <c r="D115" s="1725"/>
      <c r="E115" s="1725"/>
      <c r="F115" s="1725"/>
      <c r="G115" s="1725"/>
      <c r="H115" s="1725"/>
      <c r="I115" s="1725"/>
      <c r="J115" s="1725"/>
      <c r="K115" s="1739">
        <f>'Revenues 9-14'!C268-'Expenditures 15-22'!K114</f>
        <v>365623</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5" t="s">
        <v>293</v>
      </c>
      <c r="B117" s="2336"/>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248513</v>
      </c>
      <c r="D124" s="1623">
        <v>60171</v>
      </c>
      <c r="E124" s="1623">
        <v>179049</v>
      </c>
      <c r="F124" s="1623">
        <v>214625</v>
      </c>
      <c r="G124" s="1623">
        <v>147955</v>
      </c>
      <c r="H124" s="1623">
        <v>0</v>
      </c>
      <c r="I124" s="1624">
        <v>11218</v>
      </c>
      <c r="J124" s="1624">
        <v>0</v>
      </c>
      <c r="K124" s="1724">
        <f>SUM(C124:J124)</f>
        <v>861531</v>
      </c>
      <c r="L124" s="1623">
        <v>960427</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248513</v>
      </c>
      <c r="D127" s="1724">
        <f t="shared" ref="D127:L127" si="14">SUM(D122:D126)</f>
        <v>60171</v>
      </c>
      <c r="E127" s="1724">
        <f t="shared" si="14"/>
        <v>179049</v>
      </c>
      <c r="F127" s="1724">
        <f t="shared" si="14"/>
        <v>214625</v>
      </c>
      <c r="G127" s="1724">
        <f t="shared" si="14"/>
        <v>147955</v>
      </c>
      <c r="H127" s="1724">
        <f t="shared" si="14"/>
        <v>0</v>
      </c>
      <c r="I127" s="1724">
        <f t="shared" si="14"/>
        <v>11218</v>
      </c>
      <c r="J127" s="1724">
        <f t="shared" si="14"/>
        <v>0</v>
      </c>
      <c r="K127" s="1724">
        <f t="shared" si="14"/>
        <v>861531</v>
      </c>
      <c r="L127" s="1724">
        <f t="shared" si="14"/>
        <v>960427</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248513</v>
      </c>
      <c r="D129" s="1731">
        <f t="shared" ref="D129:L129" si="15">SUM(D120,D127,D128)</f>
        <v>60171</v>
      </c>
      <c r="E129" s="1731">
        <f t="shared" si="15"/>
        <v>179049</v>
      </c>
      <c r="F129" s="1731">
        <f t="shared" si="15"/>
        <v>214625</v>
      </c>
      <c r="G129" s="1731">
        <f t="shared" si="15"/>
        <v>147955</v>
      </c>
      <c r="H129" s="1731">
        <f t="shared" si="15"/>
        <v>0</v>
      </c>
      <c r="I129" s="1731">
        <f t="shared" si="15"/>
        <v>11218</v>
      </c>
      <c r="J129" s="1731">
        <f t="shared" si="15"/>
        <v>0</v>
      </c>
      <c r="K129" s="1731">
        <f t="shared" si="15"/>
        <v>861531</v>
      </c>
      <c r="L129" s="1731">
        <f t="shared" si="15"/>
        <v>960427</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7" t="s">
        <v>616</v>
      </c>
      <c r="B151" s="2327"/>
      <c r="C151" s="1724">
        <f>SUM(C129,C130,C139,C149,C150)</f>
        <v>248513</v>
      </c>
      <c r="D151" s="1724">
        <f t="shared" ref="D151:K151" si="16">SUM(D129,D130,D139,D149,D150)</f>
        <v>60171</v>
      </c>
      <c r="E151" s="1724">
        <f t="shared" si="16"/>
        <v>179049</v>
      </c>
      <c r="F151" s="1724">
        <f t="shared" si="16"/>
        <v>214625</v>
      </c>
      <c r="G151" s="1724">
        <f t="shared" si="16"/>
        <v>147955</v>
      </c>
      <c r="H151" s="1724">
        <f t="shared" si="16"/>
        <v>0</v>
      </c>
      <c r="I151" s="1724">
        <f t="shared" si="16"/>
        <v>11218</v>
      </c>
      <c r="J151" s="1724">
        <f t="shared" si="16"/>
        <v>0</v>
      </c>
      <c r="K151" s="1724">
        <f t="shared" si="16"/>
        <v>861531</v>
      </c>
      <c r="L151" s="1724">
        <f>SUM(L129,L130,L139,L149,L150)</f>
        <v>960427</v>
      </c>
    </row>
    <row r="152" spans="1:14" ht="12.75" customHeight="1" thickTop="1" x14ac:dyDescent="0.2">
      <c r="A152" s="2350" t="s">
        <v>1170</v>
      </c>
      <c r="B152" s="2351"/>
      <c r="C152" s="1725"/>
      <c r="D152" s="1725"/>
      <c r="E152" s="1725"/>
      <c r="F152" s="1725"/>
      <c r="G152" s="1725"/>
      <c r="H152" s="1725"/>
      <c r="I152" s="1725"/>
      <c r="J152" s="1723"/>
      <c r="K152" s="1739">
        <f>'Revenues 9-14'!D268-'Expenditures 15-22'!K151</f>
        <v>68199</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5" t="s">
        <v>617</v>
      </c>
      <c r="B154" s="233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97040</v>
      </c>
      <c r="I169" s="1723"/>
      <c r="J169" s="1723"/>
      <c r="K169" s="1722">
        <f>SUM(C169:H169)</f>
        <v>97040</v>
      </c>
      <c r="L169" s="1745">
        <v>96321</v>
      </c>
    </row>
    <row r="170" spans="1:14" ht="33.75" customHeight="1" x14ac:dyDescent="0.2">
      <c r="A170" s="543" t="s">
        <v>1654</v>
      </c>
      <c r="B170" s="545" t="s">
        <v>31</v>
      </c>
      <c r="C170" s="1723"/>
      <c r="D170" s="1723"/>
      <c r="E170" s="1723"/>
      <c r="F170" s="1723"/>
      <c r="G170" s="1723"/>
      <c r="H170" s="1696">
        <v>480000</v>
      </c>
      <c r="I170" s="1723"/>
      <c r="J170" s="1723"/>
      <c r="K170" s="1722">
        <f>SUM(C170:J170)</f>
        <v>480000</v>
      </c>
      <c r="L170" s="1696">
        <v>480000</v>
      </c>
    </row>
    <row r="171" spans="1:14" ht="15.75" customHeight="1" x14ac:dyDescent="0.2">
      <c r="A171" s="507" t="s">
        <v>761</v>
      </c>
      <c r="B171" s="546" t="s">
        <v>84</v>
      </c>
      <c r="C171" s="1723"/>
      <c r="D171" s="1723"/>
      <c r="E171" s="1623">
        <v>1438</v>
      </c>
      <c r="F171" s="1723"/>
      <c r="G171" s="1723"/>
      <c r="H171" s="1696">
        <v>0</v>
      </c>
      <c r="I171" s="1632"/>
      <c r="J171" s="1723"/>
      <c r="K171" s="1722">
        <f>SUM(C171:J171)</f>
        <v>1438</v>
      </c>
      <c r="L171" s="1696">
        <v>6309</v>
      </c>
    </row>
    <row r="172" spans="1:14" ht="12.75" customHeight="1" thickBot="1" x14ac:dyDescent="0.25">
      <c r="A172" s="1429" t="s">
        <v>633</v>
      </c>
      <c r="B172" s="1430" t="s">
        <v>489</v>
      </c>
      <c r="C172" s="1723"/>
      <c r="D172" s="1723"/>
      <c r="E172" s="1731">
        <f>SUM(E168,E169,E170,E171)</f>
        <v>1438</v>
      </c>
      <c r="F172" s="1723"/>
      <c r="G172" s="1723"/>
      <c r="H172" s="1731">
        <f>SUM(H168,H169,H170,H171)</f>
        <v>577040</v>
      </c>
      <c r="I172" s="1734"/>
      <c r="J172" s="1723"/>
      <c r="K172" s="1731">
        <f>SUM(K168,K169,K170,K171)</f>
        <v>578478</v>
      </c>
      <c r="L172" s="1731">
        <f>SUM(L168,L169,L170,L171)</f>
        <v>582630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1438</v>
      </c>
      <c r="F174" s="1723"/>
      <c r="G174" s="1723"/>
      <c r="H174" s="1731">
        <f>SUM(H160,H172,H173)</f>
        <v>577040</v>
      </c>
      <c r="I174" s="1734"/>
      <c r="J174" s="1723"/>
      <c r="K174" s="1731">
        <f>SUM(K160,K172,K173)</f>
        <v>578478</v>
      </c>
      <c r="L174" s="1731">
        <f>SUM(L160,L172,L173)</f>
        <v>582630</v>
      </c>
    </row>
    <row r="175" spans="1:14" ht="13.5" thickTop="1" x14ac:dyDescent="0.2">
      <c r="A175" s="2330" t="s">
        <v>989</v>
      </c>
      <c r="B175" s="2331"/>
      <c r="C175" s="1723"/>
      <c r="D175" s="1723"/>
      <c r="E175" s="1723"/>
      <c r="F175" s="1723"/>
      <c r="G175" s="1723"/>
      <c r="H175" s="1725"/>
      <c r="I175" s="1723"/>
      <c r="J175" s="1723"/>
      <c r="K175" s="1739">
        <f>'Revenues 9-14'!E268-'Expenditures 15-22'!K174</f>
        <v>-55249</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0</v>
      </c>
      <c r="D182" s="1623">
        <v>0</v>
      </c>
      <c r="E182" s="1623">
        <v>23605</v>
      </c>
      <c r="F182" s="1623">
        <v>0</v>
      </c>
      <c r="G182" s="1623">
        <v>0</v>
      </c>
      <c r="H182" s="1623">
        <v>0</v>
      </c>
      <c r="I182" s="1624">
        <v>0</v>
      </c>
      <c r="J182" s="1624">
        <v>0</v>
      </c>
      <c r="K182" s="1722">
        <f>SUM(C182:J182)</f>
        <v>23605</v>
      </c>
      <c r="L182" s="1623">
        <v>44253</v>
      </c>
    </row>
    <row r="183" spans="1:14" ht="12.75" customHeight="1" thickBot="1" x14ac:dyDescent="0.25">
      <c r="A183" s="1324" t="s">
        <v>973</v>
      </c>
      <c r="B183" s="551">
        <v>2900</v>
      </c>
      <c r="C183" s="1699">
        <v>0</v>
      </c>
      <c r="D183" s="1699">
        <v>0</v>
      </c>
      <c r="E183" s="1699">
        <v>1710</v>
      </c>
      <c r="F183" s="1699">
        <v>0</v>
      </c>
      <c r="G183" s="1699">
        <v>0</v>
      </c>
      <c r="H183" s="1699">
        <v>0</v>
      </c>
      <c r="I183" s="1678">
        <v>0</v>
      </c>
      <c r="J183" s="1678">
        <v>0</v>
      </c>
      <c r="K183" s="1731">
        <f>SUM(C183:J183)</f>
        <v>1710</v>
      </c>
      <c r="L183" s="1699">
        <v>2600</v>
      </c>
    </row>
    <row r="184" spans="1:14" ht="12.75" customHeight="1" thickTop="1" thickBot="1" x14ac:dyDescent="0.25">
      <c r="A184" s="1442" t="s">
        <v>806</v>
      </c>
      <c r="B184" s="1430" t="s">
        <v>565</v>
      </c>
      <c r="C184" s="1731">
        <f>SUM(C180,C182,C183)</f>
        <v>0</v>
      </c>
      <c r="D184" s="1731">
        <f t="shared" ref="D184:J184" si="17">SUM(D180,D182,D183)</f>
        <v>0</v>
      </c>
      <c r="E184" s="1731">
        <f t="shared" si="17"/>
        <v>25315</v>
      </c>
      <c r="F184" s="1731">
        <f t="shared" si="17"/>
        <v>0</v>
      </c>
      <c r="G184" s="1731">
        <f t="shared" si="17"/>
        <v>0</v>
      </c>
      <c r="H184" s="1731">
        <f t="shared" si="17"/>
        <v>0</v>
      </c>
      <c r="I184" s="1731">
        <f t="shared" si="17"/>
        <v>0</v>
      </c>
      <c r="J184" s="1731">
        <f t="shared" si="17"/>
        <v>0</v>
      </c>
      <c r="K184" s="1731">
        <f>SUM(K180,K182,K183)</f>
        <v>25315</v>
      </c>
      <c r="L184" s="1731">
        <f>SUM(L180, L182:L183)</f>
        <v>46853</v>
      </c>
    </row>
    <row r="185" spans="1:14" ht="15.75" customHeight="1" thickTop="1" thickBot="1" x14ac:dyDescent="0.25">
      <c r="A185" s="1405" t="s">
        <v>933</v>
      </c>
      <c r="B185" s="1394">
        <v>3000</v>
      </c>
      <c r="C185" s="1701">
        <v>0</v>
      </c>
      <c r="D185" s="1701">
        <v>0</v>
      </c>
      <c r="E185" s="1701">
        <v>46</v>
      </c>
      <c r="F185" s="1701">
        <v>0</v>
      </c>
      <c r="G185" s="1701">
        <v>0</v>
      </c>
      <c r="H185" s="1701">
        <v>0</v>
      </c>
      <c r="I185" s="1677">
        <v>0</v>
      </c>
      <c r="J185" s="1677">
        <v>0</v>
      </c>
      <c r="K185" s="1724">
        <f>SUM(C185:J185)</f>
        <v>46</v>
      </c>
      <c r="L185" s="1701">
        <v>50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197625</v>
      </c>
      <c r="F189" s="1723"/>
      <c r="G189" s="1723"/>
      <c r="H189" s="1623">
        <v>0</v>
      </c>
      <c r="I189" s="1632"/>
      <c r="J189" s="1723"/>
      <c r="K189" s="1722">
        <f t="shared" si="18"/>
        <v>197625</v>
      </c>
      <c r="L189" s="1623">
        <v>275000</v>
      </c>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197625</v>
      </c>
      <c r="F194" s="1723"/>
      <c r="G194" s="1723"/>
      <c r="H194" s="1724">
        <f>SUM(H188:H193)</f>
        <v>0</v>
      </c>
      <c r="I194" s="1632"/>
      <c r="J194" s="1723"/>
      <c r="K194" s="1724">
        <f>SUM(K188:K193)</f>
        <v>197625</v>
      </c>
      <c r="L194" s="1724">
        <f>SUM(L188:L193)</f>
        <v>275000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197625</v>
      </c>
      <c r="F196" s="1723"/>
      <c r="G196" s="1723"/>
      <c r="H196" s="1731">
        <f>SUM(H194,H195)</f>
        <v>0</v>
      </c>
      <c r="I196" s="1632"/>
      <c r="J196" s="1723"/>
      <c r="K196" s="1731">
        <f>SUM(K194,K195)</f>
        <v>197625</v>
      </c>
      <c r="L196" s="1731">
        <f>SUM(L194,L195)</f>
        <v>275000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222986</v>
      </c>
      <c r="F210" s="1724">
        <f>SUM(F184,F185)</f>
        <v>0</v>
      </c>
      <c r="G210" s="1724">
        <f>SUM(G184,G185)</f>
        <v>0</v>
      </c>
      <c r="H210" s="1724">
        <f>SUM(H184,H185,H196,H208,H209)</f>
        <v>0</v>
      </c>
      <c r="I210" s="1724">
        <f>SUM(I184,I185)</f>
        <v>0</v>
      </c>
      <c r="J210" s="1724">
        <f>SUM(J184,J185)</f>
        <v>0</v>
      </c>
      <c r="K210" s="1722">
        <f>SUM(K184,K185,K196,K208,K209)</f>
        <v>222986</v>
      </c>
      <c r="L210" s="1724">
        <f>SUM(L184,L185,L196,L208,L209)</f>
        <v>321903</v>
      </c>
    </row>
    <row r="211" spans="1:14" ht="13.5" thickTop="1" x14ac:dyDescent="0.2">
      <c r="A211" s="2330" t="s">
        <v>989</v>
      </c>
      <c r="B211" s="2331"/>
      <c r="C211" s="1725"/>
      <c r="D211" s="1725"/>
      <c r="E211" s="1725"/>
      <c r="F211" s="1725"/>
      <c r="G211" s="1725"/>
      <c r="H211" s="1725"/>
      <c r="I211" s="1723"/>
      <c r="J211" s="1723"/>
      <c r="K211" s="1739">
        <f>'Revenues 9-14'!F268-'Expenditures 15-22'!K210</f>
        <v>7604</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2" t="s">
        <v>959</v>
      </c>
      <c r="B213" s="2353"/>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25501</v>
      </c>
      <c r="E215" s="1723"/>
      <c r="F215" s="1723"/>
      <c r="G215" s="1723"/>
      <c r="H215" s="1723"/>
      <c r="I215" s="1723"/>
      <c r="J215" s="1723"/>
      <c r="K215" s="1722">
        <f>D215</f>
        <v>25501</v>
      </c>
      <c r="L215" s="1623">
        <v>31070</v>
      </c>
    </row>
    <row r="216" spans="1:14" x14ac:dyDescent="0.2">
      <c r="A216" s="1319" t="s">
        <v>162</v>
      </c>
      <c r="B216" s="503" t="s">
        <v>961</v>
      </c>
      <c r="C216" s="1723"/>
      <c r="D216" s="1624">
        <v>3541</v>
      </c>
      <c r="E216" s="1723"/>
      <c r="F216" s="1723"/>
      <c r="G216" s="1723"/>
      <c r="H216" s="1723"/>
      <c r="I216" s="1723"/>
      <c r="J216" s="1723"/>
      <c r="K216" s="1722">
        <f t="shared" ref="K216:K228" si="19">D216</f>
        <v>3541</v>
      </c>
      <c r="L216" s="1623">
        <v>3780</v>
      </c>
    </row>
    <row r="217" spans="1:14" x14ac:dyDescent="0.2">
      <c r="A217" s="1319" t="s">
        <v>163</v>
      </c>
      <c r="B217" s="503">
        <v>1200</v>
      </c>
      <c r="C217" s="1723"/>
      <c r="D217" s="1623">
        <v>19325</v>
      </c>
      <c r="E217" s="1723"/>
      <c r="F217" s="1723"/>
      <c r="G217" s="1723"/>
      <c r="H217" s="1723"/>
      <c r="I217" s="1723"/>
      <c r="J217" s="1723"/>
      <c r="K217" s="1722">
        <f t="shared" si="19"/>
        <v>19325</v>
      </c>
      <c r="L217" s="1623">
        <v>23415</v>
      </c>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6492</v>
      </c>
      <c r="E219" s="1723"/>
      <c r="F219" s="1723"/>
      <c r="G219" s="1723"/>
      <c r="H219" s="1723"/>
      <c r="I219" s="1723"/>
      <c r="J219" s="1723"/>
      <c r="K219" s="1722">
        <f t="shared" si="19"/>
        <v>6492</v>
      </c>
      <c r="L219" s="1623">
        <v>10095</v>
      </c>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2300</v>
      </c>
      <c r="E223" s="1723"/>
      <c r="F223" s="1723"/>
      <c r="G223" s="1723"/>
      <c r="H223" s="1723"/>
      <c r="I223" s="1723"/>
      <c r="J223" s="1723"/>
      <c r="K223" s="1722">
        <f t="shared" si="19"/>
        <v>2300</v>
      </c>
      <c r="L223" s="1623">
        <v>2521</v>
      </c>
    </row>
    <row r="224" spans="1:14" x14ac:dyDescent="0.2">
      <c r="A224" s="1319" t="s">
        <v>958</v>
      </c>
      <c r="B224" s="503">
        <v>1600</v>
      </c>
      <c r="C224" s="1723"/>
      <c r="D224" s="1623">
        <v>0</v>
      </c>
      <c r="E224" s="1723"/>
      <c r="F224" s="1723"/>
      <c r="G224" s="1723"/>
      <c r="H224" s="1723"/>
      <c r="I224" s="1723"/>
      <c r="J224" s="1723"/>
      <c r="K224" s="1722">
        <f t="shared" si="19"/>
        <v>0</v>
      </c>
      <c r="L224" s="1623">
        <v>3125</v>
      </c>
    </row>
    <row r="225" spans="1:12" x14ac:dyDescent="0.2">
      <c r="A225" s="1319" t="s">
        <v>980</v>
      </c>
      <c r="B225" s="503">
        <v>1650</v>
      </c>
      <c r="C225" s="1723"/>
      <c r="D225" s="1623">
        <v>781</v>
      </c>
      <c r="E225" s="1723"/>
      <c r="F225" s="1723"/>
      <c r="G225" s="1723"/>
      <c r="H225" s="1723"/>
      <c r="I225" s="1723"/>
      <c r="J225" s="1723"/>
      <c r="K225" s="1722">
        <f t="shared" si="19"/>
        <v>781</v>
      </c>
      <c r="L225" s="1623">
        <v>797</v>
      </c>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411</v>
      </c>
      <c r="E227" s="1723"/>
      <c r="F227" s="1723"/>
      <c r="G227" s="1723"/>
      <c r="H227" s="1723"/>
      <c r="I227" s="1723"/>
      <c r="J227" s="1723"/>
      <c r="K227" s="1722">
        <f t="shared" si="19"/>
        <v>411</v>
      </c>
      <c r="L227" s="1623">
        <v>472</v>
      </c>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58351</v>
      </c>
      <c r="E229" s="1723"/>
      <c r="F229" s="1723"/>
      <c r="G229" s="1723"/>
      <c r="H229" s="1723"/>
      <c r="I229" s="1723"/>
      <c r="J229" s="1723"/>
      <c r="K229" s="1724">
        <f>SUM(K215:K228)</f>
        <v>58351</v>
      </c>
      <c r="L229" s="1724">
        <f>SUM(L215:L228)</f>
        <v>75275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9892</v>
      </c>
      <c r="E232" s="1723"/>
      <c r="F232" s="1723"/>
      <c r="G232" s="1723"/>
      <c r="H232" s="1723"/>
      <c r="I232" s="1723"/>
      <c r="J232" s="1723"/>
      <c r="K232" s="1722">
        <f t="shared" ref="K232:K237" si="20">D232</f>
        <v>9892</v>
      </c>
      <c r="L232" s="1623">
        <v>10500</v>
      </c>
    </row>
    <row r="233" spans="1:12" x14ac:dyDescent="0.2">
      <c r="A233" s="1319" t="s">
        <v>1083</v>
      </c>
      <c r="B233" s="503">
        <v>2120</v>
      </c>
      <c r="C233" s="1723"/>
      <c r="D233" s="1623">
        <v>0</v>
      </c>
      <c r="E233" s="1723"/>
      <c r="F233" s="1723"/>
      <c r="G233" s="1723"/>
      <c r="H233" s="1723"/>
      <c r="I233" s="1723"/>
      <c r="J233" s="1723"/>
      <c r="K233" s="1722">
        <f t="shared" si="20"/>
        <v>0</v>
      </c>
      <c r="L233" s="1623">
        <v>35</v>
      </c>
    </row>
    <row r="234" spans="1:12" x14ac:dyDescent="0.2">
      <c r="A234" s="1319" t="s">
        <v>196</v>
      </c>
      <c r="B234" s="503">
        <v>2130</v>
      </c>
      <c r="C234" s="1723"/>
      <c r="D234" s="1623">
        <v>15573</v>
      </c>
      <c r="E234" s="1723"/>
      <c r="F234" s="1723"/>
      <c r="G234" s="1723"/>
      <c r="H234" s="1723"/>
      <c r="I234" s="1723"/>
      <c r="J234" s="1723"/>
      <c r="K234" s="1722">
        <f t="shared" si="20"/>
        <v>15573</v>
      </c>
      <c r="L234" s="1623">
        <v>15831</v>
      </c>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588</v>
      </c>
      <c r="E236" s="1723"/>
      <c r="F236" s="1723"/>
      <c r="G236" s="1723"/>
      <c r="H236" s="1723"/>
      <c r="I236" s="1723"/>
      <c r="J236" s="1723"/>
      <c r="K236" s="1722">
        <f t="shared" si="20"/>
        <v>588</v>
      </c>
      <c r="L236" s="1623">
        <v>2024</v>
      </c>
    </row>
    <row r="237" spans="1:12" x14ac:dyDescent="0.2">
      <c r="A237" s="1319" t="s">
        <v>164</v>
      </c>
      <c r="B237" s="503">
        <v>2190</v>
      </c>
      <c r="C237" s="1723"/>
      <c r="D237" s="1623">
        <v>339</v>
      </c>
      <c r="E237" s="1723"/>
      <c r="F237" s="1723"/>
      <c r="G237" s="1723"/>
      <c r="H237" s="1723"/>
      <c r="I237" s="1723"/>
      <c r="J237" s="1723"/>
      <c r="K237" s="1722">
        <f t="shared" si="20"/>
        <v>339</v>
      </c>
      <c r="L237" s="1623">
        <v>9075</v>
      </c>
    </row>
    <row r="238" spans="1:12" ht="12.75" customHeight="1" thickBot="1" x14ac:dyDescent="0.25">
      <c r="A238" s="1429" t="s">
        <v>556</v>
      </c>
      <c r="B238" s="1432" t="s">
        <v>711</v>
      </c>
      <c r="C238" s="1723"/>
      <c r="D238" s="1724">
        <f>SUM(D232:D237)</f>
        <v>26392</v>
      </c>
      <c r="E238" s="1723"/>
      <c r="F238" s="1723"/>
      <c r="G238" s="1723"/>
      <c r="H238" s="1723"/>
      <c r="I238" s="1723"/>
      <c r="J238" s="1723"/>
      <c r="K238" s="1724">
        <f>SUM(K232:K237)</f>
        <v>26392</v>
      </c>
      <c r="L238" s="1724">
        <f>SUM(L232:L237)</f>
        <v>37465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1127</v>
      </c>
      <c r="E240" s="1723"/>
      <c r="F240" s="1723"/>
      <c r="G240" s="1723"/>
      <c r="H240" s="1723"/>
      <c r="I240" s="1723"/>
      <c r="J240" s="1723"/>
      <c r="K240" s="1728">
        <f>D240</f>
        <v>1127</v>
      </c>
      <c r="L240" s="1636">
        <v>1373</v>
      </c>
    </row>
    <row r="241" spans="1:12" x14ac:dyDescent="0.2">
      <c r="A241" s="1319" t="s">
        <v>810</v>
      </c>
      <c r="B241" s="503">
        <v>2220</v>
      </c>
      <c r="C241" s="1723"/>
      <c r="D241" s="1623">
        <v>25134</v>
      </c>
      <c r="E241" s="1723"/>
      <c r="F241" s="1723"/>
      <c r="G241" s="1723"/>
      <c r="H241" s="1723"/>
      <c r="I241" s="1723"/>
      <c r="J241" s="1723"/>
      <c r="K241" s="1728">
        <f>D241</f>
        <v>25134</v>
      </c>
      <c r="L241" s="1623">
        <v>26365</v>
      </c>
    </row>
    <row r="242" spans="1:12" x14ac:dyDescent="0.2">
      <c r="A242" s="1319" t="s">
        <v>811</v>
      </c>
      <c r="B242" s="503">
        <v>2230</v>
      </c>
      <c r="C242" s="1723"/>
      <c r="D242" s="1623">
        <v>0</v>
      </c>
      <c r="E242" s="1723"/>
      <c r="F242" s="1723"/>
      <c r="G242" s="1723"/>
      <c r="H242" s="1723"/>
      <c r="I242" s="1723"/>
      <c r="J242" s="1723"/>
      <c r="K242" s="1728">
        <f>D242</f>
        <v>0</v>
      </c>
      <c r="L242" s="1623">
        <v>9</v>
      </c>
    </row>
    <row r="243" spans="1:12" ht="12.75" customHeight="1" thickBot="1" x14ac:dyDescent="0.25">
      <c r="A243" s="1445" t="s">
        <v>557</v>
      </c>
      <c r="B243" s="1446">
        <v>2200</v>
      </c>
      <c r="C243" s="1723"/>
      <c r="D243" s="1724">
        <f>SUM(D240:D242)</f>
        <v>26261</v>
      </c>
      <c r="E243" s="1723"/>
      <c r="F243" s="1723"/>
      <c r="G243" s="1723"/>
      <c r="H243" s="1723"/>
      <c r="I243" s="1723"/>
      <c r="J243" s="1723"/>
      <c r="K243" s="1724">
        <f>SUM(K240:K242)</f>
        <v>26261</v>
      </c>
      <c r="L243" s="1724">
        <f>SUM(L240:L242)</f>
        <v>27747</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635</v>
      </c>
      <c r="E245" s="1723"/>
      <c r="F245" s="1723"/>
      <c r="G245" s="1723"/>
      <c r="H245" s="1723"/>
      <c r="I245" s="1723"/>
      <c r="J245" s="1723"/>
      <c r="K245" s="1728">
        <f>D245</f>
        <v>635</v>
      </c>
      <c r="L245" s="1636">
        <v>663</v>
      </c>
    </row>
    <row r="246" spans="1:12" x14ac:dyDescent="0.2">
      <c r="A246" s="1319" t="s">
        <v>813</v>
      </c>
      <c r="B246" s="503">
        <v>2320</v>
      </c>
      <c r="C246" s="1723"/>
      <c r="D246" s="1623">
        <v>6393</v>
      </c>
      <c r="E246" s="1723"/>
      <c r="F246" s="1723"/>
      <c r="G246" s="1723"/>
      <c r="H246" s="1723"/>
      <c r="I246" s="1723"/>
      <c r="J246" s="1723"/>
      <c r="K246" s="1728">
        <f t="shared" ref="K246:K256" si="21">D246</f>
        <v>6393</v>
      </c>
      <c r="L246" s="1623">
        <v>6160</v>
      </c>
    </row>
    <row r="247" spans="1:12" x14ac:dyDescent="0.2">
      <c r="A247" s="1319" t="s">
        <v>814</v>
      </c>
      <c r="B247" s="503">
        <v>2330</v>
      </c>
      <c r="C247" s="1723"/>
      <c r="D247" s="1623">
        <v>0</v>
      </c>
      <c r="E247" s="1723"/>
      <c r="F247" s="1723"/>
      <c r="G247" s="1723"/>
      <c r="H247" s="1723"/>
      <c r="I247" s="1723"/>
      <c r="J247" s="1723"/>
      <c r="K247" s="1728">
        <f t="shared" si="21"/>
        <v>0</v>
      </c>
      <c r="L247" s="1623">
        <v>295</v>
      </c>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7028</v>
      </c>
      <c r="E257" s="1723"/>
      <c r="F257" s="1723"/>
      <c r="G257" s="1723"/>
      <c r="H257" s="1723"/>
      <c r="I257" s="1723"/>
      <c r="J257" s="1723"/>
      <c r="K257" s="1724">
        <f>SUM(K245:K256)</f>
        <v>7028</v>
      </c>
      <c r="L257" s="1724">
        <f>SUM(L245:L256)</f>
        <v>7118</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18234</v>
      </c>
      <c r="E259" s="1723"/>
      <c r="F259" s="1723"/>
      <c r="G259" s="1723"/>
      <c r="H259" s="1723"/>
      <c r="I259" s="1723"/>
      <c r="J259" s="1723"/>
      <c r="K259" s="1728">
        <f>D259</f>
        <v>18234</v>
      </c>
      <c r="L259" s="1636">
        <v>21475</v>
      </c>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18234</v>
      </c>
      <c r="E261" s="1723"/>
      <c r="F261" s="1723"/>
      <c r="G261" s="1723"/>
      <c r="H261" s="1723"/>
      <c r="I261" s="1723"/>
      <c r="J261" s="1723"/>
      <c r="K261" s="1724">
        <f>SUM(K259:K260)</f>
        <v>18234</v>
      </c>
      <c r="L261" s="1724">
        <f>SUM(L259:L260)</f>
        <v>21475</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976</v>
      </c>
      <c r="E263" s="1723"/>
      <c r="F263" s="1723"/>
      <c r="G263" s="1723"/>
      <c r="H263" s="1723"/>
      <c r="I263" s="1723"/>
      <c r="J263" s="1723"/>
      <c r="K263" s="1728">
        <f>D263</f>
        <v>976</v>
      </c>
      <c r="L263" s="1636">
        <v>976</v>
      </c>
    </row>
    <row r="264" spans="1:14" x14ac:dyDescent="0.2">
      <c r="A264" s="1319" t="s">
        <v>460</v>
      </c>
      <c r="B264" s="559">
        <v>2520</v>
      </c>
      <c r="C264" s="1723"/>
      <c r="D264" s="1623">
        <v>8413</v>
      </c>
      <c r="E264" s="1723"/>
      <c r="F264" s="1723"/>
      <c r="G264" s="1723"/>
      <c r="H264" s="1723"/>
      <c r="I264" s="1723"/>
      <c r="J264" s="1723"/>
      <c r="K264" s="1728">
        <f t="shared" ref="K264:K269" si="22">D264</f>
        <v>8413</v>
      </c>
      <c r="L264" s="1623">
        <v>9261</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44879</v>
      </c>
      <c r="E266" s="1723"/>
      <c r="F266" s="1723"/>
      <c r="G266" s="1723"/>
      <c r="H266" s="1723"/>
      <c r="I266" s="1723"/>
      <c r="J266" s="1723"/>
      <c r="K266" s="1728">
        <f t="shared" si="22"/>
        <v>44879</v>
      </c>
      <c r="L266" s="1623">
        <v>53612</v>
      </c>
    </row>
    <row r="267" spans="1:14" x14ac:dyDescent="0.2">
      <c r="A267" s="1319" t="s">
        <v>947</v>
      </c>
      <c r="B267" s="503">
        <v>2550</v>
      </c>
      <c r="C267" s="1723"/>
      <c r="D267" s="1623">
        <v>0</v>
      </c>
      <c r="E267" s="1723"/>
      <c r="F267" s="1723"/>
      <c r="G267" s="1723"/>
      <c r="H267" s="1723"/>
      <c r="I267" s="1723"/>
      <c r="J267" s="1723"/>
      <c r="K267" s="1728">
        <f t="shared" si="22"/>
        <v>0</v>
      </c>
      <c r="L267" s="1623"/>
    </row>
    <row r="268" spans="1:14" x14ac:dyDescent="0.2">
      <c r="A268" s="1319" t="s">
        <v>100</v>
      </c>
      <c r="B268" s="503">
        <v>2560</v>
      </c>
      <c r="C268" s="1723"/>
      <c r="D268" s="1623">
        <v>6694</v>
      </c>
      <c r="E268" s="1723"/>
      <c r="F268" s="1723"/>
      <c r="G268" s="1723"/>
      <c r="H268" s="1723"/>
      <c r="I268" s="1723"/>
      <c r="J268" s="1723"/>
      <c r="K268" s="1728">
        <f t="shared" si="22"/>
        <v>6694</v>
      </c>
      <c r="L268" s="1623">
        <v>11071</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60962</v>
      </c>
      <c r="E270" s="1723"/>
      <c r="F270" s="1723"/>
      <c r="G270" s="1723"/>
      <c r="H270" s="1723"/>
      <c r="I270" s="1723"/>
      <c r="J270" s="1723"/>
      <c r="K270" s="1724">
        <f>SUM(K263:K269)</f>
        <v>60962</v>
      </c>
      <c r="L270" s="1724">
        <f>SUM(L263:L269)</f>
        <v>74920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138877</v>
      </c>
      <c r="E279" s="1723"/>
      <c r="F279" s="1723"/>
      <c r="G279" s="1723"/>
      <c r="H279" s="1723"/>
      <c r="I279" s="1723"/>
      <c r="J279" s="1723"/>
      <c r="K279" s="1731">
        <f>SUM(K238,K243,K257,K261,K270,K277,K278)</f>
        <v>138877</v>
      </c>
      <c r="L279" s="1731">
        <f>SUM(L238,L243,L257,L261,L270,L277,L278)</f>
        <v>168725</v>
      </c>
    </row>
    <row r="280" spans="1:12" ht="15.75" customHeight="1" thickTop="1" thickBot="1" x14ac:dyDescent="0.25">
      <c r="A280" s="1407" t="s">
        <v>870</v>
      </c>
      <c r="B280" s="1396">
        <v>3000</v>
      </c>
      <c r="C280" s="1723"/>
      <c r="D280" s="1701">
        <v>759</v>
      </c>
      <c r="E280" s="1723"/>
      <c r="F280" s="1723"/>
      <c r="G280" s="1723"/>
      <c r="H280" s="1723"/>
      <c r="I280" s="1723"/>
      <c r="J280" s="1723"/>
      <c r="K280" s="1737">
        <f>D280</f>
        <v>759</v>
      </c>
      <c r="L280" s="1701">
        <v>2412</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8" t="s">
        <v>502</v>
      </c>
      <c r="B295" s="2349"/>
      <c r="C295" s="1723"/>
      <c r="D295" s="1724">
        <f>SUM(D229,D279,D280,D285)</f>
        <v>197987</v>
      </c>
      <c r="E295" s="1723"/>
      <c r="F295" s="1723"/>
      <c r="G295" s="1723"/>
      <c r="H295" s="1724">
        <f>H293</f>
        <v>0</v>
      </c>
      <c r="I295" s="1723"/>
      <c r="J295" s="1723"/>
      <c r="K295" s="1724">
        <f>SUM(K229,K279,K280,K285,K293,K294)</f>
        <v>197987</v>
      </c>
      <c r="L295" s="1724">
        <f>SUM(L229,L279,L280,L285,L293,L294)</f>
        <v>246412</v>
      </c>
    </row>
    <row r="296" spans="1:14" ht="13.5" thickTop="1" x14ac:dyDescent="0.2">
      <c r="A296" s="2330" t="s">
        <v>989</v>
      </c>
      <c r="B296" s="2331"/>
      <c r="C296" s="1723"/>
      <c r="D296" s="1725"/>
      <c r="E296" s="1723"/>
      <c r="F296" s="1723"/>
      <c r="G296" s="1723"/>
      <c r="H296" s="1757"/>
      <c r="I296" s="1723"/>
      <c r="J296" s="1723"/>
      <c r="K296" s="1739">
        <f>'Revenues 9-14'!G268-'Expenditures 15-22'!K295</f>
        <v>67133</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0" t="s">
        <v>142</v>
      </c>
      <c r="B298" s="2334"/>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5" t="s">
        <v>275</v>
      </c>
      <c r="B312" s="2346"/>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1" t="s">
        <v>989</v>
      </c>
      <c r="B313" s="2342"/>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4" t="s">
        <v>148</v>
      </c>
      <c r="B315" s="2355"/>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6" t="s">
        <v>892</v>
      </c>
      <c r="B317" s="2355"/>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19623</v>
      </c>
      <c r="F320" s="1624">
        <v>0</v>
      </c>
      <c r="G320" s="1624">
        <v>0</v>
      </c>
      <c r="H320" s="1624">
        <v>0</v>
      </c>
      <c r="I320" s="1624">
        <v>0</v>
      </c>
      <c r="J320" s="1624">
        <v>0</v>
      </c>
      <c r="K320" s="1722">
        <f t="shared" ref="K320:K327" si="24">SUM(C320:J320)</f>
        <v>19623</v>
      </c>
      <c r="L320" s="1624">
        <v>19623</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c r="M321" s="539"/>
      <c r="N321" s="539"/>
    </row>
    <row r="322" spans="1:14" s="548" customFormat="1" x14ac:dyDescent="0.2">
      <c r="A322" s="1334" t="s">
        <v>236</v>
      </c>
      <c r="B322" s="567" t="s">
        <v>282</v>
      </c>
      <c r="C322" s="1624">
        <v>0</v>
      </c>
      <c r="D322" s="1624">
        <v>0</v>
      </c>
      <c r="E322" s="1624">
        <v>29929</v>
      </c>
      <c r="F322" s="1624">
        <v>0</v>
      </c>
      <c r="G322" s="1624">
        <v>0</v>
      </c>
      <c r="H322" s="1624">
        <v>0</v>
      </c>
      <c r="I322" s="1624">
        <v>0</v>
      </c>
      <c r="J322" s="1624">
        <v>0</v>
      </c>
      <c r="K322" s="1722">
        <f t="shared" si="24"/>
        <v>29929</v>
      </c>
      <c r="L322" s="1624">
        <v>30945</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547</v>
      </c>
      <c r="F325" s="1624">
        <v>0</v>
      </c>
      <c r="G325" s="1624">
        <v>0</v>
      </c>
      <c r="H325" s="1624">
        <v>0</v>
      </c>
      <c r="I325" s="1624">
        <v>0</v>
      </c>
      <c r="J325" s="1624">
        <v>0</v>
      </c>
      <c r="K325" s="1722">
        <f t="shared" si="24"/>
        <v>547</v>
      </c>
      <c r="L325" s="1624">
        <v>600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50099</v>
      </c>
      <c r="F330" s="1724">
        <f t="shared" si="25"/>
        <v>0</v>
      </c>
      <c r="G330" s="1724">
        <f t="shared" si="25"/>
        <v>0</v>
      </c>
      <c r="H330" s="1724">
        <f t="shared" si="25"/>
        <v>0</v>
      </c>
      <c r="I330" s="1724">
        <f t="shared" si="25"/>
        <v>0</v>
      </c>
      <c r="J330" s="1724">
        <f t="shared" si="25"/>
        <v>0</v>
      </c>
      <c r="K330" s="1724">
        <f>SUM(K319:K329)</f>
        <v>50099</v>
      </c>
      <c r="L330" s="1724">
        <f>SUM(L319:L329)</f>
        <v>51168</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50099</v>
      </c>
      <c r="F342" s="1724">
        <f>SUM(F330)</f>
        <v>0</v>
      </c>
      <c r="G342" s="1724">
        <f>SUM(G330)</f>
        <v>0</v>
      </c>
      <c r="H342" s="1724">
        <f>SUM(H330,H334,H340)</f>
        <v>0</v>
      </c>
      <c r="I342" s="1724">
        <f>SUM(I330)</f>
        <v>0</v>
      </c>
      <c r="J342" s="1724">
        <f>SUM(J330)</f>
        <v>0</v>
      </c>
      <c r="K342" s="1724">
        <f>SUM(K330,K334,K340)</f>
        <v>50099</v>
      </c>
      <c r="L342" s="1731">
        <f>SUM(L330,L334,L340,L341)</f>
        <v>51168</v>
      </c>
    </row>
    <row r="343" spans="1:14" ht="12.75" customHeight="1" thickTop="1" x14ac:dyDescent="0.2">
      <c r="A343" s="2343" t="s">
        <v>989</v>
      </c>
      <c r="B343" s="2344"/>
      <c r="C343" s="1723"/>
      <c r="D343" s="1723"/>
      <c r="E343" s="1723"/>
      <c r="F343" s="1723"/>
      <c r="G343" s="1723"/>
      <c r="H343" s="1723"/>
      <c r="I343" s="1723"/>
      <c r="J343" s="1723"/>
      <c r="K343" s="1739">
        <f>'Revenues 9-14'!J268-'Expenditures 15-22'!K342</f>
        <v>871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3" t="s">
        <v>960</v>
      </c>
      <c r="B345" s="2334"/>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30" t="s">
        <v>989</v>
      </c>
      <c r="B368" s="2331"/>
      <c r="C368" s="1744"/>
      <c r="D368" s="1744"/>
      <c r="E368" s="1727"/>
      <c r="F368" s="1727"/>
      <c r="G368" s="1727"/>
      <c r="H368" s="1727"/>
      <c r="I368" s="1727"/>
      <c r="J368" s="1726"/>
      <c r="K368" s="1722">
        <f>'Revenues 9-14'!K268-'Expenditures 15-22'!K367</f>
        <v>4930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4d435f69-8686-490b-bd6d-b153bf22ab50"/>
    <ds:schemaRef ds:uri="http://purl.org/dc/terms/"/>
    <ds:schemaRef ds:uri="http://purl.org/dc/dcmitype/"/>
    <ds:schemaRef ds:uri="http://schemas.microsoft.com/office/infopath/2007/PartnerControls"/>
    <ds:schemaRef ds:uri="http://schemas.microsoft.com/office/2006/documentManagement/types"/>
    <ds:schemaRef ds:uri="d21dc803-237d-4c68-8692-8d731fd29118"/>
    <ds:schemaRef ds:uri="6ce3111e-7420-4802-b50a-75d4e9a0b980"/>
    <ds:schemaRef ds:uri="http://schemas.microsoft.com/office/2006/metadata/properties"/>
    <ds:schemaRef ds:uri="http://schemas.openxmlformats.org/package/2006/metadata/core-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2020-09-11T14:38:36Z</cp:lastPrinted>
  <dcterms:created xsi:type="dcterms:W3CDTF">2003-10-29T19:06:34Z</dcterms:created>
  <dcterms:modified xsi:type="dcterms:W3CDTF">2020-10-18T18:42:11Z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