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081B745-A680-40D8-8FFF-FC8466C0A79E}"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7" i="8" l="1"/>
  <c r="J34" i="8"/>
  <c r="J33" i="8"/>
  <c r="J32"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F36" i="34" l="1"/>
  <c r="B7828" i="106" s="1"/>
  <c r="D7828" i="106" s="1"/>
  <c r="D36" i="108"/>
  <c r="I210" i="29"/>
  <c r="B7071" i="106" s="1"/>
  <c r="D7071" i="106" s="1"/>
  <c r="B7696" i="106"/>
  <c r="D7696" i="106" s="1"/>
  <c r="E66" i="184"/>
  <c r="N66" i="184" s="1"/>
  <c r="B7171" i="106"/>
  <c r="D7171" i="106" s="1"/>
  <c r="E62" i="184"/>
  <c r="N62" i="184" s="1"/>
  <c r="D31" i="108"/>
  <c r="E16" i="184"/>
  <c r="H16" i="184" s="1"/>
  <c r="F70" i="34"/>
  <c r="B7162" i="106"/>
  <c r="D7162" i="106" s="1"/>
  <c r="E61" i="184"/>
  <c r="N61" i="184" s="1"/>
  <c r="B7126" i="106"/>
  <c r="D7126" i="106" s="1"/>
  <c r="E57" i="184"/>
  <c r="F36" i="108"/>
  <c r="B7189" i="106"/>
  <c r="D7189" i="106" s="1"/>
  <c r="E64" i="184"/>
  <c r="N64" i="184" s="1"/>
  <c r="B7153" i="106"/>
  <c r="D7153" i="106" s="1"/>
  <c r="E60" i="184"/>
  <c r="N60" i="184" s="1"/>
  <c r="B6289" i="106"/>
  <c r="D6289" i="106" s="1"/>
  <c r="C352" i="29"/>
  <c r="H76" i="4"/>
  <c r="B3298" i="106" s="1"/>
  <c r="D3298" i="106" s="1"/>
  <c r="G33" i="108"/>
  <c r="E17" i="184"/>
  <c r="H17" i="184" s="1"/>
  <c r="B7135" i="106"/>
  <c r="D7135" i="106" s="1"/>
  <c r="E58" i="184"/>
  <c r="N58" i="184" s="1"/>
  <c r="B7198" i="106"/>
  <c r="D7198" i="106" s="1"/>
  <c r="E65" i="184"/>
  <c r="N65" i="184" s="1"/>
  <c r="C342" i="29"/>
  <c r="B7216" i="106" s="1"/>
  <c r="D7216" i="106" s="1"/>
  <c r="B7705" i="106"/>
  <c r="D7705" i="106" s="1"/>
  <c r="E67" i="184"/>
  <c r="N67" i="184" s="1"/>
  <c r="B7180" i="106"/>
  <c r="D7180" i="106" s="1"/>
  <c r="E63" i="184"/>
  <c r="N63" i="184" s="1"/>
  <c r="J210" i="29"/>
  <c r="B7072" i="106" s="1"/>
  <c r="D7072" i="106" s="1"/>
  <c r="D69" i="36"/>
  <c r="D68" i="36"/>
  <c r="F77" i="4"/>
  <c r="B3255" i="106" s="1"/>
  <c r="D3255" i="106" s="1"/>
  <c r="G30" i="108"/>
  <c r="H12" i="184"/>
  <c r="H19" i="184" s="1"/>
  <c r="L20" i="184" s="1"/>
  <c r="E19" i="184"/>
  <c r="C129" i="29"/>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66" i="34" l="1"/>
  <c r="J16" i="4"/>
  <c r="B6226" i="106" s="1"/>
  <c r="D6226" i="106" s="1"/>
  <c r="G170" i="5"/>
  <c r="B5778" i="106" s="1"/>
  <c r="D5778" i="106" s="1"/>
  <c r="I7" i="4"/>
  <c r="B4444" i="106" s="1"/>
  <c r="D4444" i="106" s="1"/>
  <c r="N23" i="3"/>
  <c r="B284" i="106" s="1"/>
  <c r="D284" i="106" s="1"/>
  <c r="B7235" i="106"/>
  <c r="D7235" i="106" s="1"/>
  <c r="N57" i="184"/>
  <c r="N68" i="184" s="1"/>
  <c r="E68" i="184"/>
  <c r="B7215" i="106"/>
  <c r="D7215" i="106" s="1"/>
  <c r="B5527" i="106"/>
  <c r="D5527" i="106" s="1"/>
  <c r="D44" i="36"/>
  <c r="K77" i="4"/>
  <c r="B3587" i="106" s="1"/>
  <c r="D3587" i="106" s="1"/>
  <c r="K365" i="29"/>
  <c r="B7243" i="106" s="1"/>
  <c r="D7243" i="106" s="1"/>
  <c r="E367" i="29"/>
  <c r="B3635" i="106"/>
  <c r="B7220" i="106"/>
  <c r="D7220" i="106" s="1"/>
  <c r="F75" i="34"/>
  <c r="B7886" i="106" s="1"/>
  <c r="D7886" i="106" s="1"/>
  <c r="B7222" i="106"/>
  <c r="D7222" i="106" s="1"/>
  <c r="F76" i="34"/>
  <c r="B7887" i="106" s="1"/>
  <c r="D7887" i="106" s="1"/>
  <c r="L16" i="11"/>
  <c r="B2061" i="106" s="1"/>
  <c r="D2061" i="106" s="1"/>
  <c r="L114" i="29"/>
  <c r="B1328" i="106"/>
  <c r="D1328"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J20"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<sst xmlns="http://schemas.openxmlformats.org/spreadsheetml/2006/main" count="5168" uniqueCount="2095">
  <si>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</si>
  <si>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</si>
  <si>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</si>
  <si>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</si>
  <si>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</si>
  <si>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</si>
  <si>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</si>
  <si>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</si>
  <si>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</si>
  <si>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</si>
  <si>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</si>
  <si>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</si>
  <si>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</si>
  <si>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</si>
  <si>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</si>
  <si>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</si>
  <si>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</si>
  <si>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</si>
  <si>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</si>
  <si>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</si>
  <si>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</si>
  <si>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</si>
  <si>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</si>
  <si>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</si>
  <si>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</si>
  <si>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</si>
  <si>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</si>
  <si>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</si>
  <si>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</si>
  <si>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</si>
  <si>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</si>
  <si>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</si>
  <si>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</si>
  <si>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</si>
  <si>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</si>
  <si>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</si>
  <si>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</si>
  <si>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</si>
  <si>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</si>
  <si>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</si>
  <si>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</si>
  <si>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</si>
  <si>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</si>
  <si>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</si>
  <si>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</si>
  <si>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</si>
  <si>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</si>
  <si>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</si>
  <si>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</si>
  <si>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</si>
  <si>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</si>
  <si>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</si>
  <si>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</si>
  <si>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</si>
  <si>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</si>
  <si>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</si>
  <si>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</si>
  <si>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</si>
  <si>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</si>
  <si>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</si>
  <si>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</si>
  <si>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</si>
  <si>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</si>
  <si>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</si>
  <si>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</si>
  <si>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</si>
  <si>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</si>
  <si>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</si>
  <si>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</si>
  <si>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</si>
  <si>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</si>
  <si>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</si>
  <si>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</si>
  <si>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</si>
  <si>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</si>
  <si>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</si>
  <si>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</si>
  <si>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</si>
  <si>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</si>
  <si>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</si>
  <si>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</si>
  <si>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</si>
  <si>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</si>
  <si>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</si>
  <si>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</si>
  <si>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</si>
  <si>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</si>
  <si>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</si>
  <si>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</si>
  <si>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</si>
  <si>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</si>
  <si>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</si>
  <si>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</si>
  <si>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</si>
  <si>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</si>
  <si>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</si>
  <si>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</si>
  <si>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</si>
  <si>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</si>
  <si>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</si>
  <si>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</si>
  <si>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</si>
  <si>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</si>
  <si>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</si>
  <si>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</si>
  <si>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</si>
  <si>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</si>
  <si>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</si>
  <si>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</si>
  <si>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</si>
  <si>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</si>
  <si>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</si>
  <si>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</si>
  <si>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</si>
  <si>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</si>
  <si>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</si>
  <si>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</si>
  <si>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</si>
  <si>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</si>
  <si>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</si>
  <si>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</si>
  <si>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</si>
  <si>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</si>
  <si>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</si>
  <si>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</si>
  <si>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</si>
  <si>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</si>
  <si>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</si>
  <si>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</si>
  <si>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</si>
  <si>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</si>
  <si>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</si>
  <si>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</si>
  <si>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</si>
  <si>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</si>
  <si>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</si>
  <si>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</si>
  <si>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</si>
  <si>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</si>
  <si>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</si>
  <si>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</si>
  <si>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</si>
  <si>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</si>
  <si>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</si>
  <si>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</si>
  <si>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</si>
  <si>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</si>
  <si>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</si>
  <si>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</si>
  <si>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</si>
  <si>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</si>
  <si>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</si>
  <si>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</si>
  <si>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</si>
  <si>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</si>
  <si>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</si>
  <si>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</si>
  <si>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</si>
  <si>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</si>
  <si>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</si>
  <si>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</si>
  <si>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</si>
  <si>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</si>
  <si>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</si>
  <si>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</si>
  <si>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</si>
  <si>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</si>
  <si>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</si>
  <si>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</si>
  <si>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</si>
  <si>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</si>
  <si>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</si>
  <si>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</si>
  <si>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</si>
  <si>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</si>
  <si>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</si>
  <si>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</si>
  <si>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</si>
  <si>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</si>
  <si>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</si>
  <si>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</si>
  <si>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</si>
  <si>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</si>
  <si>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</si>
  <si>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</si>
  <si>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</si>
  <si>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</si>
  <si>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</si>
  <si>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</si>
  <si>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</si>
  <si>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</si>
  <si>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</si>
  <si>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</si>
  <si>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</si>
  <si>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</si>
  <si>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</si>
  <si>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</si>
  <si>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</si>
  <si>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</si>
  <si>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</si>
  <si>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</si>
  <si>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</si>
  <si>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</si>
  <si>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</si>
  <si>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</si>
  <si>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</si>
  <si>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</si>
  <si>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</si>
  <si>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</si>
  <si>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</si>
  <si>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</si>
  <si>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</si>
  <si>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</si>
  <si>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</si>
  <si>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</si>
  <si>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</si>
  <si>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</si>
  <si>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</si>
  <si>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</si>
  <si>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</si>
  <si>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</si>
  <si>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</si>
  <si>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</si>
  <si>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</si>
  <si>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</si>
  <si>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</si>
  <si>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</si>
  <si>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</si>
  <si>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</si>
  <si>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</si>
  <si>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</si>
  <si>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</si>
  <si>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</si>
  <si>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</si>
  <si>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</si>
  <si>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</si>
  <si>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</si>
  <si>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</si>
  <si>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</si>
  <si>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</si>
  <si>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</si>
  <si>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</si>
  <si>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</si>
  <si>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</si>
  <si>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</si>
  <si>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</si>
  <si>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</si>
  <si>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</si>
  <si>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</si>
  <si>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</si>
  <si>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</si>
  <si>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</si>
  <si>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</si>
  <si>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</si>
  <si>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</si>
  <si>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</si>
  <si>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</si>
  <si>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</si>
  <si>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</si>
  <si>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</si>
  <si>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</si>
  <si>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</si>
  <si>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</si>
  <si>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</si>
  <si>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</si>
  <si>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</si>
  <si>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</si>
  <si>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</si>
  <si>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</si>
  <si>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</si>
  <si>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</si>
  <si>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</si>
  <si>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</si>
  <si>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</si>
  <si>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</si>
  <si>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</si>
  <si>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</si>
  <si>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</si>
  <si>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</si>
  <si>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</si>
  <si>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</si>
  <si>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</si>
  <si>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</si>
  <si>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</si>
  <si>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</si>
  <si>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</si>
  <si>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</si>
  <si>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</si>
  <si>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</si>
  <si>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</si>
  <si>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</si>
  <si>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</si>
  <si>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</si>
  <si>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</si>
  <si>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</si>
  <si>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</si>
  <si>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</si>
  <si>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</si>
  <si>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</si>
  <si>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</si>
  <si>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</si>
  <si>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</si>
  <si>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</si>
  <si>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</si>
  <si>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</si>
  <si>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</si>
  <si>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</si>
  <si>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</si>
  <si>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</si>
  <si>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</si>
  <si>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</si>
  <si>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</si>
  <si>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</si>
  <si>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</si>
  <si>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</si>
  <si>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</si>
  <si>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</si>
  <si>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</si>
  <si>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</si>
  <si>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</si>
  <si>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</si>
  <si>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</si>
  <si>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</si>
  <si>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</si>
  <si>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</si>
  <si>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</si>
  <si>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</si>
  <si>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</si>
  <si>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</si>
  <si>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</si>
  <si>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</si>
  <si>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</si>
  <si>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</si>
  <si>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</si>
  <si>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</si>
  <si>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</si>
  <si>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</si>
  <si>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</si>
  <si>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</si>
  <si>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</si>
  <si>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</si>
  <si>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</si>
  <si>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</si>
  <si>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</si>
  <si>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</si>
  <si>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</si>
  <si>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</si>
  <si>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</si>
  <si>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</si>
  <si>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</si>
  <si>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</si>
  <si>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</si>
  <si>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</si>
  <si>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</si>
  <si>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</si>
  <si>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</si>
  <si>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</si>
  <si>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</si>
  <si>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</si>
  <si>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</si>
  <si>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</si>
  <si>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</si>
  <si>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</si>
  <si>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</si>
  <si>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</si>
  <si>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</si>
  <si>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</si>
  <si>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</si>
  <si>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</si>
  <si>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</si>
  <si>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</si>
  <si>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</si>
  <si>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</si>
  <si>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</si>
  <si>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</si>
  <si>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</si>
  <si>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</si>
  <si>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</si>
  <si>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</si>
  <si>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</si>
  <si>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</si>
  <si>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</si>
  <si>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</si>
  <si>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</si>
  <si>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</si>
  <si>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</si>
  <si>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</si>
  <si>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</si>
  <si>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</si>
  <si>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</si>
  <si>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</si>
  <si>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</si>
  <si>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</si>
  <si>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</si>
  <si>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</si>
  <si>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</si>
  <si>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</si>
  <si>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</si>
  <si>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</si>
  <si>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</si>
  <si>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</si>
  <si>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</si>
  <si>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</si>
  <si>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</si>
  <si>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</si>
  <si>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</si>
  <si>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</si>
  <si>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</si>
  <si>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</si>
  <si>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</si>
  <si>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</si>
  <si>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</si>
  <si>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</si>
  <si>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</si>
  <si>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</si>
  <si>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</si>
  <si>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</si>
  <si>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</si>
  <si>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</si>
  <si>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</si>
  <si>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</si>
  <si>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</si>
  <si>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</si>
  <si>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</si>
  <si>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</si>
  <si>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</si>
  <si>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</si>
  <si>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</si>
  <si>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</si>
  <si>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</si>
  <si>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</si>
  <si>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</si>
  <si>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</si>
  <si>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</si>
  <si>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</si>
  <si>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</si>
  <si>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</si>
  <si>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</si>
  <si>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</si>
  <si>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</si>
  <si>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</si>
  <si>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</si>
  <si>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</si>
  <si>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</si>
  <si>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</si>
  <si>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</si>
  <si>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</si>
  <si>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</si>
  <si>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</si>
  <si>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</si>
  <si>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</si>
  <si>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</si>
  <si>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</si>
  <si>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</si>
  <si>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</si>
  <si>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</si>
  <si>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</si>
  <si>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</si>
  <si>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</si>
  <si>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</si>
  <si>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</si>
  <si>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</si>
  <si>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</si>
  <si>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</si>
  <si>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</si>
  <si>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</si>
  <si>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</si>
  <si>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</si>
  <si>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</si>
  <si>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</si>
  <si>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</si>
  <si>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</si>
  <si>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</si>
  <si>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</si>
  <si>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</si>
  <si>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</si>
  <si>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</si>
  <si>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</si>
  <si>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</si>
  <si>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</si>
  <si>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</si>
  <si>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</si>
  <si>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</si>
  <si>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</si>
  <si>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</si>
  <si>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</si>
  <si>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</si>
  <si>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</si>
  <si>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</si>
  <si>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</si>
  <si>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</si>
  <si>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</si>
  <si>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</si>
  <si>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</si>
  <si>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</si>
  <si>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</si>
  <si>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</si>
  <si>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</si>
  <si>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</si>
  <si>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</si>
  <si>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</si>
  <si>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</si>
  <si>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</si>
  <si>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</si>
  <si>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</si>
  <si>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</si>
  <si>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</si>
  <si>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</si>
  <si>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</si>
  <si>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</si>
  <si>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</si>
  <si>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</si>
  <si>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</si>
  <si>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</si>
  <si>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</si>
  <si>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</si>
  <si>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</si>
  <si>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</si>
  <si>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</si>
  <si>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</si>
  <si>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</si>
  <si>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</si>
  <si>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</si>
  <si>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</si>
  <si>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</si>
  <si>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</si>
  <si>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</si>
  <si>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</si>
  <si>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</si>
  <si>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</si>
  <si>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</si>
  <si>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</si>
  <si>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</si>
  <si>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</si>
  <si>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</si>
  <si>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</si>
  <si>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</si>
  <si>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</si>
  <si>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</si>
  <si>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</si>
  <si>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</si>
  <si>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</si>
  <si>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</si>
  <si>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</si>
  <si>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</si>
  <si>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</si>
  <si>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</si>
  <si>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</si>
  <si>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</si>
  <si>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</si>
  <si>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</si>
  <si>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</si>
  <si>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</si>
  <si>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</si>
  <si>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</si>
  <si>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</si>
  <si>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</si>
  <si>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</si>
  <si>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</si>
  <si>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</si>
  <si>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</si>
  <si>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</si>
  <si>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</si>
  <si>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</si>
  <si>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</si>
  <si>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</si>
  <si>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</si>
  <si>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</si>
  <si>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</si>
  <si>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</si>
  <si>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</si>
  <si>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</si>
  <si>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</si>
  <si>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</si>
  <si>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</si>
  <si>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</si>
  <si>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</si>
  <si>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</si>
  <si>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</si>
  <si>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</si>
  <si>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</si>
  <si>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</si>
  <si>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</si>
  <si>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</si>
  <si>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</si>
  <si>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</si>
  <si>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</si>
  <si>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</si>
  <si>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</si>
  <si>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</si>
  <si>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</si>
  <si>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</si>
  <si>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</si>
  <si>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</si>
  <si>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</si>
  <si>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</si>
  <si>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</si>
  <si>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</si>
  <si>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</si>
  <si>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</si>
  <si>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</si>
  <si>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</si>
  <si>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</si>
  <si>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</si>
  <si>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</si>
  <si>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</si>
  <si>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</si>
  <si>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</si>
  <si>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</si>
  <si>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</si>
  <si>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</si>
  <si>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</si>
  <si>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</si>
  <si>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</si>
  <si>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</si>
  <si>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</si>
  <si>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</si>
  <si>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</si>
  <si>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</si>
  <si>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</si>
  <si>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</si>
  <si>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</si>
  <si>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</si>
  <si>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</si>
  <si>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</si>
  <si>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</si>
  <si>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</si>
  <si>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</si>
  <si>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</si>
  <si>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</si>
  <si>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</si>
  <si>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</si>
  <si>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</si>
  <si>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</si>
  <si>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</si>
  <si>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</si>
  <si>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</si>
  <si>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</si>
  <si>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</si>
  <si>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</si>
  <si>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</si>
  <si>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</si>
  <si>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</si>
  <si>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</si>
  <si>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</si>
  <si>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</si>
  <si>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</si>
  <si>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</si>
  <si>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</si>
  <si>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</si>
  <si>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</si>
  <si>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</si>
  <si>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</si>
  <si>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</si>
  <si>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</si>
  <si>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</si>
  <si>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</si>
  <si>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</si>
  <si>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</si>
  <si>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</si>
  <si>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</si>
  <si>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</si>
  <si>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</si>
  <si>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</si>
  <si>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</si>
  <si>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</si>
  <si>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</si>
  <si>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</si>
  <si>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</si>
  <si>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</si>
  <si>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</si>
  <si>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</si>
  <si>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</si>
  <si>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</si>
  <si>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</si>
  <si>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</si>
  <si>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</si>
  <si>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</si>
  <si>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</si>
  <si>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</si>
  <si>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</si>
  <si>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</si>
  <si>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</si>
  <si>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</si>
  <si>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</si>
  <si>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</si>
  <si>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</si>
  <si>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</si>
  <si>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</si>
  <si>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</si>
  <si>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</si>
  <si>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</si>
  <si>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</si>
  <si>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</si>
  <si>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</si>
  <si>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</si>
  <si>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</si>
  <si>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</si>
  <si>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</si>
  <si>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</si>
  <si>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</si>
  <si>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</si>
  <si>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</si>
  <si>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</si>
  <si>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</si>
  <si>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</si>
  <si>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</si>
  <si>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</si>
  <si>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</si>
  <si>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</si>
  <si>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</si>
  <si>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</si>
  <si>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</si>
  <si>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</si>
  <si>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</si>
  <si>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</si>
  <si>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</si>
  <si>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</si>
  <si>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</si>
  <si>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</si>
  <si>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</si>
  <si>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</si>
  <si>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</si>
  <si>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</si>
  <si>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</si>
  <si>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</si>
  <si>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</si>
  <si>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</si>
  <si>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</si>
  <si>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</si>
  <si>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</si>
  <si>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</si>
  <si>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</si>
  <si>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</si>
  <si>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</si>
  <si>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</si>
  <si>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</si>
  <si>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</si>
  <si>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</si>
  <si>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</si>
  <si>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</si>
  <si>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</si>
  <si>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</si>
  <si>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</si>
  <si>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</si>
  <si>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</si>
  <si>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</si>
  <si>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</si>
  <si>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</si>
  <si>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</si>
  <si>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</si>
  <si>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</si>
  <si>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</si>
  <si>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</si>
  <si>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</si>
  <si>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</si>
  <si>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</si>
  <si>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</si>
  <si>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</si>
  <si>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</si>
  <si>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</si>
  <si>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</si>
  <si>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</si>
  <si>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</si>
  <si>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</si>
  <si>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</si>
  <si>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</si>
  <si>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</si>
  <si>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</si>
  <si>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</si>
  <si>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</si>
  <si>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</si>
  <si>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</si>
  <si>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</si>
  <si>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</si>
  <si>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</si>
  <si>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</si>
  <si>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</si>
  <si>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</si>
  <si>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</si>
  <si>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</si>
  <si>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</si>
  <si>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</si>
  <si>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</si>
  <si>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</si>
  <si>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</si>
  <si>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</si>
  <si>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</si>
  <si>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</si>
  <si>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</si>
  <si>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</si>
  <si>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</si>
  <si>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</si>
  <si>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</si>
  <si>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</si>
  <si>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</si>
  <si>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</si>
  <si>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</si>
  <si>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</si>
  <si>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</si>
  <si>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</si>
  <si>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</si>
  <si>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</si>
  <si>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</si>
  <si>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</si>
  <si>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</si>
  <si>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</si>
  <si>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</si>
  <si>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</si>
  <si>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</si>
  <si>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</si>
  <si>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</si>
  <si>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</si>
  <si>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</si>
  <si>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</si>
  <si>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</si>
  <si>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</si>
  <si>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</si>
  <si>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</si>
  <si>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</si>
  <si>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</si>
  <si>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</si>
  <si>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</si>
  <si>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</si>
  <si>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</si>
  <si>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</si>
  <si>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</si>
  <si>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</si>
  <si>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</si>
  <si>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</si>
  <si>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</si>
  <si>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</si>
  <si>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</si>
  <si>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</si>
  <si>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</si>
  <si>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</si>
  <si>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</si>
  <si>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</si>
  <si>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</si>
  <si>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</si>
  <si>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</si>
  <si>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</si>
  <si>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</si>
  <si>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</si>
  <si>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</si>
  <si>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</si>
  <si>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</si>
  <si>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</si>
  <si>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</si>
  <si>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</si>
  <si>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</si>
  <si>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</si>
  <si>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</si>
  <si>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</si>
  <si>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</si>
  <si>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</si>
  <si>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</si>
  <si>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</si>
  <si>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</si>
  <si>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</si>
  <si>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</si>
  <si>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</si>
  <si>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</si>
  <si>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</si>
  <si>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</si>
  <si>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</si>
  <si>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</si>
  <si>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</si>
  <si>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</si>
  <si>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</si>
  <si>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</si>
  <si>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</si>
  <si>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</si>
  <si>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</si>
  <si>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</si>
  <si>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</si>
  <si>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</si>
  <si>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</si>
  <si>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</si>
  <si>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</si>
  <si>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</si>
  <si>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</si>
  <si>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</si>
  <si>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</si>
  <si>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</si>
  <si>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</si>
  <si>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</si>
  <si>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</si>
  <si>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</si>
  <si>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</si>
  <si>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</si>
  <si>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</si>
  <si>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</si>
  <si>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</si>
  <si>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</si>
  <si>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</si>
  <si>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</si>
  <si>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</si>
  <si>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</si>
  <si>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</si>
  <si>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</si>
  <si>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</si>
  <si>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</si>
  <si>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</si>
  <si>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</si>
  <si>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</si>
  <si>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</si>
  <si>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</si>
  <si>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</si>
  <si>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</si>
  <si>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</si>
  <si>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</si>
  <si>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</si>
  <si>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</si>
  <si>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</si>
  <si>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</si>
  <si>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</si>
  <si>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</si>
  <si>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</si>
  <si>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</si>
  <si>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</si>
  <si>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</si>
  <si>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</si>
  <si>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</si>
  <si>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</si>
  <si>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</si>
  <si>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</si>
  <si>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</si>
  <si>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</si>
  <si>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</si>
  <si>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</si>
  <si>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</si>
  <si>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</si>
  <si>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</si>
  <si>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</si>
  <si>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</si>
  <si>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</si>
  <si>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</si>
  <si>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</si>
  <si>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</si>
  <si>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</si>
  <si>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</si>
  <si>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</si>
  <si>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</si>
  <si>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</si>
  <si>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</si>
  <si>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</si>
  <si>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</si>
  <si>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</si>
  <si>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</si>
  <si>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</si>
  <si>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</si>
  <si>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</si>
  <si>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</si>
  <si>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</si>
  <si>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</si>
  <si>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</si>
  <si>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</si>
  <si>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</si>
  <si>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</si>
  <si>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</si>
  <si>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</si>
  <si>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</si>
  <si>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</si>
  <si>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</si>
  <si>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</si>
  <si>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</si>
  <si>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</si>
  <si>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</si>
  <si>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</si>
  <si>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</si>
  <si>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</si>
  <si>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</si>
  <si>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</si>
  <si>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</si>
  <si>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</si>
  <si>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</si>
  <si>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</si>
  <si>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</si>
  <si>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</si>
  <si>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</si>
  <si>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</si>
  <si>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</si>
  <si>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</si>
  <si>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</si>
  <si>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</si>
  <si>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</si>
  <si>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</si>
  <si>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</si>
  <si>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</si>
  <si>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</si>
  <si>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</si>
  <si>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</si>
  <si>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</si>
  <si>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</si>
  <si>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</si>
  <si>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</si>
  <si>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</si>
  <si>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</si>
  <si>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</si>
  <si>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</si>
  <si>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</si>
  <si>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</si>
  <si>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</si>
  <si>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</si>
  <si>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</si>
  <si>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</si>
  <si>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</si>
  <si>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</si>
  <si>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</si>
  <si>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</si>
  <si>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</si>
  <si>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</si>
  <si>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</si>
  <si>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</si>
  <si>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</si>
  <si>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</si>
  <si>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</si>
  <si>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</si>
  <si>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</si>
  <si>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</si>
  <si>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</si>
  <si>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</si>
  <si>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</si>
  <si>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</si>
  <si>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</si>
  <si>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</si>
  <si>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</si>
  <si>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</si>
  <si>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</si>
  <si>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</si>
  <si>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</si>
  <si>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</si>
  <si>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</si>
  <si>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</si>
  <si>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</si>
  <si>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</si>
  <si>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</si>
  <si>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</si>
  <si>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</si>
  <si>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</si>
  <si>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</si>
  <si>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</si>
  <si>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</si>
  <si>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</si>
  <si>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</si>
  <si>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</si>
  <si>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</si>
  <si>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</si>
  <si>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</si>
  <si>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</si>
  <si>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</si>
  <si>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</si>
  <si>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</si>
  <si>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</si>
  <si>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</si>
  <si>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</si>
  <si>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</si>
  <si>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</si>
  <si>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</si>
  <si>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</si>
  <si>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</si>
  <si>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</si>
  <si>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</si>
  <si>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</si>
  <si>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</si>
  <si>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</si>
  <si>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</si>
  <si>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</si>
  <si>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</si>
  <si>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</si>
  <si>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</si>
  <si>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</si>
  <si>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</si>
  <si>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</si>
  <si>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</si>
  <si>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</si>
  <si>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</si>
  <si>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</si>
  <si>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</si>
  <si>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</si>
  <si>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</si>
  <si>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</si>
  <si>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</si>
  <si>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</si>
  <si>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</si>
  <si>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</si>
  <si>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</si>
  <si>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</si>
  <si>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</si>
  <si>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</si>
  <si>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</si>
  <si>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</si>
  <si>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</si>
  <si>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</si>
  <si>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</si>
  <si>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</si>
  <si>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</si>
  <si>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</si>
  <si>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</si>
  <si>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</si>
  <si>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</si>
  <si>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</si>
  <si>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</si>
  <si>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</si>
  <si>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</si>
  <si>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</si>
  <si>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</si>
  <si>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</si>
  <si>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</si>
  <si>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</si>
  <si>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</si>
  <si>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</si>
  <si>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</si>
  <si>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</si>
  <si>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</si>
  <si>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</si>
  <si>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</si>
  <si>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</si>
  <si>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</si>
  <si>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</si>
  <si>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</si>
  <si>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</si>
  <si>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</si>
  <si>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</si>
  <si>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</si>
  <si>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</si>
  <si>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</si>
  <si>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</si>
  <si>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</si>
  <si>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</si>
  <si>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</si>
  <si>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</si>
  <si>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</si>
  <si>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</si>
  <si>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</si>
  <si>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</si>
  <si>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</si>
  <si>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</si>
  <si>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</si>
  <si>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</si>
  <si>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</si>
  <si>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</si>
  <si>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</si>
  <si>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</si>
  <si>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</si>
  <si>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</si>
  <si>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</si>
  <si>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</si>
  <si>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</si>
  <si>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</si>
  <si>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</si>
  <si>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</si>
  <si>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</si>
  <si>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</si>
  <si>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</si>
  <si>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</si>
  <si>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</si>
  <si>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</si>
  <si>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</si>
  <si>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</si>
  <si>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</si>
  <si>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</si>
  <si>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</si>
  <si>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</si>
  <si>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</si>
  <si>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</si>
  <si>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</si>
  <si>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</si>
  <si>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</si>
  <si>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</si>
  <si>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</si>
  <si>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</si>
  <si>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</si>
  <si>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</si>
  <si>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</si>
  <si>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</si>
  <si>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</si>
  <si>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</si>
  <si>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</si>
  <si>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</si>
  <si>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</si>
  <si>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</si>
  <si>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</si>
  <si>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</si>
  <si>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</si>
  <si>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</si>
  <si>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</si>
  <si>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</si>
  <si>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</si>
  <si>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</si>
  <si>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</si>
  <si>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</si>
  <si>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</si>
  <si>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</si>
  <si>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</si>
  <si>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</si>
  <si>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</si>
  <si>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</si>
  <si>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</si>
  <si>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</si>
  <si>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</si>
  <si>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</si>
  <si>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</si>
  <si>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</si>
  <si>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</si>
  <si>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</si>
  <si>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</si>
  <si>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</si>
  <si>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</si>
  <si>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</si>
  <si>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</si>
  <si>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</si>
  <si>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</si>
  <si>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</si>
  <si>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</si>
  <si>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</si>
  <si>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</si>
  <si>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</si>
  <si>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</si>
  <si>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</si>
  <si>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</si>
  <si>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</si>
  <si>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</si>
  <si>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</si>
  <si>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</si>
  <si>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</si>
  <si>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</si>
  <si>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</si>
  <si>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</si>
  <si>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</si>
  <si>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</si>
  <si>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</si>
  <si>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</si>
  <si>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</si>
  <si>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</si>
  <si>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</si>
  <si>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</si>
  <si>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</si>
  <si>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</si>
  <si>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</si>
  <si>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</si>
  <si>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</si>
  <si>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</si>
  <si>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</si>
  <si>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</si>
  <si>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</si>
  <si>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</si>
  <si>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</si>
  <si>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</si>
  <si>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</si>
  <si>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</si>
  <si>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</si>
  <si>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</si>
  <si>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</si>
  <si>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</si>
  <si>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</si>
  <si>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</si>
  <si>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</si>
  <si>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</si>
  <si>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</si>
  <si>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</si>
  <si>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</si>
  <si>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</si>
  <si>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</si>
  <si>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</si>
  <si>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</si>
  <si>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</si>
  <si>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</si>
  <si>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</si>
  <si>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</si>
  <si>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</si>
  <si>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</si>
  <si>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</si>
  <si>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</si>
  <si>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</si>
  <si>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</si>
  <si>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</si>
  <si>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</si>
  <si>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</si>
  <si>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</si>
  <si>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</si>
  <si>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</si>
  <si>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</si>
  <si>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</si>
  <si>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</si>
  <si>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</si>
  <si>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</si>
  <si>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</si>
  <si>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</si>
  <si>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</si>
  <si>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</si>
  <si>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</si>
  <si>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</si>
  <si>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</si>
  <si>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</si>
  <si>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</si>
  <si>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</si>
  <si>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</si>
  <si>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</si>
  <si>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</si>
  <si>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</si>
  <si>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</si>
  <si>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</si>
  <si>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</si>
  <si>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</si>
  <si>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</si>
  <si>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</si>
  <si>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</si>
  <si>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</si>
  <si>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</si>
  <si>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</si>
  <si>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</si>
  <si>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</si>
  <si>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</si>
  <si>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</si>
  <si>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</si>
  <si>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</si>
  <si>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</si>
  <si>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</si>
  <si>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</si>
  <si>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</si>
  <si>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</si>
  <si>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</si>
  <si>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</si>
  <si>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</si>
  <si>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</si>
  <si>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</si>
  <si>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</si>
  <si>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</si>
  <si>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</si>
  <si>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</si>
  <si>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</si>
  <si>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</si>
  <si>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</si>
  <si>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</si>
  <si>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</si>
  <si>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</si>
  <si>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</si>
  <si>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</si>
  <si>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</si>
  <si>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</si>
  <si>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</si>
  <si>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</si>
  <si>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</si>
  <si>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</si>
  <si>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</si>
  <si>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</si>
  <si>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</si>
  <si>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</si>
  <si>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</si>
  <si>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</si>
  <si>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</si>
  <si>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</si>
  <si>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</si>
  <si>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</si>
  <si>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</si>
  <si>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</si>
  <si>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</si>
  <si>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</si>
  <si>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</si>
  <si>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</si>
  <si>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</si>
  <si>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</si>
  <si>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</si>
  <si>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</si>
  <si>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</si>
  <si>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</si>
  <si>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</si>
  <si>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</si>
  <si>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</si>
  <si>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</si>
  <si>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</si>
  <si>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</si>
  <si>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</si>
  <si>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</si>
  <si>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</si>
  <si>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</si>
  <si>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</si>
  <si>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</si>
  <si>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</si>
  <si>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</si>
  <si>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</si>
  <si>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</si>
  <si>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</si>
  <si>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</si>
  <si>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</si>
  <si>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</si>
  <si>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</si>
  <si>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</si>
  <si>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</si>
  <si>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</si>
  <si>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</si>
  <si>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</si>
  <si>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</si>
  <si>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</si>
  <si>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</si>
  <si>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</si>
  <si>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</si>
  <si>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</si>
  <si>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</si>
  <si>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</si>
  <si>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</si>
  <si>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</si>
  <si>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</si>
  <si>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</si>
  <si>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</si>
  <si>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</si>
  <si>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</si>
  <si>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</si>
  <si>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</si>
  <si>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</si>
  <si>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</si>
  <si>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</si>
  <si>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</si>
  <si>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</si>
  <si>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</si>
  <si>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</si>
  <si>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</si>
  <si>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</si>
  <si>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</si>
  <si>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</si>
  <si>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</si>
  <si>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</si>
  <si>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</si>
  <si>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</si>
  <si>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</si>
  <si>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</si>
  <si>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</si>
  <si>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</si>
  <si>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</si>
  <si>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</si>
  <si>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</si>
  <si>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</si>
  <si>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</si>
  <si>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</si>
  <si>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</si>
  <si>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</si>
  <si>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</si>
  <si>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</si>
  <si>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</si>
  <si>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</si>
  <si>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</si>
  <si>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</si>
  <si>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</si>
  <si>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</si>
  <si>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</si>
  <si>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</si>
  <si>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</si>
  <si>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</si>
  <si>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</si>
  <si>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</si>
  <si>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</si>
  <si>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</si>
  <si>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</si>
  <si>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</si>
  <si>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</si>
  <si>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</si>
  <si>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</si>
  <si>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</si>
  <si>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</si>
  <si>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</si>
  <si>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</si>
  <si>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</si>
  <si>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</si>
  <si>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</si>
  <si>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</si>
  <si>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</si>
  <si>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</si>
  <si>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</si>
  <si>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</si>
  <si>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</si>
  <si>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</si>
  <si>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</si>
  <si>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</si>
  <si>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</si>
  <si>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</si>
  <si>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</si>
  <si>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</si>
  <si>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</si>
  <si>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</si>
  <si>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</si>
  <si>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</si>
  <si>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</si>
  <si>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</si>
  <si>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</si>
  <si>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</si>
  <si>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</si>
  <si>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</si>
  <si>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</si>
  <si>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</si>
  <si>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</si>
  <si>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</si>
  <si>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</si>
  <si>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</si>
  <si>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</si>
  <si>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</si>
  <si>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</si>
  <si>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</si>
  <si>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</si>
  <si>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</si>
  <si>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</si>
  <si>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</si>
  <si>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</si>
  <si>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</si>
  <si>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</si>
  <si>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</si>
  <si>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</si>
  <si>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</si>
  <si>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</si>
  <si>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</si>
  <si>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</si>
  <si>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</si>
  <si>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</si>
  <si>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</si>
  <si>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</si>
  <si>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</si>
  <si>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</si>
  <si>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</si>
  <si>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</si>
  <si>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</si>
  <si>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</si>
  <si>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</si>
  <si>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</si>
  <si>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</si>
  <si>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</si>
  <si>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</si>
  <si>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</si>
  <si>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</si>
  <si>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</si>
  <si>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</si>
  <si>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</si>
  <si>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</si>
  <si>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</si>
  <si>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</si>
  <si>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</si>
  <si>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</si>
  <si>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</si>
  <si>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</si>
  <si>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</si>
  <si>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</si>
  <si>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</si>
  <si>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</si>
  <si>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</si>
  <si>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</si>
  <si>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</si>
  <si>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</si>
  <si>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</si>
  <si>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</si>
  <si>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</si>
  <si>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</si>
  <si>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</si>
  <si>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</si>
  <si>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</si>
  <si>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</si>
  <si>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</si>
  <si>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</si>
  <si>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</si>
  <si>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</si>
  <si>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</si>
  <si>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</si>
  <si>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</si>
  <si>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</si>
  <si>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</si>
  <si>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</si>
  <si>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</si>
  <si>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</si>
  <si>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</si>
  <si>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</si>
  <si>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</si>
  <si>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</si>
  <si>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</si>
  <si>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</si>
  <si>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</si>
  <si>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</si>
  <si>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</si>
  <si>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</si>
  <si>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</si>
  <si>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</si>
  <si>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</si>
  <si>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</si>
  <si>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</si>
  <si>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</si>
  <si>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</si>
  <si>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</si>
  <si>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</si>
  <si>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</si>
  <si>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</si>
  <si>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</si>
  <si>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</si>
  <si>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</si>
  <si>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</si>
  <si>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</si>
  <si>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</si>
  <si>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</si>
  <si>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</si>
  <si>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</si>
  <si>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</si>
  <si>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</si>
  <si>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</si>
  <si>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</si>
  <si>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</si>
  <si>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</si>
  <si>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</si>
  <si>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</si>
  <si>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</si>
  <si>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</si>
  <si>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</si>
  <si>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</si>
  <si>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</si>
  <si>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</si>
  <si>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</si>
  <si>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</si>
  <si>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</si>
  <si>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</si>
  <si>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</si>
  <si>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</si>
  <si>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</si>
  <si>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</si>
  <si>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</si>
  <si>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</si>
  <si>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</si>
  <si>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</si>
  <si>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</si>
  <si>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</si>
  <si>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</si>
  <si>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</si>
  <si>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</si>
  <si>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</si>
  <si>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</si>
  <si>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</si>
  <si>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</si>
  <si>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</si>
  <si>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</si>
  <si>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</si>
  <si>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</si>
  <si>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</si>
  <si>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</si>
  <si>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</si>
  <si>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</si>
  <si>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</si>
  <si>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</si>
  <si>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</si>
  <si>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</si>
  <si>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</si>
  <si>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</si>
  <si>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</si>
  <si>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</si>
  <si>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</si>
  <si>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</si>
  <si>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</si>
  <si>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</si>
  <si>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</si>
  <si>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</si>
  <si>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</si>
  <si>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</si>
  <si>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</si>
  <si>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</si>
  <si>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</si>
  <si>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</si>
  <si>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</si>
  <si>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</si>
  <si>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</si>
  <si>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</si>
  <si>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</si>
  <si>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</si>
  <si>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</si>
  <si>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</si>
  <si>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</si>
  <si>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</si>
  <si>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</si>
  <si>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</si>
  <si>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</si>
  <si>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</si>
  <si>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</si>
  <si>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</si>
  <si>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</si>
  <si>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</si>
  <si>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</si>
  <si>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</si>
  <si>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</si>
  <si>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</si>
  <si>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</si>
  <si>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</si>
  <si>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</si>
  <si>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</si>
  <si>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</si>
  <si>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</si>
  <si>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</si>
  <si>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</si>
  <si>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</si>
  <si>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</si>
  <si>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</si>
  <si>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</si>
  <si>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</si>
  <si>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</si>
  <si>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</si>
  <si>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</si>
  <si>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</si>
  <si>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</si>
  <si>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</si>
  <si>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</si>
  <si>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</si>
  <si>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</si>
  <si>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</si>
  <si>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</si>
  <si>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</si>
  <si>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</si>
  <si>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</si>
  <si>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</si>
  <si>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</si>
  <si>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</si>
  <si>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</si>
  <si>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</si>
  <si>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</si>
  <si>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</si>
  <si>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</si>
  <si>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</si>
  <si>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</si>
  <si>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</si>
  <si>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</si>
  <si>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</si>
  <si>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</si>
  <si>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</si>
  <si>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</si>
  <si>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</si>
  <si>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</si>
  <si>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</si>
  <si>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</si>
  <si>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</si>
  <si>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</si>
  <si>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</si>
  <si>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</si>
  <si>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</si>
  <si>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</si>
  <si>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</si>
  <si>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</si>
  <si>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</si>
  <si>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</si>
  <si>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</si>
  <si>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</si>
  <si>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</si>
  <si>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</si>
  <si>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</si>
  <si>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</si>
  <si>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</si>
  <si>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</si>
  <si>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</si>
  <si>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</si>
  <si>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</si>
  <si>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</si>
  <si>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</si>
  <si>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</si>
  <si>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</si>
  <si>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</si>
  <si>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</si>
  <si>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</si>
  <si>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</si>
  <si>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</si>
  <si>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</si>
  <si>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</si>
  <si>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</si>
  <si>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</si>
  <si>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</si>
  <si>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</si>
  <si>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</si>
  <si>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</si>
  <si>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</si>
  <si>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</si>
  <si>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</si>
  <si>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</si>
  <si>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</si>
  <si>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</si>
  <si>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</si>
  <si>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</si>
  <si>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</si>
  <si>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</si>
  <si>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</si>
  <si>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</si>
  <si>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</si>
  <si>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</si>
  <si>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</si>
  <si>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</si>
  <si>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</si>
  <si>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</si>
  <si>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</si>
  <si>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</si>
  <si>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</si>
  <si>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</si>
  <si>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</si>
  <si>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</si>
  <si>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</si>
  <si>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</si>
  <si>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</si>
  <si>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</si>
  <si>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</si>
  <si>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</si>
  <si>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</si>
  <si>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</si>
  <si>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</si>
  <si>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</si>
  <si>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</si>
  <si>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</si>
  <si>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</si>
  <si>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</si>
  <si>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</si>
  <si>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</si>
  <si>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</si>
  <si>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</si>
  <si>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</si>
  <si>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</si>
  <si>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</si>
  <si>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</si>
  <si>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</si>
  <si>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</si>
  <si>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</si>
  <si>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</si>
  <si>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</si>
  <si>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</si>
  <si>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</si>
  <si>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</si>
  <si>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</si>
  <si>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</si>
  <si>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</si>
  <si>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</si>
  <si>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</si>
  <si>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</si>
  <si>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</si>
  <si>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</si>
  <si>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</si>
  <si>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</si>
  <si>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</si>
  <si>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</si>
  <si>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</si>
  <si>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</si>
  <si>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</si>
  <si>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</si>
  <si>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</si>
  <si>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</si>
  <si>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</si>
  <si>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</si>
  <si>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</si>
  <si>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</si>
  <si>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</si>
  <si>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</si>
  <si>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</si>
  <si>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</si>
  <si>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</si>
  <si>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</si>
  <si>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</si>
  <si>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</si>
  <si>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</si>
  <si>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</si>
  <si>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</si>
  <si>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</si>
  <si>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</si>
  <si>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</si>
  <si>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</si>
  <si>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</si>
  <si>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</si>
  <si>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</si>
  <si>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</si>
  <si>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</si>
  <si>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</si>
  <si>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</si>
  <si>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</si>
  <si>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</si>
  <si>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</si>
  <si>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</si>
  <si>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</si>
  <si>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</si>
  <si>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</si>
  <si>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</si>
  <si>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</si>
  <si>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</si>
  <si>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</si>
  <si>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</si>
  <si>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</si>
  <si>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</si>
  <si>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</si>
  <si>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</si>
  <si>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</si>
  <si>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</si>
  <si>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</si>
  <si>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</si>
  <si>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</si>
  <si>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</si>
  <si>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</si>
  <si>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</si>
  <si>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</si>
  <si>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</si>
  <si>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</si>
  <si>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</si>
  <si>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</si>
  <si>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</si>
  <si>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</si>
  <si>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</si>
  <si>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</si>
  <si>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</si>
  <si>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</si>
  <si>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</si>
  <si>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</si>
  <si>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</si>
  <si>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</si>
  <si>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</si>
  <si>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</si>
  <si>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</si>
  <si>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</si>
  <si>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</si>
  <si>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</si>
  <si>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</si>
  <si>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</si>
  <si>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</si>
  <si>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</si>
  <si>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</si>
  <si>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</si>
  <si>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</si>
  <si>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</si>
  <si>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</si>
  <si>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</si>
  <si>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</si>
  <si>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</si>
  <si>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</si>
  <si>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</si>
  <si>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</si>
  <si>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</si>
  <si>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</si>
  <si>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</si>
  <si>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</si>
  <si>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</si>
  <si>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</si>
  <si>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</si>
  <si>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</si>
  <si>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</si>
  <si>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</si>
  <si>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</si>
  <si>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</si>
  <si>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</si>
  <si>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</si>
  <si>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</si>
  <si>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</si>
  <si>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</si>
  <si>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</si>
  <si>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</si>
  <si>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</si>
  <si>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</si>
  <si>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</si>
  <si>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</si>
  <si>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</si>
  <si>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</si>
  <si>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</si>
  <si>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</si>
  <si>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</si>
  <si>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</si>
  <si>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</si>
  <si>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</si>
  <si>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</si>
  <si>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</si>
  <si>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</si>
  <si>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</si>
  <si>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</si>
  <si>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</si>
  <si>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</si>
  <si>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</si>
  <si>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</si>
  <si>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</si>
  <si>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</si>
  <si>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</si>
  <si>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</si>
  <si>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</si>
  <si>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</si>
  <si>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</si>
  <si>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</si>
  <si>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</si>
  <si>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</si>
  <si>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</si>
  <si>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</si>
  <si>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</si>
  <si>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</si>
  <si>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</si>
  <si>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</si>
  <si>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</si>
  <si>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</si>
  <si>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</si>
  <si>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</si>
  <si>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</si>
  <si>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</si>
  <si>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</si>
  <si>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</si>
  <si>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</si>
  <si>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</si>
  <si>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</si>
  <si>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</si>
  <si>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</si>
  <si>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</si>
  <si>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</si>
  <si>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</si>
  <si>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</si>
  <si>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</si>
  <si>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</si>
  <si>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</si>
  <si>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</si>
  <si>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</si>
  <si>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</si>
  <si>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</si>
  <si>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</si>
  <si>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</si>
  <si>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</si>
  <si>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</si>
  <si>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</si>
  <si>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</si>
  <si>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</si>
  <si>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</si>
  <si>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</si>
  <si>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</si>
  <si>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</si>
  <si>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</si>
  <si>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</si>
  <si>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</si>
  <si>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</si>
  <si>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</si>
  <si>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</si>
  <si>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</si>
  <si>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</si>
  <si>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</si>
  <si>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</si>
  <si>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</si>
  <si>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</si>
  <si>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</si>
  <si>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</si>
  <si>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</si>
  <si>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</si>
  <si>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</si>
  <si>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</si>
  <si>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</si>
  <si>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</si>
  <si>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</si>
  <si>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</si>
  <si>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</si>
  <si>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</si>
  <si>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</si>
  <si>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</si>
  <si>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</si>
  <si>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</si>
  <si>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</si>
  <si>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</si>
  <si>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</si>
  <si>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</si>
  <si>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</si>
  <si>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</si>
  <si>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</si>
  <si>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WILL</t>
  </si>
  <si>
    <t>400 ELISE AVENUE</t>
  </si>
  <si>
    <t>CREST HILL</t>
  </si>
  <si>
    <t>ASIEGFRIED@CHANEYMONGE.US</t>
  </si>
  <si>
    <t>X</t>
  </si>
  <si>
    <t>MUELLER &amp; CO., LLP</t>
  </si>
  <si>
    <t>14300 RAVINIA AVE</t>
  </si>
  <si>
    <t>ORLAND PARK</t>
  </si>
  <si>
    <t>708-349-6999</t>
  </si>
  <si>
    <t>066-003328</t>
  </si>
  <si>
    <t>emccormick@muellercpa.com</t>
  </si>
  <si>
    <t>IL</t>
  </si>
  <si>
    <t>708-349-6639</t>
  </si>
  <si>
    <t>ANDY SIEGFRIED</t>
  </si>
  <si>
    <t>815-722-6673</t>
  </si>
  <si>
    <t>815-722-7814</t>
  </si>
  <si>
    <t xml:space="preserve">#20 LIMITED SEGREGATION OF DUTIES WITHIN THE ACCOUNTING DEPARTMENT DUE TO NUMBER OF STAFF AVAILABLE. </t>
  </si>
  <si>
    <t>Mueller &amp; CO., LLP</t>
  </si>
  <si>
    <t>x</t>
  </si>
  <si>
    <t>GO School Building Bond Series 2014A</t>
  </si>
  <si>
    <t>GO School Building Bond Series 2017</t>
  </si>
  <si>
    <t>GO School Building Bond Series 2014B</t>
  </si>
  <si>
    <t>Taxable GO Limited Refunding School Bond 2020A</t>
  </si>
  <si>
    <t>GO Limited School Bonds 2020B</t>
  </si>
  <si>
    <t>Taxable GO Limited Refunding School Bond 2020C</t>
  </si>
  <si>
    <t xml:space="preserve">Union School </t>
  </si>
  <si>
    <t xml:space="preserve">Lockport Area Special Education Cooperative </t>
  </si>
  <si>
    <t>Page #</t>
  </si>
  <si>
    <t>Acct#</t>
  </si>
  <si>
    <t>Education</t>
  </si>
  <si>
    <t>Capital Project</t>
  </si>
  <si>
    <t>Band fees</t>
  </si>
  <si>
    <t>Technology Fees and textbooks other</t>
  </si>
  <si>
    <t>Other Income</t>
  </si>
  <si>
    <t>State Library Grant</t>
  </si>
  <si>
    <t>Other restriction grants in aid from federal for state</t>
  </si>
  <si>
    <t>Erate proceeds and Other Income</t>
  </si>
  <si>
    <t>Tax Equivalent Grant</t>
  </si>
  <si>
    <t>Ed Food service</t>
  </si>
  <si>
    <t>Transportation Student Transportation</t>
  </si>
  <si>
    <t>Union School</t>
  </si>
  <si>
    <t>First Student</t>
  </si>
  <si>
    <t>KEVIN BISSELL</t>
  </si>
  <si>
    <t xml:space="preserve"> Chaney-Monge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</si>
</sst>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66" fillId="0" borderId="0" xfId="0" applyFont="1"/>
    <xf numFmtId="44" fontId="57" fillId="0" borderId="0" xfId="2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2006</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2069</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2055</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56099088002</v>
      </c>
      <c r="B13" s="2103"/>
      <c r="C13" s="2103"/>
      <c r="D13" s="2103"/>
      <c r="E13" s="2103"/>
      <c r="F13" s="2103"/>
      <c r="G13" s="2103"/>
      <c r="H13" s="2104"/>
      <c r="I13" s="31"/>
      <c r="J13" s="30"/>
      <c r="K13" s="28"/>
      <c r="L13" s="30"/>
      <c r="M13" s="30"/>
      <c r="N13" s="30"/>
      <c r="O13" s="30"/>
      <c r="P13" s="30"/>
      <c r="Q13" s="30"/>
      <c r="R13" s="30"/>
      <c r="S13" s="30"/>
      <c r="T13" s="2108" t="s">
        <v>2056</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2051</v>
      </c>
      <c r="B15" s="2106"/>
      <c r="C15" s="2106"/>
      <c r="D15" s="2106"/>
      <c r="E15" s="2106"/>
      <c r="F15" s="2106"/>
      <c r="G15" s="2106"/>
      <c r="H15" s="2107"/>
      <c r="T15" s="2112" t="s">
        <v>2093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2094</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2052</v>
      </c>
      <c r="B19" s="2061"/>
      <c r="C19" s="2061"/>
      <c r="D19" s="2061"/>
      <c r="E19" s="2061"/>
      <c r="F19" s="2061"/>
      <c r="G19" s="2061"/>
      <c r="H19" s="2041"/>
      <c r="I19" s="30"/>
      <c r="J19" s="96"/>
      <c r="K19" s="40"/>
      <c r="L19" s="38"/>
      <c r="M19" s="109" t="s">
        <v>312</v>
      </c>
      <c r="P19" s="27"/>
      <c r="Q19" s="27"/>
      <c r="R19" s="27"/>
      <c r="S19" s="31"/>
      <c r="T19" s="2105" t="s">
        <v>2058</v>
      </c>
      <c r="U19" s="2040"/>
      <c r="V19" s="2040"/>
      <c r="W19" s="2041"/>
      <c r="X19" s="2117" t="s">
        <v>2062</v>
      </c>
      <c r="Y19" s="2118"/>
      <c r="Z19" s="2115">
        <v>60462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2053</v>
      </c>
      <c r="B21" s="2040"/>
      <c r="C21" s="2040"/>
      <c r="D21" s="2040"/>
      <c r="E21" s="2040"/>
      <c r="F21" s="2040"/>
      <c r="G21" s="2040"/>
      <c r="H21" s="2041"/>
      <c r="I21" s="2095" t="s">
        <v>673</v>
      </c>
      <c r="J21" s="2090"/>
      <c r="K21" s="2090"/>
      <c r="L21" s="2090"/>
      <c r="M21" s="2090"/>
      <c r="N21" s="2090"/>
      <c r="O21" s="2090"/>
      <c r="P21" s="2090"/>
      <c r="Q21" s="2090"/>
      <c r="R21" s="2090"/>
      <c r="S21" s="2096"/>
      <c r="T21" s="2130" t="s">
        <v>2059</v>
      </c>
      <c r="U21" s="2131"/>
      <c r="V21" s="2131"/>
      <c r="W21" s="2131"/>
      <c r="X21" s="2136" t="s">
        <v>2063</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2054</v>
      </c>
      <c r="B23" s="2093"/>
      <c r="C23" s="2093"/>
      <c r="D23" s="2093"/>
      <c r="E23" s="2093"/>
      <c r="F23" s="2093"/>
      <c r="G23" s="2093"/>
      <c r="H23" s="2094"/>
      <c r="T23" s="2075" t="s">
        <v>2060</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60453</v>
      </c>
      <c r="B25" s="2040"/>
      <c r="C25" s="2040"/>
      <c r="D25" s="2040"/>
      <c r="E25" s="2040"/>
      <c r="F25" s="2040"/>
      <c r="G25" s="2040"/>
      <c r="H25" s="2041"/>
      <c r="I25" s="110"/>
      <c r="J25" s="2064"/>
      <c r="K25" s="2064"/>
      <c r="L25" s="2064"/>
      <c r="M25" s="2064"/>
      <c r="N25" s="2064"/>
      <c r="O25" s="2064"/>
      <c r="P25" s="2064"/>
      <c r="Q25" s="2064"/>
      <c r="R25" s="2064"/>
      <c r="S25" s="2065"/>
      <c r="T25" s="2126" t="s">
        <v>2061</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2055</v>
      </c>
      <c r="M29" s="40" t="s">
        <v>99</v>
      </c>
      <c r="N29" s="32" t="s">
        <v>1509</v>
      </c>
      <c r="O29" s="32"/>
      <c r="P29" s="32"/>
      <c r="Q29" s="32"/>
      <c r="R29" s="32"/>
      <c r="S29" s="120"/>
      <c r="T29" s="6"/>
      <c r="U29" s="6"/>
      <c r="V29" s="6"/>
      <c r="W29" s="6"/>
      <c r="X29" s="6"/>
      <c r="Y29" s="6"/>
      <c r="Z29" s="6"/>
      <c r="AA29" s="129"/>
    </row>
    <row r="30" spans="1:27" ht="13.5" customHeight="1" x14ac:dyDescent="0.2">
      <c r="A30" s="149"/>
      <c r="B30" s="133" t="s">
        <v>2055</v>
      </c>
      <c r="C30" s="121" t="s">
        <v>1156</v>
      </c>
      <c r="D30" s="28"/>
      <c r="E30" s="28"/>
      <c r="F30" s="136"/>
      <c r="G30" s="111"/>
      <c r="H30" s="111"/>
      <c r="I30" s="51"/>
      <c r="J30" s="99"/>
      <c r="K30" s="28" t="s">
        <v>572</v>
      </c>
      <c r="L30" s="144" t="s">
        <v>2055</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2055</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2054</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E14" sqref="E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1147</v>
      </c>
      <c r="B4" s="1721">
        <f>'Revenues 9-14'!C5</f>
        <v>1380150</v>
      </c>
      <c r="C4" s="1722">
        <v>735758</v>
      </c>
      <c r="D4" s="1723">
        <f>B4-C4</f>
        <v>644392</v>
      </c>
      <c r="E4" s="1722">
        <v>1406690</v>
      </c>
      <c r="F4" s="1723">
        <f>E4-C4</f>
        <v>670932</v>
      </c>
    </row>
    <row r="5" spans="1:8" ht="13.7" customHeight="1" x14ac:dyDescent="0.2">
      <c r="A5" s="579" t="s">
        <v>865</v>
      </c>
      <c r="B5" s="1724">
        <f>'Revenues 9-14'!D5</f>
        <v>266106</v>
      </c>
      <c r="C5" s="1664">
        <v>141923</v>
      </c>
      <c r="D5" s="1725">
        <f t="shared" ref="D5:D18" si="0">B5-C5</f>
        <v>124183</v>
      </c>
      <c r="E5" s="1664">
        <v>271341</v>
      </c>
      <c r="F5" s="1725">
        <f>E5-C5</f>
        <v>129418</v>
      </c>
    </row>
    <row r="6" spans="1:8" ht="13.7" customHeight="1" x14ac:dyDescent="0.2">
      <c r="A6" s="579" t="s">
        <v>408</v>
      </c>
      <c r="B6" s="1724">
        <f>'Revenues 9-14'!E5</f>
        <v>266990</v>
      </c>
      <c r="C6" s="1664">
        <v>141412</v>
      </c>
      <c r="D6" s="1725">
        <f t="shared" si="0"/>
        <v>125578</v>
      </c>
      <c r="E6" s="1664">
        <v>270364</v>
      </c>
      <c r="F6" s="1725">
        <f t="shared" ref="F6:F18" si="1">E6-C6</f>
        <v>128952</v>
      </c>
    </row>
    <row r="7" spans="1:8" ht="13.7" customHeight="1" x14ac:dyDescent="0.2">
      <c r="A7" s="579" t="s">
        <v>154</v>
      </c>
      <c r="B7" s="1724">
        <f>'Revenues 9-14'!F5</f>
        <v>120961</v>
      </c>
      <c r="C7" s="1664">
        <v>64514</v>
      </c>
      <c r="D7" s="1725">
        <f t="shared" si="0"/>
        <v>56447</v>
      </c>
      <c r="E7" s="1664">
        <v>123344</v>
      </c>
      <c r="F7" s="1725">
        <f t="shared" si="1"/>
        <v>58830</v>
      </c>
    </row>
    <row r="8" spans="1:8" ht="13.7" customHeight="1" x14ac:dyDescent="0.2">
      <c r="A8" s="579" t="s">
        <v>1171</v>
      </c>
      <c r="B8" s="1724">
        <f>'Revenues 9-14'!G5</f>
        <v>46931</v>
      </c>
      <c r="C8" s="1664">
        <v>25083</v>
      </c>
      <c r="D8" s="1725">
        <f t="shared" si="0"/>
        <v>21848</v>
      </c>
      <c r="E8" s="1664">
        <v>47955</v>
      </c>
      <c r="F8" s="1725">
        <f t="shared" si="1"/>
        <v>22872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48408</v>
      </c>
      <c r="C13" s="1664">
        <v>25829</v>
      </c>
      <c r="D13" s="1725">
        <f t="shared" si="0"/>
        <v>22579</v>
      </c>
      <c r="E13" s="1664">
        <v>49383</v>
      </c>
      <c r="F13" s="1725">
        <f t="shared" si="1"/>
        <v>23554</v>
      </c>
    </row>
    <row r="14" spans="1:8" ht="13.7" customHeight="1" x14ac:dyDescent="0.2">
      <c r="A14" s="579" t="s">
        <v>407</v>
      </c>
      <c r="B14" s="1724">
        <f>SUM('Revenues 9-14'!C7:D7,'Revenues 9-14'!F7:H7)</f>
        <v>193553</v>
      </c>
      <c r="C14" s="1664">
        <v>103238</v>
      </c>
      <c r="D14" s="1725">
        <f t="shared" si="0"/>
        <v>90315</v>
      </c>
      <c r="E14" s="1664">
        <v>197380</v>
      </c>
      <c r="F14" s="1725">
        <f t="shared" si="1"/>
        <v>94142</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45463</v>
      </c>
      <c r="C16" s="1664">
        <v>24610</v>
      </c>
      <c r="D16" s="1725">
        <f t="shared" si="0"/>
        <v>20853</v>
      </c>
      <c r="E16" s="1664">
        <v>47052</v>
      </c>
      <c r="F16" s="1725">
        <f t="shared" si="1"/>
        <v>22442</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2368562</v>
      </c>
      <c r="C19" s="1726">
        <f>SUM(C4:C18)</f>
        <v>1262367</v>
      </c>
      <c r="D19" s="1726">
        <f>SUM(D4:D18)</f>
        <v>1106195</v>
      </c>
      <c r="E19" s="1726">
        <f>SUM(E4:E18)</f>
        <v>2413509</v>
      </c>
      <c r="F19" s="1726">
        <f>SUM(F4:F18)</f>
        <v>1151142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 xml:space="preserve">&amp;L&amp;8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C19" colorId="8" zoomScale="6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1782</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1103</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2009</v>
      </c>
      <c r="B24" s="2306"/>
      <c r="C24" s="2300"/>
      <c r="D24" s="2301"/>
      <c r="E24" s="2301"/>
      <c r="F24" s="2302"/>
    </row>
    <row r="25" spans="1:11" ht="13.5" thickBot="1" x14ac:dyDescent="0.25">
      <c r="A25" s="2307" t="s">
        <v>2010</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2070</v>
      </c>
      <c r="B32" s="595">
        <v>41898</v>
      </c>
      <c r="C32" s="1734">
        <v>1000000</v>
      </c>
      <c r="D32" s="1735">
        <v>2</v>
      </c>
      <c r="E32" s="1734">
        <v>855000</v>
      </c>
      <c r="F32" s="1734"/>
      <c r="G32" s="1734">
        <v>-670000</v>
      </c>
      <c r="H32" s="1734">
        <v>50000</v>
      </c>
      <c r="I32" s="1736">
        <f>((E32+F32)-H32)+G32</f>
        <v>135000</v>
      </c>
      <c r="J32" s="1734">
        <f>-45000+135000</f>
        <v>90000</v>
      </c>
      <c r="K32" s="596"/>
    </row>
    <row r="33" spans="1:11" ht="12" customHeight="1" x14ac:dyDescent="0.2">
      <c r="A33" s="594" t="s">
        <v>2072</v>
      </c>
      <c r="B33" s="595">
        <v>41898</v>
      </c>
      <c r="C33" s="1734">
        <v>330000</v>
      </c>
      <c r="D33" s="1735">
        <v>2</v>
      </c>
      <c r="E33" s="1734">
        <v>265000</v>
      </c>
      <c r="F33" s="1734"/>
      <c r="G33" s="1734">
        <v>-95000</v>
      </c>
      <c r="H33" s="1734">
        <v>35000</v>
      </c>
      <c r="I33" s="1736">
        <f t="shared" ref="I33:I48" si="1">((E33+F33)-H33)+G33</f>
        <v>135000</v>
      </c>
      <c r="J33" s="1734">
        <f>-20000+135000</f>
        <v>115000</v>
      </c>
      <c r="K33" s="596"/>
    </row>
    <row r="34" spans="1:11" ht="12" customHeight="1" x14ac:dyDescent="0.2">
      <c r="A34" s="594" t="s">
        <v>2071</v>
      </c>
      <c r="B34" s="595">
        <v>43097</v>
      </c>
      <c r="C34" s="1734">
        <v>2000000</v>
      </c>
      <c r="D34" s="1735">
        <v>2</v>
      </c>
      <c r="E34" s="1734">
        <v>1990000</v>
      </c>
      <c r="F34" s="1734"/>
      <c r="G34" s="1734">
        <v>-1705000</v>
      </c>
      <c r="H34" s="1734">
        <v>45000</v>
      </c>
      <c r="I34" s="1736">
        <f t="shared" si="1"/>
        <v>240000</v>
      </c>
      <c r="J34" s="1734">
        <f>-55000+240000</f>
        <v>185000</v>
      </c>
      <c r="K34" s="597"/>
    </row>
    <row r="35" spans="1:11" ht="12" customHeight="1" x14ac:dyDescent="0.2">
      <c r="A35" s="594" t="s">
        <v>2073</v>
      </c>
      <c r="B35" s="595">
        <v>43962</v>
      </c>
      <c r="C35" s="1737">
        <v>114000</v>
      </c>
      <c r="D35" s="1735">
        <v>3</v>
      </c>
      <c r="E35" s="1737"/>
      <c r="F35" s="1737">
        <v>114000</v>
      </c>
      <c r="G35" s="1737"/>
      <c r="H35" s="1737"/>
      <c r="I35" s="1736">
        <f t="shared" si="1"/>
        <v>114000</v>
      </c>
      <c r="J35" s="1737">
        <v>114000</v>
      </c>
      <c r="K35" s="597"/>
    </row>
    <row r="36" spans="1:11" ht="12" customHeight="1" x14ac:dyDescent="0.2">
      <c r="A36" s="594" t="s">
        <v>2074</v>
      </c>
      <c r="B36" s="595">
        <v>43962</v>
      </c>
      <c r="C36" s="1734">
        <v>398000</v>
      </c>
      <c r="D36" s="1735">
        <v>2</v>
      </c>
      <c r="E36" s="1734"/>
      <c r="F36" s="1734">
        <v>398000</v>
      </c>
      <c r="G36" s="1734"/>
      <c r="H36" s="1734"/>
      <c r="I36" s="1736">
        <f t="shared" si="1"/>
        <v>398000</v>
      </c>
      <c r="J36" s="1734">
        <v>398000</v>
      </c>
      <c r="K36" s="598"/>
    </row>
    <row r="37" spans="1:11" ht="12" customHeight="1" x14ac:dyDescent="0.2">
      <c r="A37" s="594" t="s">
        <v>2075</v>
      </c>
      <c r="B37" s="595">
        <v>43962</v>
      </c>
      <c r="C37" s="1574">
        <v>2780000</v>
      </c>
      <c r="D37" s="1738">
        <v>3</v>
      </c>
      <c r="E37" s="1574"/>
      <c r="F37" s="1574">
        <v>2780000</v>
      </c>
      <c r="G37" s="1574"/>
      <c r="H37" s="1574"/>
      <c r="I37" s="1736">
        <f t="shared" si="1"/>
        <v>2780000</v>
      </c>
      <c r="J37" s="1574">
        <f>-26396+2780000</f>
        <v>2753604</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6622000</v>
      </c>
      <c r="D49" s="1742"/>
      <c r="E49" s="1736">
        <f t="shared" ref="E49:J49" si="2">SUM(E31:E48)</f>
        <v>3110000</v>
      </c>
      <c r="F49" s="1736">
        <f t="shared" si="2"/>
        <v>3292000</v>
      </c>
      <c r="G49" s="1736">
        <f t="shared" si="2"/>
        <v>-2470000</v>
      </c>
      <c r="H49" s="1736">
        <f t="shared" si="2"/>
        <v>130000</v>
      </c>
      <c r="I49" s="1736">
        <f t="shared" si="2"/>
        <v>3802000</v>
      </c>
      <c r="J49" s="1736">
        <f t="shared" si="2"/>
        <v>3655604</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 xml:space="preserve">&amp;L&amp;8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H23" sqref="H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1661</v>
      </c>
      <c r="B2" s="2341"/>
      <c r="C2" s="2341"/>
      <c r="D2" s="2341"/>
      <c r="E2" s="2342"/>
      <c r="F2" s="615" t="s">
        <v>898</v>
      </c>
      <c r="G2" s="616" t="s">
        <v>1658</v>
      </c>
      <c r="H2" s="616" t="s">
        <v>407</v>
      </c>
      <c r="I2" s="616" t="s">
        <v>1150</v>
      </c>
      <c r="J2" s="616" t="s">
        <v>1792</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1062</v>
      </c>
      <c r="B5" s="2325"/>
      <c r="C5" s="2325"/>
      <c r="D5" s="2325"/>
      <c r="E5" s="2326"/>
      <c r="F5" s="622" t="s">
        <v>843</v>
      </c>
      <c r="G5" s="1749"/>
      <c r="H5" s="1744">
        <v>193553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4" t="s">
        <v>1793</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193553</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193553</v>
      </c>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1789</v>
      </c>
      <c r="B19" s="2333"/>
      <c r="C19" s="2333"/>
      <c r="D19" s="2333"/>
      <c r="E19" s="2334"/>
      <c r="F19" s="635" t="s">
        <v>927</v>
      </c>
      <c r="G19" s="1753"/>
      <c r="H19" s="1753"/>
      <c r="I19" s="1753"/>
      <c r="J19" s="1745"/>
      <c r="K19" s="1763"/>
    </row>
    <row r="20" spans="1:15" x14ac:dyDescent="0.2">
      <c r="A20" s="2335" t="s">
        <v>1794</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1795</v>
      </c>
      <c r="B22" s="2325"/>
      <c r="C22" s="2325"/>
      <c r="D22" s="2325"/>
      <c r="E22" s="2326"/>
      <c r="F22" s="635" t="s">
        <v>857</v>
      </c>
      <c r="G22" s="1753"/>
      <c r="H22" s="1744">
        <v>0</v>
      </c>
      <c r="I22" s="1744"/>
      <c r="J22" s="1766"/>
      <c r="K22" s="1745"/>
    </row>
    <row r="23" spans="1:15" ht="13.5" thickBot="1" x14ac:dyDescent="0.25">
      <c r="A23" s="2355" t="s">
        <v>900</v>
      </c>
      <c r="B23" s="2354"/>
      <c r="C23" s="2354"/>
      <c r="D23" s="2354"/>
      <c r="E23" s="2354"/>
      <c r="F23" s="1436"/>
      <c r="G23" s="1755">
        <f>SUM(G14:G16,G21,G22)</f>
        <v>0</v>
      </c>
      <c r="H23" s="1755">
        <f>SUM(H14:H16,H21,H22)</f>
        <v>193553</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14071</v>
      </c>
    </row>
    <row r="37" spans="1:11" x14ac:dyDescent="0.2">
      <c r="A37" s="660" t="s">
        <v>890</v>
      </c>
      <c r="B37" s="658"/>
      <c r="C37" s="658"/>
      <c r="D37" s="658"/>
      <c r="E37" s="658"/>
      <c r="F37" s="659"/>
      <c r="G37" s="619"/>
    </row>
    <row r="38" spans="1:11" x14ac:dyDescent="0.2">
      <c r="A38" s="660" t="s">
        <v>986</v>
      </c>
      <c r="B38" s="658"/>
      <c r="C38" s="658"/>
      <c r="D38" s="658"/>
      <c r="E38" s="658"/>
      <c r="F38" s="659"/>
      <c r="G38" s="619">
        <v>38647</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 xml:space="preserve">&amp;L&amp;8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topLeftCell="D1" colorId="8" zoomScale="6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1878</v>
      </c>
      <c r="B1" s="2363"/>
      <c r="C1" s="2364"/>
      <c r="D1" s="666"/>
      <c r="E1" s="667"/>
      <c r="F1" s="667"/>
      <c r="G1" s="668"/>
      <c r="H1" s="669"/>
      <c r="I1" s="670"/>
      <c r="J1" s="2360"/>
      <c r="K1" s="2361"/>
      <c r="L1" s="2361"/>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44750</v>
      </c>
      <c r="D5" s="1770"/>
      <c r="E5" s="1770"/>
      <c r="F5" s="1765">
        <f>(C5+D5)-E5</f>
        <v>44750</v>
      </c>
      <c r="G5" s="676"/>
      <c r="H5" s="680"/>
      <c r="I5" s="680"/>
      <c r="J5" s="680"/>
      <c r="K5" s="637"/>
      <c r="L5" s="1442">
        <f>F5-K5</f>
        <v>44750</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2460911</v>
      </c>
      <c r="D8" s="1771"/>
      <c r="E8" s="1771"/>
      <c r="F8" s="1765">
        <f>(C8+D8)-E8</f>
        <v>2460911</v>
      </c>
      <c r="G8" s="681">
        <v>50</v>
      </c>
      <c r="H8" s="619">
        <v>2013881</v>
      </c>
      <c r="I8" s="619">
        <v>49218</v>
      </c>
      <c r="J8" s="619"/>
      <c r="K8" s="1442">
        <f>(H8+I8)-J8</f>
        <v>2063099</v>
      </c>
      <c r="L8" s="1442">
        <f>F8-K8</f>
        <v>397812</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2530765</v>
      </c>
      <c r="D10" s="1772"/>
      <c r="E10" s="1772"/>
      <c r="F10" s="1773">
        <f>(C10+D10)-E10</f>
        <v>2530765</v>
      </c>
      <c r="G10" s="681">
        <v>20</v>
      </c>
      <c r="H10" s="683">
        <v>387991</v>
      </c>
      <c r="I10" s="683">
        <v>126538</v>
      </c>
      <c r="J10" s="683"/>
      <c r="K10" s="1442">
        <f>(H10+I10)-J10</f>
        <v>514529</v>
      </c>
      <c r="L10" s="1442">
        <f>F10-K10</f>
        <v>2016236</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1344498</v>
      </c>
      <c r="D12" s="1771">
        <v>102314</v>
      </c>
      <c r="E12" s="1771"/>
      <c r="F12" s="1765">
        <f>(C12+D12)-E12</f>
        <v>1446812</v>
      </c>
      <c r="G12" s="681">
        <v>10</v>
      </c>
      <c r="H12" s="619">
        <v>828257</v>
      </c>
      <c r="I12" s="619">
        <v>84444</v>
      </c>
      <c r="J12" s="619"/>
      <c r="K12" s="1442">
        <f>(H12+I12)-J12</f>
        <v>912701</v>
      </c>
      <c r="L12" s="1442">
        <f>F12-K12</f>
        <v>534111</v>
      </c>
    </row>
    <row r="13" spans="1:14" ht="14.25" thickTop="1" thickBot="1" x14ac:dyDescent="0.25">
      <c r="A13" s="684" t="s">
        <v>1114</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501303</v>
      </c>
      <c r="E15" s="1771"/>
      <c r="F15" s="1765">
        <f>(C15+D15)-E15</f>
        <v>501303</v>
      </c>
      <c r="G15" s="685" t="s">
        <v>857</v>
      </c>
      <c r="H15" s="632"/>
      <c r="I15" s="632"/>
      <c r="J15" s="632"/>
      <c r="K15" s="632"/>
      <c r="L15" s="1442">
        <f>F15-K15</f>
        <v>501303</v>
      </c>
    </row>
    <row r="16" spans="1:14" ht="15" customHeight="1" thickTop="1" thickBot="1" x14ac:dyDescent="0.25">
      <c r="A16" s="1438" t="s">
        <v>638</v>
      </c>
      <c r="B16" s="1439">
        <v>200</v>
      </c>
      <c r="C16" s="1765">
        <f>SUM(C3,C5:C6,C8:C10,C12:C15)</f>
        <v>6380924</v>
      </c>
      <c r="D16" s="1765">
        <f>SUM(D3,D5:D6,D8:D10,D12:D15)</f>
        <v>603617</v>
      </c>
      <c r="E16" s="1765">
        <f>SUM(E3,E5:E6,E8:E10,E12:E15)</f>
        <v>0</v>
      </c>
      <c r="F16" s="1765">
        <f>SUM(F3,F5:F6,F8:F10,F12:F15)</f>
        <v>6984541</v>
      </c>
      <c r="G16" s="681"/>
      <c r="H16" s="1435">
        <f>SUM(H3,H6,H8:H10,H12:H14,)</f>
        <v>3230129</v>
      </c>
      <c r="I16" s="1435">
        <f>SUM(I3,I6,I8:I10,I12:I14,)</f>
        <v>260200</v>
      </c>
      <c r="J16" s="1435">
        <f>SUM(J3,J6,J8:J10,J12:J14,)</f>
        <v>0</v>
      </c>
      <c r="K16" s="1435">
        <f>(H16+I16)-J16</f>
        <v>3490329</v>
      </c>
      <c r="L16" s="1435">
        <f>F16-K16</f>
        <v>3494212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260200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 xml:space="preserve">&amp;L&amp;8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A55" colorId="8" zoomScale="6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5124851</v>
      </c>
      <c r="G8" s="701"/>
    </row>
    <row r="9" spans="1:9" x14ac:dyDescent="0.2">
      <c r="A9" s="705" t="s">
        <v>457</v>
      </c>
      <c r="B9" s="706" t="s">
        <v>1851</v>
      </c>
      <c r="C9" s="707"/>
      <c r="D9" s="705" t="s">
        <v>498</v>
      </c>
      <c r="E9" s="704"/>
      <c r="F9" s="1775">
        <f>'Expenditures 15-22'!K151</f>
        <v>307311</v>
      </c>
      <c r="G9" s="708"/>
    </row>
    <row r="10" spans="1:9" x14ac:dyDescent="0.2">
      <c r="A10" s="705" t="s">
        <v>496</v>
      </c>
      <c r="B10" s="706" t="s">
        <v>1852</v>
      </c>
      <c r="C10" s="707"/>
      <c r="D10" s="705" t="s">
        <v>498</v>
      </c>
      <c r="E10" s="704"/>
      <c r="F10" s="1775">
        <f>'Expenditures 15-22'!K174</f>
        <v>391303</v>
      </c>
      <c r="G10" s="708"/>
    </row>
    <row r="11" spans="1:9" x14ac:dyDescent="0.2">
      <c r="A11" s="705" t="s">
        <v>458</v>
      </c>
      <c r="B11" s="706" t="s">
        <v>1853</v>
      </c>
      <c r="C11" s="707"/>
      <c r="D11" s="705" t="s">
        <v>498</v>
      </c>
      <c r="E11" s="704"/>
      <c r="F11" s="1775">
        <f>'Expenditures 15-22'!K210</f>
        <v>641197</v>
      </c>
      <c r="G11" s="708"/>
    </row>
    <row r="12" spans="1:9" x14ac:dyDescent="0.2">
      <c r="A12" s="705" t="s">
        <v>459</v>
      </c>
      <c r="B12" s="706" t="s">
        <v>1854</v>
      </c>
      <c r="C12" s="707"/>
      <c r="D12" s="705" t="s">
        <v>498</v>
      </c>
      <c r="E12" s="704"/>
      <c r="F12" s="1775">
        <f>'Expenditures 15-22'!K295</f>
        <v>131238</v>
      </c>
      <c r="G12" s="708"/>
    </row>
    <row r="13" spans="1:9" x14ac:dyDescent="0.2">
      <c r="A13" s="705" t="s">
        <v>106</v>
      </c>
      <c r="B13" s="706" t="s">
        <v>1855</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6595900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2214</v>
      </c>
      <c r="G52" s="701"/>
    </row>
    <row r="53" spans="1:7" x14ac:dyDescent="0.2">
      <c r="A53" s="705" t="s">
        <v>456</v>
      </c>
      <c r="B53" s="705" t="s">
        <v>1461</v>
      </c>
      <c r="C53" s="724">
        <f>'Expenditures 15-22'!B102</f>
        <v>4000</v>
      </c>
      <c r="D53" s="723" t="str">
        <f>'Expenditures 15-22'!A102</f>
        <v>Total Payments to Other Govt Units</v>
      </c>
      <c r="E53" s="704"/>
      <c r="F53" s="1782">
        <f>'Expenditures 15-22'!K102</f>
        <v>284024</v>
      </c>
      <c r="G53" s="701"/>
    </row>
    <row r="54" spans="1:7" x14ac:dyDescent="0.2">
      <c r="A54" s="705" t="s">
        <v>456</v>
      </c>
      <c r="B54" s="705" t="s">
        <v>1462</v>
      </c>
      <c r="C54" s="724" t="s">
        <v>975</v>
      </c>
      <c r="D54" s="720" t="s">
        <v>1088</v>
      </c>
      <c r="E54" s="704"/>
      <c r="F54" s="1782">
        <f>'Expenditures 15-22'!G114</f>
        <v>66974</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35340</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130000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518552</v>
      </c>
      <c r="G77" s="701"/>
    </row>
    <row r="78" spans="1:9" s="728" customFormat="1" ht="12" customHeight="1" thickTop="1" thickBot="1" x14ac:dyDescent="0.25">
      <c r="A78" s="1450"/>
      <c r="B78" s="1448"/>
      <c r="C78" s="1445"/>
      <c r="D78" s="1449" t="s">
        <v>2015</v>
      </c>
      <c r="E78" s="1447"/>
      <c r="F78" s="1788">
        <f>(F14-F77)</f>
        <v>6077348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371.1</v>
      </c>
      <c r="G79" s="733"/>
      <c r="H79" s="705"/>
      <c r="I79" s="705"/>
    </row>
    <row r="80" spans="1:9" s="728" customFormat="1" ht="12" customHeight="1" thickBot="1" x14ac:dyDescent="0.25">
      <c r="A80" s="1452"/>
      <c r="B80" s="1448"/>
      <c r="C80" s="1445"/>
      <c r="D80" s="1449" t="s">
        <v>2016</v>
      </c>
      <c r="E80" s="1447" t="s">
        <v>952</v>
      </c>
      <c r="F80" s="1790">
        <f>IF(F79&gt;0,F78/F79," Complete Line 79")</f>
        <v>16376.577741848558</v>
      </c>
      <c r="G80" s="705"/>
    </row>
    <row r="81" spans="1:7" s="728" customFormat="1" ht="8.25" customHeight="1" thickTop="1" x14ac:dyDescent="0.2">
      <c r="A81" s="734"/>
      <c r="B81" s="705"/>
      <c r="C81" s="707"/>
      <c r="D81" s="735"/>
      <c r="E81" s="704"/>
      <c r="F81" s="1791"/>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6048</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19630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128853</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4921</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401767</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1929</v>
      </c>
      <c r="C122" s="761">
        <f>'Revenues 9-14'!B168</f>
        <v>3999</v>
      </c>
      <c r="D122" s="762" t="s">
        <v>540</v>
      </c>
      <c r="E122" s="764"/>
      <c r="F122" s="179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327694</v>
      </c>
      <c r="G126" s="763"/>
    </row>
    <row r="127" spans="1:7" x14ac:dyDescent="0.2">
      <c r="A127" s="760" t="s">
        <v>663</v>
      </c>
      <c r="B127" s="760" t="s">
        <v>1934</v>
      </c>
      <c r="C127" s="765">
        <v>4300</v>
      </c>
      <c r="D127" s="766" t="str">
        <f>'Revenues 9-14'!A204</f>
        <v>Total Title I</v>
      </c>
      <c r="E127" s="739"/>
      <c r="F127" s="1793">
        <f>SUM('Revenues 9-14'!C204,'Revenues 9-14'!D204,'Revenues 9-14'!F204,'Revenues 9-14'!G204)</f>
        <v>123793</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9997</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78345</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3074</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28194</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6619</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36349</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108039</v>
      </c>
      <c r="G171" s="760"/>
    </row>
    <row r="172" spans="1:7" x14ac:dyDescent="0.2">
      <c r="A172" s="1529" t="s">
        <v>5</v>
      </c>
      <c r="B172" s="1530" t="s">
        <v>1888</v>
      </c>
      <c r="C172" s="1531">
        <v>3100</v>
      </c>
      <c r="D172" s="1532" t="s">
        <v>1890</v>
      </c>
      <c r="E172" s="739"/>
      <c r="F172" s="1794">
        <v>202205</v>
      </c>
      <c r="G172" s="760"/>
    </row>
    <row r="173" spans="1:7" x14ac:dyDescent="0.2">
      <c r="A173" s="1529" t="s">
        <v>659</v>
      </c>
      <c r="B173" s="1530" t="s">
        <v>1888</v>
      </c>
      <c r="C173" s="1531">
        <v>3300</v>
      </c>
      <c r="D173" s="1532" t="s">
        <v>1891</v>
      </c>
      <c r="E173" s="739"/>
      <c r="F173" s="1794">
        <v>16698</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1552976</v>
      </c>
    </row>
    <row r="176" spans="1:7" ht="12" customHeight="1" x14ac:dyDescent="0.2">
      <c r="A176" s="1443"/>
      <c r="B176" s="1453"/>
      <c r="C176" s="1454"/>
      <c r="D176" s="1455" t="s">
        <v>2017</v>
      </c>
      <c r="E176" s="1456"/>
      <c r="F176" s="1793">
        <f>'PCTC-OEPP 27-28'!F78-F175</f>
        <v>4524372</v>
      </c>
    </row>
    <row r="177" spans="1:9" ht="12" customHeight="1" x14ac:dyDescent="0.2">
      <c r="A177" s="1443"/>
      <c r="B177" s="1453"/>
      <c r="C177" s="1454"/>
      <c r="D177" s="1455" t="s">
        <v>1797</v>
      </c>
      <c r="E177" s="1456"/>
      <c r="F177" s="1793">
        <f>'Cap Outlay Deprec 26'!I18</f>
        <v>260200</v>
      </c>
    </row>
    <row r="178" spans="1:9" ht="12" customHeight="1" x14ac:dyDescent="0.2">
      <c r="A178" s="1443"/>
      <c r="B178" s="1453"/>
      <c r="C178" s="1454"/>
      <c r="D178" s="1455" t="s">
        <v>2018</v>
      </c>
      <c r="E178" s="1456"/>
      <c r="F178" s="1793">
        <f>F176+F177</f>
        <v>4784572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371.1</v>
      </c>
      <c r="G179" s="763"/>
      <c r="I179" s="701"/>
    </row>
    <row r="180" spans="1:9" ht="12" customHeight="1" thickBot="1" x14ac:dyDescent="0.25">
      <c r="A180" s="1443"/>
      <c r="B180" s="1457"/>
      <c r="C180" s="1454"/>
      <c r="D180" s="1455" t="s">
        <v>2020</v>
      </c>
      <c r="E180" s="1456" t="s">
        <v>1531</v>
      </c>
      <c r="F180" s="1798">
        <f>F178/F179</f>
        <v>12892.945297763405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 xml:space="preserve">&amp;L&amp;8
</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topLeftCell="A13" zoomScale="60" zoomScaleNormal="100" workbookViewId="0">
      <selection activeCell="B19" sqref="B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9" t="s">
        <v>1798</v>
      </c>
      <c r="B4" s="2380"/>
      <c r="C4" s="2380"/>
      <c r="D4" s="2380"/>
      <c r="E4" s="2380"/>
      <c r="F4" s="2381"/>
    </row>
    <row r="5" spans="1:6" x14ac:dyDescent="0.25">
      <c r="A5" s="2382"/>
      <c r="B5" s="2383"/>
      <c r="C5" s="2383"/>
      <c r="D5" s="2383"/>
      <c r="E5" s="2383"/>
      <c r="F5" s="2384"/>
    </row>
    <row r="6" spans="1:6" ht="18.75" x14ac:dyDescent="0.25">
      <c r="A6" s="1867" t="s">
        <v>1799</v>
      </c>
      <c r="B6" s="1868"/>
      <c r="C6" s="1869"/>
      <c r="D6" s="1869"/>
      <c r="E6" s="1869"/>
      <c r="F6" s="1870"/>
    </row>
    <row r="7" spans="1:6" ht="47.25" customHeight="1" x14ac:dyDescent="0.25">
      <c r="A7" s="2385" t="s">
        <v>1988</v>
      </c>
      <c r="B7" s="2386"/>
      <c r="C7" s="2386"/>
      <c r="D7" s="2386"/>
      <c r="E7" s="2386"/>
      <c r="F7" s="2387"/>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8" t="s">
        <v>1984</v>
      </c>
      <c r="B10" s="2389"/>
      <c r="C10" s="2389"/>
      <c r="D10" s="2389"/>
      <c r="E10" s="2389"/>
      <c r="F10" s="2390"/>
    </row>
    <row r="11" spans="1:6" ht="33" customHeight="1" x14ac:dyDescent="0.25">
      <c r="A11" s="2385" t="s">
        <v>1989</v>
      </c>
      <c r="B11" s="2386"/>
      <c r="C11" s="2386"/>
      <c r="D11" s="2386"/>
      <c r="E11" s="2386"/>
      <c r="F11" s="2387"/>
    </row>
    <row r="12" spans="1:6" ht="15" customHeight="1" x14ac:dyDescent="0.25">
      <c r="A12" s="1873" t="s">
        <v>1985</v>
      </c>
      <c r="B12" s="1874"/>
      <c r="C12" s="1875"/>
      <c r="D12" s="1875"/>
      <c r="E12" s="1875"/>
      <c r="F12" s="1876"/>
    </row>
    <row r="13" spans="1:6" ht="17.25" customHeight="1" x14ac:dyDescent="0.25">
      <c r="A13" s="2385" t="s">
        <v>1986</v>
      </c>
      <c r="B13" s="2386"/>
      <c r="C13" s="2386"/>
      <c r="D13" s="2386"/>
      <c r="E13" s="2386"/>
      <c r="F13" s="2387"/>
    </row>
    <row r="14" spans="1:6" ht="15" customHeight="1" x14ac:dyDescent="0.25">
      <c r="A14" s="1873" t="s">
        <v>1803</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7" t="s">
        <v>2089</v>
      </c>
      <c r="B18" s="1908">
        <v>102560400</v>
      </c>
      <c r="C18" s="2038" t="s">
        <v>2091</v>
      </c>
      <c r="D18" s="1886">
        <v>292807</v>
      </c>
      <c r="E18" s="1906" t="str">
        <f t="shared" ref="E18:E81" si="0">IF(D18&lt;25000,D18,"25,000")</f>
        <v>25,000</v>
      </c>
      <c r="F18" s="1906">
        <f t="shared" ref="F18:F81" si="1">IF(D18&gt;=25000,(D18-E18),"0")</f>
        <v>267807</v>
      </c>
      <c r="G18" s="1887"/>
    </row>
    <row r="19" spans="1:7" x14ac:dyDescent="0.25">
      <c r="A19" s="2037" t="s">
        <v>2090</v>
      </c>
      <c r="B19" s="1908">
        <v>402550300</v>
      </c>
      <c r="C19" s="2038" t="s">
        <v>2092</v>
      </c>
      <c r="D19" s="1886">
        <v>196285</v>
      </c>
      <c r="E19" s="1906" t="str">
        <f t="shared" si="0"/>
        <v>25,000</v>
      </c>
      <c r="F19" s="1906">
        <f t="shared" si="1"/>
        <v>171285</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489092</v>
      </c>
      <c r="E142" s="1893">
        <f>SUM(E18:E141)</f>
        <v>0</v>
      </c>
      <c r="F142" s="1894">
        <f>SUM(F18:F141)</f>
        <v>439092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v>292997</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19457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3384948</v>
      </c>
      <c r="F19" s="1802"/>
      <c r="G19" s="1804">
        <f>'Expenditures 15-22'!K33-SUM('Expenditures 15-22'!G33,'Expenditures 15-22'!I33)+'Expenditures 15-22'!D229</f>
        <v>3384948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319612</v>
      </c>
      <c r="F21" s="1805"/>
      <c r="G21" s="1808">
        <f>'Expenditures 15-22'!K42-SUM('Expenditures 15-22'!G42,'Expenditures 15-22'!I42)+'Expenditures 15-22'!K120-SUM('Expenditures 15-22'!G120,'Expenditures 15-22'!I120)+'Expenditures 15-22'!K180-SUM('Expenditures 15-22'!G180,'Expenditures 15-22'!I180)+'Expenditures 15-22'!D238</f>
        <v>319612</v>
      </c>
      <c r="H21" s="817"/>
      <c r="I21" s="157"/>
    </row>
    <row r="22" spans="1:9" s="542" customFormat="1" ht="12" customHeight="1" x14ac:dyDescent="0.2">
      <c r="A22" s="824" t="s">
        <v>560</v>
      </c>
      <c r="B22" s="825"/>
      <c r="C22" s="823">
        <v>2200</v>
      </c>
      <c r="D22" s="1805"/>
      <c r="E22" s="1807">
        <f>'Expenditures 15-22'!K47-SUM('Expenditures 15-22'!G47,'Expenditures 15-22'!I47)+'Expenditures 15-22'!D243</f>
        <v>70679</v>
      </c>
      <c r="F22" s="1805"/>
      <c r="G22" s="1808">
        <f>'Expenditures 15-22'!K47-SUM('Expenditures 15-22'!G47,'Expenditures 15-22'!I47)+'Expenditures 15-22'!D243</f>
        <v>70679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263206</v>
      </c>
      <c r="F23" s="1805"/>
      <c r="G23" s="1807">
        <f>'Expenditures 15-22'!K53-SUM('Expenditures 15-22'!G53,'Expenditures 15-22'!I53)+'Expenditures 15-22'!D257+'Expenditures 15-22'!K330-SUM('Expenditures 15-22'!G330,'Expenditures 15-22'!I330)</f>
        <v>263206</v>
      </c>
      <c r="H23" s="817"/>
      <c r="I23" s="157"/>
    </row>
    <row r="24" spans="1:9" s="542" customFormat="1" ht="12" customHeight="1" x14ac:dyDescent="0.2">
      <c r="A24" s="824" t="s">
        <v>562</v>
      </c>
      <c r="B24" s="825"/>
      <c r="C24" s="823">
        <v>2400</v>
      </c>
      <c r="D24" s="1805"/>
      <c r="E24" s="1807">
        <f>'Expenditures 15-22'!K57-SUM('Expenditures 15-22'!G57,'Expenditures 15-22'!I57)+'Expenditures 15-22'!D261</f>
        <v>375658</v>
      </c>
      <c r="F24" s="1805"/>
      <c r="G24" s="1808">
        <f>'Expenditures 15-22'!K57-SUM('Expenditures 15-22'!G57,'Expenditures 15-22'!I57)+'Expenditures 15-22'!D261</f>
        <v>375658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112340</v>
      </c>
      <c r="E27" s="1807">
        <f>E8</f>
        <v>0</v>
      </c>
      <c r="F27" s="1807">
        <f>'Expenditures 15-22'!K60-SUM('Expenditures 15-22'!G60,'Expenditures 15-22'!I60)+'Expenditures 15-22'!D264-E8</f>
        <v>112340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295270</v>
      </c>
      <c r="F28" s="1809">
        <f>'Expenditures 15-22'!K61-SUM('Expenditures 15-22'!G61,'Expenditures 15-22'!I61)+'Expenditures 15-22'!K124-SUM('Expenditures 15-22'!G124,'Expenditures 15-22'!I124)+'Expenditures 15-22'!D266-E9</f>
        <v>295270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641197</v>
      </c>
      <c r="F29" s="1805"/>
      <c r="G29" s="1808">
        <f>'Expenditures 15-22'!K62-SUM('Expenditures 15-22'!G62,'Expenditures 15-22'!I62)+'Expenditures 15-22'!K125-SUM('Expenditures 15-22'!G125,'Expenditures 15-22'!I125)+'Expenditures 15-22'!K182-SUM('Expenditures 15-22'!G182,'Expenditures 15-22'!I182)+'Expenditures 15-22'!D267</f>
        <v>641197</v>
      </c>
      <c r="H29" s="815"/>
    </row>
    <row r="30" spans="1:9" ht="12" customHeight="1" x14ac:dyDescent="0.2">
      <c r="A30" s="824" t="s">
        <v>100</v>
      </c>
      <c r="B30" s="827"/>
      <c r="C30" s="823">
        <v>2560</v>
      </c>
      <c r="D30" s="1805"/>
      <c r="E30" s="1807">
        <f>'Expenditures 15-22'!K63-SUM('Expenditures 15-22'!G63,'Expenditures 15-22'!I63)+'Expenditures 15-22'!D268-E10</f>
        <v>60138</v>
      </c>
      <c r="F30" s="1805"/>
      <c r="G30" s="1807">
        <f>'Expenditures 15-22'!K63-SUM('Expenditures 15-22'!G63,'Expenditures 15-22'!I63)+'Expenditures 15-22'!D268-E10</f>
        <v>60138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2214</v>
      </c>
      <c r="F39" s="1805"/>
      <c r="G39" s="1807">
        <f>'Expenditures 15-22'!K75-SUM('Expenditures 15-22'!G75,'Expenditures 15-22'!I75)+'Expenditures 15-22'!K130-SUM('Expenditures 15-22'!G130,'Expenditures 15-22'!I130)+'Expenditures 15-22'!K185-SUM('Expenditures 15-22'!G185,'Expenditures 15-22'!I185)+'Expenditures 15-22'!D280</f>
        <v>2214</v>
      </c>
    </row>
    <row r="40" spans="1:7" ht="12" customHeight="1" x14ac:dyDescent="0.2">
      <c r="A40" s="820" t="s">
        <v>1801</v>
      </c>
      <c r="B40" s="821"/>
      <c r="C40" s="823"/>
      <c r="D40" s="1805"/>
      <c r="E40" s="1809">
        <f>-'Contracts Paid in CY 29'!F142</f>
        <v>-439092</v>
      </c>
      <c r="F40" s="1805"/>
      <c r="G40" s="1809">
        <f>-'Contracts Paid in CY 29'!F142</f>
        <v>-439092</v>
      </c>
    </row>
    <row r="41" spans="1:7" ht="12" customHeight="1" x14ac:dyDescent="0.2">
      <c r="A41" s="828" t="s">
        <v>155</v>
      </c>
      <c r="B41" s="829"/>
      <c r="C41" s="830"/>
      <c r="D41" s="1809">
        <f>SUM(D19:D39)</f>
        <v>112340</v>
      </c>
      <c r="E41" s="1809">
        <f>SUM(E19:E40)</f>
        <v>4973830</v>
      </c>
      <c r="F41" s="1809">
        <f>SUM(F19:F39)</f>
        <v>407610</v>
      </c>
      <c r="G41" s="1809">
        <f>SUM(G19:G40)</f>
        <v>4678560</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112340</v>
      </c>
      <c r="F43" s="1458" t="s">
        <v>470</v>
      </c>
      <c r="G43" s="1810">
        <f>F41</f>
        <v>407610</v>
      </c>
    </row>
    <row r="44" spans="1:7" ht="12" customHeight="1" x14ac:dyDescent="0.2">
      <c r="A44" s="817"/>
      <c r="B44" s="157"/>
      <c r="C44" s="831"/>
      <c r="D44" s="1458" t="s">
        <v>471</v>
      </c>
      <c r="E44" s="1810">
        <f>E41</f>
        <v>4973830</v>
      </c>
      <c r="F44" s="1458" t="s">
        <v>471</v>
      </c>
      <c r="G44" s="1810">
        <f>G41</f>
        <v>4678560</v>
      </c>
    </row>
    <row r="45" spans="1:7" ht="12" customHeight="1" x14ac:dyDescent="0.2">
      <c r="A45" s="817"/>
      <c r="B45" s="157"/>
      <c r="C45" s="157"/>
      <c r="D45" s="1459" t="s">
        <v>999</v>
      </c>
      <c r="E45" s="1811">
        <f>(E43/E44)</f>
        <v>2.2586216255883293E-2</v>
      </c>
      <c r="F45" s="1459" t="s">
        <v>999</v>
      </c>
      <c r="G45" s="1811">
        <f>(G43/G44)</f>
        <v>8.7122960911049555E-2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topLeftCell="A31" zoomScale="60" zoomScaleNormal="110" workbookViewId="0">
      <selection activeCell="F21" sqref="F2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3" style="1507" bestFit="1" customWidth="1"/>
    <col min="11" max="11" width="9" style="1507" customWidth="1"/>
    <col min="12" max="16384" width="9.140625" style="1477"/>
  </cols>
  <sheetData>
    <row r="1" spans="1:15" x14ac:dyDescent="0.2">
      <c r="A1" s="2413" t="s">
        <v>1365</v>
      </c>
      <c r="B1" s="2413"/>
      <c r="C1" s="2413"/>
      <c r="D1" s="2413"/>
      <c r="E1" s="2413"/>
      <c r="F1" s="2413"/>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1532</v>
      </c>
      <c r="B5" s="2415"/>
      <c r="C5" s="2416"/>
      <c r="D5" s="2416"/>
      <c r="E5" s="2416"/>
      <c r="F5" s="2416"/>
      <c r="G5" s="1507"/>
      <c r="L5" s="1507"/>
      <c r="M5" s="1855"/>
      <c r="N5" s="1855"/>
      <c r="O5" s="1855"/>
    </row>
    <row r="6" spans="1:15" ht="12" customHeight="1" x14ac:dyDescent="0.25">
      <c r="A6" s="1480"/>
      <c r="B6" s="1481"/>
      <c r="C6" s="2417" t="str">
        <f>COVER!A17</f>
        <v xml:space="preserve"> Chaney-Monge SD 88</v>
      </c>
      <c r="D6" s="2417"/>
      <c r="E6" s="2417"/>
      <c r="F6" s="1482"/>
      <c r="G6" s="1507"/>
      <c r="L6" s="1507"/>
      <c r="M6" s="1855"/>
      <c r="N6" s="1855"/>
      <c r="O6" s="1855"/>
    </row>
    <row r="7" spans="1:15" ht="11.25" customHeight="1" thickBot="1" x14ac:dyDescent="0.3">
      <c r="A7" s="1480"/>
      <c r="B7" s="1481"/>
      <c r="C7" s="2418">
        <f>COVER!A13</f>
        <v>56099088002</v>
      </c>
      <c r="D7" s="2418"/>
      <c r="E7" s="2418"/>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t="s">
        <v>2055</v>
      </c>
      <c r="D16" s="1495" t="s">
        <v>2055</v>
      </c>
      <c r="E16" s="1498" t="s">
        <v>2055</v>
      </c>
      <c r="F16" s="1497" t="s">
        <v>2076</v>
      </c>
      <c r="G16" s="1507"/>
      <c r="H16" s="1507">
        <f t="shared" si="0"/>
        <v>5</v>
      </c>
      <c r="I16" s="1507">
        <f t="shared" si="1"/>
        <v>5</v>
      </c>
      <c r="J16" s="1507">
        <f t="shared" si="2"/>
        <v>5</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2055</v>
      </c>
      <c r="D26" s="1495" t="s">
        <v>2055</v>
      </c>
      <c r="E26" s="1498" t="s">
        <v>2055</v>
      </c>
      <c r="F26" s="1497" t="s">
        <v>2077</v>
      </c>
      <c r="G26" s="1507"/>
      <c r="H26" s="1507">
        <f t="shared" si="0"/>
        <v>5</v>
      </c>
      <c r="I26" s="1507">
        <f t="shared" si="1"/>
        <v>5</v>
      </c>
      <c r="J26" s="1507">
        <f t="shared" si="2"/>
        <v>5</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1378</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1377</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7" zoomScale="60" zoomScaleNormal="100" workbookViewId="0">
      <selection activeCell="I13" sqref="I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2005</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9" t="str">
        <f>COVER!A17</f>
        <v xml:space="preserve"> Chaney-Monge SD 88</v>
      </c>
      <c r="K6" s="2439"/>
      <c r="L6" s="2453"/>
      <c r="M6" s="838"/>
      <c r="N6" s="1998"/>
    </row>
    <row r="7" spans="1:14" x14ac:dyDescent="0.2">
      <c r="A7" s="2454" t="s">
        <v>864</v>
      </c>
      <c r="B7" s="2455"/>
      <c r="C7" s="2455"/>
      <c r="D7" s="2455"/>
      <c r="E7" s="2456"/>
      <c r="F7" s="839"/>
      <c r="G7" s="838"/>
      <c r="H7" s="838"/>
      <c r="I7" s="1924" t="s">
        <v>369</v>
      </c>
      <c r="J7" s="2441">
        <f>COVER!A13</f>
        <v>56099088002</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2021</v>
      </c>
      <c r="F9" s="1857"/>
      <c r="G9" s="1857"/>
      <c r="H9" s="1857"/>
      <c r="I9" s="1929" t="s">
        <v>2022</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7" t="s">
        <v>478</v>
      </c>
      <c r="B11" s="2458"/>
      <c r="C11" s="2459"/>
      <c r="D11" s="1937" t="s">
        <v>866</v>
      </c>
      <c r="E11" s="1937" t="s">
        <v>64</v>
      </c>
      <c r="F11" s="1937" t="s">
        <v>6</v>
      </c>
      <c r="G11" s="1938" t="s">
        <v>2023</v>
      </c>
      <c r="H11" s="1939" t="s">
        <v>155</v>
      </c>
      <c r="I11" s="1937" t="s">
        <v>64</v>
      </c>
      <c r="J11" s="1937" t="s">
        <v>6</v>
      </c>
      <c r="K11" s="1938" t="s">
        <v>2004</v>
      </c>
      <c r="L11" s="1939" t="s">
        <v>155</v>
      </c>
      <c r="M11" s="838"/>
      <c r="N11" s="1998"/>
    </row>
    <row r="12" spans="1:14" x14ac:dyDescent="0.2">
      <c r="A12" s="2003">
        <v>1</v>
      </c>
      <c r="B12" s="1940" t="s">
        <v>813</v>
      </c>
      <c r="C12" s="842"/>
      <c r="D12" s="1941">
        <v>2320</v>
      </c>
      <c r="E12" s="1944">
        <f>'Expenditures 15-22'!K50</f>
        <v>152893</v>
      </c>
      <c r="F12" s="1942"/>
      <c r="G12" s="1968">
        <f>G68</f>
        <v>0</v>
      </c>
      <c r="H12" s="1944">
        <f t="shared" ref="H12:H18" si="0">SUM(E12:G12)</f>
        <v>152893</v>
      </c>
      <c r="I12" s="1943">
        <v>160408</v>
      </c>
      <c r="J12" s="1942"/>
      <c r="K12" s="1943"/>
      <c r="L12" s="1944">
        <f t="shared" ref="L12:L18" si="1">SUM(I12:K12)</f>
        <v>160408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152893</v>
      </c>
      <c r="F19" s="1950">
        <f t="shared" si="2"/>
        <v>0</v>
      </c>
      <c r="G19" s="1950">
        <f t="shared" ref="G19" si="3">SUM(G12:G17)-G18</f>
        <v>0</v>
      </c>
      <c r="H19" s="1950">
        <f t="shared" si="2"/>
        <v>152893</v>
      </c>
      <c r="I19" s="1950">
        <f t="shared" si="2"/>
        <v>160408</v>
      </c>
      <c r="J19" s="1950">
        <f t="shared" si="2"/>
        <v>0</v>
      </c>
      <c r="K19" s="1950">
        <f t="shared" si="2"/>
        <v>0</v>
      </c>
      <c r="L19" s="1950">
        <f t="shared" si="2"/>
        <v>160408</v>
      </c>
      <c r="M19" s="838"/>
      <c r="N19" s="1998"/>
    </row>
    <row r="20" spans="1:14" ht="13.5" thickTop="1" x14ac:dyDescent="0.2">
      <c r="A20" s="2003">
        <v>9</v>
      </c>
      <c r="B20" s="2463" t="s">
        <v>2024</v>
      </c>
      <c r="C20" s="2463"/>
      <c r="D20" s="2464"/>
      <c r="E20" s="1951"/>
      <c r="F20" s="1951"/>
      <c r="G20" s="1951"/>
      <c r="H20" s="1951"/>
      <c r="I20" s="1951"/>
      <c r="J20" s="1951"/>
      <c r="K20" s="1951"/>
      <c r="L20" s="1952">
        <f>IF(AND(H19&gt;0,L19&gt;0),(((L19-H19)/H19)),"Enter Budget Data")</f>
        <v>4.9152021348263165E-2</v>
      </c>
      <c r="M20" s="838"/>
      <c r="N20" s="1998"/>
    </row>
    <row r="21" spans="1:14" x14ac:dyDescent="0.2">
      <c r="A21" s="2005" t="s">
        <v>194</v>
      </c>
      <c r="B21" s="2006" t="s">
        <v>2049</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2025</v>
      </c>
      <c r="B24" s="2010"/>
      <c r="C24" s="2011"/>
      <c r="D24" s="2011"/>
      <c r="E24" s="2011"/>
      <c r="F24" s="2011"/>
      <c r="G24" s="2011"/>
      <c r="H24" s="2011"/>
      <c r="I24" s="2011"/>
      <c r="J24" s="2011"/>
      <c r="K24" s="2011"/>
      <c r="L24" s="838"/>
      <c r="M24" s="838"/>
      <c r="N24" s="1998"/>
    </row>
    <row r="25" spans="1:14" x14ac:dyDescent="0.2">
      <c r="A25" s="2009" t="s">
        <v>2026</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5"/>
      <c r="D27" s="2465"/>
      <c r="E27" s="843"/>
      <c r="F27" s="2466"/>
      <c r="G27" s="2466"/>
      <c r="H27" s="2466"/>
      <c r="I27" s="838"/>
      <c r="J27" s="838"/>
      <c r="K27" s="838"/>
      <c r="L27" s="838"/>
      <c r="M27" s="838"/>
      <c r="N27" s="1998"/>
    </row>
    <row r="28" spans="1:14" x14ac:dyDescent="0.2">
      <c r="A28" s="1997"/>
      <c r="B28" s="2007"/>
      <c r="C28" s="1957" t="s">
        <v>1026</v>
      </c>
      <c r="D28" s="844"/>
      <c r="E28" s="1958"/>
      <c r="F28" s="2467" t="s">
        <v>1495</v>
      </c>
      <c r="G28" s="2467"/>
      <c r="H28" s="2467"/>
      <c r="I28" s="838"/>
      <c r="J28" s="838"/>
      <c r="K28" s="838"/>
      <c r="L28" s="838"/>
      <c r="M28" s="838"/>
      <c r="N28" s="1998"/>
    </row>
    <row r="29" spans="1:14" x14ac:dyDescent="0.2">
      <c r="A29" s="1997"/>
      <c r="B29" s="2007"/>
      <c r="C29" s="2468"/>
      <c r="D29" s="2468"/>
      <c r="E29" s="845"/>
      <c r="F29" s="2468"/>
      <c r="G29" s="2468"/>
      <c r="H29" s="2468"/>
      <c r="I29" s="838"/>
      <c r="J29" s="838"/>
      <c r="K29" s="838"/>
      <c r="L29" s="838"/>
      <c r="M29" s="838"/>
      <c r="N29" s="1998"/>
    </row>
    <row r="30" spans="1:14" x14ac:dyDescent="0.2">
      <c r="A30" s="1997"/>
      <c r="B30" s="2007"/>
      <c r="C30" s="1960" t="s">
        <v>1547</v>
      </c>
      <c r="D30" s="838"/>
      <c r="E30" s="1959"/>
      <c r="F30" s="2452" t="s">
        <v>1496</v>
      </c>
      <c r="G30" s="2452"/>
      <c r="H30" s="245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9" t="s">
        <v>2027</v>
      </c>
      <c r="D34" s="2430"/>
      <c r="E34" s="2430"/>
      <c r="F34" s="2430"/>
      <c r="G34" s="2430"/>
      <c r="H34" s="2430"/>
      <c r="I34" s="2430"/>
      <c r="J34" s="2430"/>
      <c r="K34" s="2016"/>
      <c r="L34" s="838"/>
      <c r="M34" s="838"/>
      <c r="N34" s="1998"/>
    </row>
    <row r="35" spans="1:14" x14ac:dyDescent="0.2">
      <c r="A35" s="1997"/>
      <c r="B35" s="838"/>
      <c r="C35" s="2430"/>
      <c r="D35" s="2430"/>
      <c r="E35" s="2430"/>
      <c r="F35" s="2430"/>
      <c r="G35" s="2430"/>
      <c r="H35" s="2430"/>
      <c r="I35" s="2430"/>
      <c r="J35" s="24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9" t="s">
        <v>2028</v>
      </c>
      <c r="D37" s="2430"/>
      <c r="E37" s="2430"/>
      <c r="F37" s="2430"/>
      <c r="G37" s="2430"/>
      <c r="H37" s="2430"/>
      <c r="I37" s="2430"/>
      <c r="J37" s="2430"/>
      <c r="K37" s="2016"/>
      <c r="L37" s="2018"/>
      <c r="M37" s="838"/>
      <c r="N37" s="1998"/>
    </row>
    <row r="38" spans="1:14" x14ac:dyDescent="0.2">
      <c r="A38" s="1997"/>
      <c r="B38" s="838"/>
      <c r="C38" s="2430"/>
      <c r="D38" s="2430"/>
      <c r="E38" s="2430"/>
      <c r="F38" s="2430"/>
      <c r="G38" s="2430"/>
      <c r="H38" s="2430"/>
      <c r="I38" s="2430"/>
      <c r="J38" s="24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1" t="s">
        <v>2029</v>
      </c>
      <c r="D40" s="2432"/>
      <c r="E40" s="2432"/>
      <c r="F40" s="2432"/>
      <c r="G40" s="2432"/>
      <c r="H40" s="2432"/>
      <c r="I40" s="2432"/>
      <c r="J40" s="24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2030</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2031</v>
      </c>
      <c r="B45" s="1983"/>
      <c r="C45" s="1983"/>
      <c r="D45" s="1983"/>
      <c r="E45" s="1983"/>
      <c r="F45" s="1983"/>
      <c r="G45" s="1983"/>
      <c r="H45" s="1983"/>
      <c r="I45" s="1983"/>
      <c r="J45" s="1983"/>
      <c r="K45" s="1983"/>
      <c r="L45" s="1983"/>
      <c r="M45" s="1983"/>
      <c r="N45" s="1984"/>
    </row>
    <row r="46" spans="1:14" x14ac:dyDescent="0.2">
      <c r="A46" s="2436" t="s">
        <v>2032</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2048</v>
      </c>
      <c r="B49" s="2024"/>
      <c r="C49" s="2024"/>
      <c r="D49" s="2025"/>
      <c r="E49" s="2025"/>
      <c r="F49" s="2025"/>
      <c r="G49" s="2025"/>
      <c r="H49" s="2025"/>
      <c r="I49" s="2025"/>
      <c r="J49" s="2025"/>
      <c r="K49" s="2025"/>
      <c r="L49" s="2025"/>
      <c r="M49" s="2025"/>
      <c r="N49" s="2026"/>
    </row>
    <row r="50" spans="1:14" ht="15" x14ac:dyDescent="0.25">
      <c r="A50" s="2028" t="s">
        <v>2047</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9" t="str">
        <f>J6</f>
        <v xml:space="preserve"> Chaney-Monge SD 88</v>
      </c>
      <c r="M52" s="2439"/>
      <c r="N52" s="2440"/>
    </row>
    <row r="53" spans="1:14" x14ac:dyDescent="0.2">
      <c r="A53" s="1982"/>
      <c r="B53" s="1983"/>
      <c r="C53" s="1983"/>
      <c r="D53" s="1983"/>
      <c r="E53" s="1983"/>
      <c r="F53" s="1983"/>
      <c r="G53" s="1983"/>
      <c r="H53" s="1983"/>
      <c r="I53" s="1983"/>
      <c r="J53" s="1983"/>
      <c r="K53" s="1924" t="s">
        <v>369</v>
      </c>
      <c r="L53" s="2441">
        <f>J7</f>
        <v>56099088002</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2033</v>
      </c>
      <c r="H55" s="2445"/>
      <c r="I55" s="2445"/>
      <c r="J55" s="2445"/>
      <c r="K55" s="2445"/>
      <c r="L55" s="2445"/>
      <c r="M55" s="2445"/>
      <c r="N55" s="2446"/>
    </row>
    <row r="56" spans="1:14" ht="63.75" x14ac:dyDescent="0.2">
      <c r="A56" s="2447" t="s">
        <v>2034</v>
      </c>
      <c r="B56" s="2448"/>
      <c r="C56" s="2449"/>
      <c r="D56" s="1964" t="s">
        <v>2035</v>
      </c>
      <c r="E56" s="1964" t="s">
        <v>2036</v>
      </c>
      <c r="F56" s="1971"/>
      <c r="G56" s="1964" t="s">
        <v>2037</v>
      </c>
      <c r="H56" s="1964" t="s">
        <v>2038</v>
      </c>
      <c r="I56" s="1964" t="s">
        <v>2039</v>
      </c>
      <c r="J56" s="1964" t="s">
        <v>2040</v>
      </c>
      <c r="K56" s="1964" t="s">
        <v>2041</v>
      </c>
      <c r="L56" s="1964" t="s">
        <v>2042</v>
      </c>
      <c r="M56" s="1964" t="s">
        <v>2043</v>
      </c>
      <c r="N56" s="1965" t="s">
        <v>2050</v>
      </c>
    </row>
    <row r="57" spans="1:14" ht="24.75" customHeight="1" x14ac:dyDescent="0.2">
      <c r="A57" s="2450" t="s">
        <v>296</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2044</v>
      </c>
      <c r="B58" s="2428"/>
      <c r="C58" s="242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1" t="s">
        <v>297</v>
      </c>
      <c r="B59" s="2422"/>
      <c r="C59" s="242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1" t="s">
        <v>236</v>
      </c>
      <c r="B60" s="2422"/>
      <c r="C60" s="242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1" t="s">
        <v>697</v>
      </c>
      <c r="B61" s="2422"/>
      <c r="C61" s="2422"/>
      <c r="D61" s="1967">
        <v>2365</v>
      </c>
      <c r="E61" s="1977">
        <f>'Expenditures 15-22'!K323</f>
        <v>0</v>
      </c>
      <c r="F61" s="1972"/>
      <c r="G61" s="2031"/>
      <c r="H61" s="2032"/>
      <c r="I61" s="2032"/>
      <c r="J61" s="2032"/>
      <c r="K61" s="2032"/>
      <c r="L61" s="2032"/>
      <c r="M61" s="2032"/>
      <c r="N61" s="1975">
        <f t="shared" si="4"/>
        <v>0</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1022</v>
      </c>
      <c r="B63" s="2428"/>
      <c r="C63" s="2428"/>
      <c r="D63" s="1967">
        <v>2367</v>
      </c>
      <c r="E63" s="1977">
        <f>'Expenditures 15-22'!K325</f>
        <v>0</v>
      </c>
      <c r="F63" s="1972"/>
      <c r="G63" s="2031"/>
      <c r="H63" s="2032"/>
      <c r="I63" s="2032"/>
      <c r="J63" s="2032"/>
      <c r="K63" s="2032"/>
      <c r="L63" s="2032"/>
      <c r="M63" s="2032"/>
      <c r="N63" s="1975">
        <f t="shared" si="4"/>
        <v>0</v>
      </c>
    </row>
    <row r="64" spans="1:14" ht="24" customHeight="1" x14ac:dyDescent="0.2">
      <c r="A64" s="2421" t="s">
        <v>1023</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965</v>
      </c>
      <c r="B65" s="2422"/>
      <c r="C65" s="2422"/>
      <c r="D65" s="1967">
        <v>2369</v>
      </c>
      <c r="E65" s="1977">
        <f>'Expenditures 15-22'!K327</f>
        <v>0</v>
      </c>
      <c r="F65" s="1972"/>
      <c r="G65" s="2031"/>
      <c r="H65" s="2032"/>
      <c r="I65" s="2032"/>
      <c r="J65" s="2032"/>
      <c r="K65" s="2032"/>
      <c r="L65" s="2032"/>
      <c r="M65" s="2032"/>
      <c r="N65" s="1975">
        <f t="shared" si="4"/>
        <v>0</v>
      </c>
    </row>
    <row r="66" spans="1:14" ht="24" customHeight="1" x14ac:dyDescent="0.2">
      <c r="A66" s="2421" t="s">
        <v>469</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2045</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1153</v>
      </c>
      <c r="B68" s="2426"/>
      <c r="C68" s="242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2046</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5"/>
  <sheetViews>
    <sheetView showGridLines="0" view="pageBreakPreview" topLeftCell="A31" zoomScale="60" zoomScaleNormal="110" workbookViewId="0">
      <selection activeCell="E10" sqref="E10"/>
    </sheetView>
  </sheetViews>
  <sheetFormatPr defaultColWidth="9.140625" defaultRowHeight="12.75" x14ac:dyDescent="0.2"/>
  <cols>
    <col min="1" max="1" width="3" style="307" customWidth="1"/>
    <col min="2" max="2" width="7.5703125" style="307" customWidth="1"/>
    <col min="3" max="3" width="8.7109375" style="307" customWidth="1"/>
    <col min="4" max="4" width="22.85546875" style="307" customWidth="1"/>
    <col min="5" max="5" width="13.140625" style="307" customWidth="1"/>
    <col min="6" max="6" width="12" style="307" bestFit="1" customWidth="1"/>
    <col min="7" max="16384" width="9.140625" style="307"/>
  </cols>
  <sheetData>
    <row r="2" spans="1:6" x14ac:dyDescent="0.2">
      <c r="A2" s="366" t="s">
        <v>256</v>
      </c>
    </row>
    <row r="3" spans="1:6" x14ac:dyDescent="0.2">
      <c r="A3" s="307" t="s">
        <v>257</v>
      </c>
    </row>
    <row r="4" spans="1:6" x14ac:dyDescent="0.2">
      <c r="B4" s="2035" t="s">
        <v>2078</v>
      </c>
      <c r="C4" s="2035" t="s">
        <v>2079</v>
      </c>
      <c r="D4" s="2035" t="s">
        <v>1070</v>
      </c>
      <c r="E4" s="2035" t="s">
        <v>478</v>
      </c>
      <c r="F4" s="2035" t="s">
        <v>860</v>
      </c>
    </row>
    <row r="5" spans="1:6" x14ac:dyDescent="0.2">
      <c r="A5" s="847">
        <v>1</v>
      </c>
      <c r="B5" s="307">
        <v>10</v>
      </c>
      <c r="C5" s="307">
        <v>1790</v>
      </c>
      <c r="D5" s="307" t="s">
        <v>2080</v>
      </c>
      <c r="E5" s="307" t="s">
        <v>2082</v>
      </c>
      <c r="F5" s="2036">
        <v>990</v>
      </c>
    </row>
    <row r="6" spans="1:6" x14ac:dyDescent="0.2">
      <c r="A6" s="847">
        <v>2</v>
      </c>
      <c r="B6" s="307">
        <v>10</v>
      </c>
      <c r="C6" s="307">
        <v>1890</v>
      </c>
      <c r="D6" s="307" t="s">
        <v>2080</v>
      </c>
      <c r="E6" s="307" t="s">
        <v>2083</v>
      </c>
      <c r="F6" s="2036">
        <v>19630</v>
      </c>
    </row>
    <row r="7" spans="1:6" x14ac:dyDescent="0.2">
      <c r="A7" s="847">
        <v>3</v>
      </c>
      <c r="B7" s="307">
        <v>11</v>
      </c>
      <c r="C7" s="307">
        <v>1999</v>
      </c>
      <c r="D7" s="307" t="s">
        <v>2080</v>
      </c>
      <c r="E7" s="307" t="s">
        <v>2084</v>
      </c>
      <c r="F7" s="2036">
        <v>4384</v>
      </c>
    </row>
    <row r="8" spans="1:6" x14ac:dyDescent="0.2">
      <c r="A8" s="847">
        <v>4</v>
      </c>
      <c r="B8" s="307">
        <v>11</v>
      </c>
      <c r="C8" s="307">
        <v>3999</v>
      </c>
      <c r="D8" s="307" t="s">
        <v>2080</v>
      </c>
      <c r="E8" s="307" t="s">
        <v>2085</v>
      </c>
      <c r="F8" s="2036">
        <v>750</v>
      </c>
    </row>
    <row r="9" spans="1:6" x14ac:dyDescent="0.2">
      <c r="A9" s="848">
        <v>5</v>
      </c>
      <c r="B9" s="307">
        <v>14</v>
      </c>
      <c r="C9" s="307">
        <v>4998</v>
      </c>
      <c r="D9" s="307" t="s">
        <v>2080</v>
      </c>
      <c r="E9" s="307" t="s">
        <v>2086</v>
      </c>
      <c r="F9" s="2036">
        <v>108039</v>
      </c>
    </row>
    <row r="10" spans="1:6" x14ac:dyDescent="0.2">
      <c r="A10" s="848">
        <v>6</v>
      </c>
      <c r="B10" s="307">
        <v>11</v>
      </c>
      <c r="C10" s="307">
        <v>1999</v>
      </c>
      <c r="D10" s="307" t="s">
        <v>865</v>
      </c>
      <c r="E10" s="307" t="s">
        <v>2087</v>
      </c>
      <c r="F10" s="2036">
        <v>82522</v>
      </c>
    </row>
    <row r="11" spans="1:6" x14ac:dyDescent="0.2">
      <c r="A11" s="848">
        <v>7</v>
      </c>
      <c r="B11" s="307">
        <v>12</v>
      </c>
      <c r="C11" s="307">
        <v>3999</v>
      </c>
      <c r="D11" s="307" t="s">
        <v>2081</v>
      </c>
      <c r="E11" s="307" t="s">
        <v>2088</v>
      </c>
      <c r="F11" s="2036">
        <v>222600</v>
      </c>
    </row>
    <row r="12" spans="1:6" x14ac:dyDescent="0.2">
      <c r="A12" s="848"/>
    </row>
    <row r="13" spans="1:6" x14ac:dyDescent="0.2">
      <c r="A13" s="848"/>
    </row>
    <row r="14" spans="1:6" x14ac:dyDescent="0.2">
      <c r="A14" s="848"/>
    </row>
    <row r="15" spans="1:6" x14ac:dyDescent="0.2">
      <c r="A15" s="848"/>
    </row>
    <row r="16" spans="1:6"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Chaney-Monge SD 88</v>
      </c>
    </row>
    <row r="65" spans="2:2" x14ac:dyDescent="0.2">
      <c r="B65" s="849">
        <f>COVER!A13</f>
        <v>56099088002</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11" zoomScale="60" zoomScaleNormal="110" workbookViewId="0">
      <selection activeCell="B11" sqref="B1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9" t="s">
        <v>1668</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topLeftCell="A7" zoomScale="6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1672</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1975</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1673</v>
      </c>
      <c r="B6" s="2487"/>
      <c r="C6" s="2487"/>
      <c r="D6" s="2487"/>
      <c r="E6" s="2487"/>
      <c r="F6" s="2488"/>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5430346</v>
      </c>
      <c r="C8" s="1813">
        <f>'Acct Summary 7-8'!D8</f>
        <v>428473</v>
      </c>
      <c r="D8" s="1813">
        <f>'Acct Summary 7-8'!F8</f>
        <v>531787</v>
      </c>
      <c r="E8" s="1813">
        <f>'Acct Summary 7-8'!I8</f>
        <v>21</v>
      </c>
      <c r="F8" s="1813">
        <f>SUM(B8:E8)</f>
        <v>6390627</v>
      </c>
    </row>
    <row r="9" spans="1:8" s="858" customFormat="1" ht="14.25" customHeight="1" thickBot="1" x14ac:dyDescent="0.25">
      <c r="A9" s="857" t="s">
        <v>1355</v>
      </c>
      <c r="B9" s="1814">
        <f>'Acct Summary 7-8'!C17</f>
        <v>5124851</v>
      </c>
      <c r="C9" s="1814">
        <f>'Acct Summary 7-8'!D17</f>
        <v>307311</v>
      </c>
      <c r="D9" s="1814">
        <f>'Acct Summary 7-8'!F17</f>
        <v>641197</v>
      </c>
      <c r="E9" s="1813"/>
      <c r="F9" s="1813">
        <f>SUM(B9:E9)</f>
        <v>6073359</v>
      </c>
    </row>
    <row r="10" spans="1:8" s="858" customFormat="1" ht="14.25" thickTop="1" thickBot="1" x14ac:dyDescent="0.25">
      <c r="A10" s="859" t="s">
        <v>1356</v>
      </c>
      <c r="B10" s="1815">
        <f>(B8-B9)</f>
        <v>305495</v>
      </c>
      <c r="C10" s="1815">
        <f>(C8-C9)</f>
        <v>121162</v>
      </c>
      <c r="D10" s="1815">
        <f>(D8-D9)</f>
        <v>-109410</v>
      </c>
      <c r="E10" s="1814">
        <f>(E8-E9)</f>
        <v>21</v>
      </c>
      <c r="F10" s="1816">
        <f>SUM(F8-F9)</f>
        <v>317268</v>
      </c>
    </row>
    <row r="11" spans="1:8" s="858" customFormat="1" ht="14.25" thickTop="1" thickBot="1" x14ac:dyDescent="0.25">
      <c r="A11" s="860" t="s">
        <v>1906</v>
      </c>
      <c r="B11" s="1817">
        <f>'Acct Summary 7-8'!C81</f>
        <v>2516773</v>
      </c>
      <c r="C11" s="1817">
        <f>'Acct Summary 7-8'!D81</f>
        <v>492385</v>
      </c>
      <c r="D11" s="1817">
        <f>'Acct Summary 7-8'!F81</f>
        <v>1046</v>
      </c>
      <c r="E11" s="1817">
        <f>'Acct Summary 7-8'!I81</f>
        <v>27577</v>
      </c>
      <c r="F11" s="1818">
        <f>SUM(B11:E11)</f>
        <v>3037781</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1669</v>
      </c>
      <c r="B16" s="2473"/>
      <c r="C16" s="2473"/>
      <c r="D16" s="2473"/>
      <c r="E16" s="2473"/>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47" colorId="8" zoomScaleNormal="110" zoomScaleSheetLayoutView="100" workbookViewId="0">
      <selection activeCell="D78" sqref="D7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1490</v>
      </c>
      <c r="D7" s="2507"/>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0" t="s">
        <v>311</v>
      </c>
      <c r="D21" s="2511"/>
    </row>
    <row r="22" spans="1:10" ht="12.75" x14ac:dyDescent="0.2">
      <c r="A22" s="918"/>
      <c r="B22" s="919">
        <v>2</v>
      </c>
      <c r="C22" s="2508" t="s">
        <v>1510</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4" t="s">
        <v>1677</v>
      </c>
      <c r="D70" s="2505"/>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56099088002</v>
      </c>
      <c r="E2" s="1542">
        <v>2020</v>
      </c>
      <c r="F2" s="1542">
        <v>1</v>
      </c>
      <c r="G2" s="1899">
        <v>101000300</v>
      </c>
    </row>
    <row r="3" spans="1:7" ht="15" x14ac:dyDescent="0.25">
      <c r="A3" t="s">
        <v>950</v>
      </c>
      <c r="B3" s="135" t="str">
        <f>COVER!A15</f>
        <v>WILL</v>
      </c>
      <c r="E3" s="1830" t="s">
        <v>1974</v>
      </c>
      <c r="F3" s="1830" t="s">
        <v>1973</v>
      </c>
      <c r="G3" s="1899">
        <v>101000400</v>
      </c>
    </row>
    <row r="4" spans="1:7" ht="15" x14ac:dyDescent="0.25">
      <c r="A4" t="s">
        <v>1000</v>
      </c>
      <c r="B4" s="135" t="str">
        <f>COVER!A17</f>
        <v xml:space="preserve"> Chaney-Monge SD 88</v>
      </c>
      <c r="E4" s="1828">
        <v>44119</v>
      </c>
      <c r="F4" s="1829">
        <v>44151</v>
      </c>
      <c r="G4" s="1899">
        <v>101000600</v>
      </c>
    </row>
    <row r="5" spans="1:7" ht="15" x14ac:dyDescent="0.25">
      <c r="A5" t="s">
        <v>699</v>
      </c>
      <c r="B5" s="135" t="str">
        <f>COVER!A38</f>
        <v>ANDY SIEGFRIED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066-003328</v>
      </c>
      <c r="G15" s="1899">
        <v>402100400</v>
      </c>
    </row>
    <row r="16" spans="1:7" ht="15" x14ac:dyDescent="0.25">
      <c r="A16" t="s">
        <v>419</v>
      </c>
      <c r="B16" s="135" t="str">
        <f>COVER!T13</f>
        <v>MUELLER &amp; CO., LLP</v>
      </c>
      <c r="G16" s="1899">
        <v>402100600</v>
      </c>
    </row>
    <row r="17" spans="1:7" ht="15" x14ac:dyDescent="0.25">
      <c r="A17" t="s">
        <v>878</v>
      </c>
      <c r="B17" s="135" t="str">
        <f>COVER!T15</f>
        <v>KEVIN BISSELL</v>
      </c>
      <c r="G17" s="1899">
        <v>402100800</v>
      </c>
    </row>
    <row r="18" spans="1:7" ht="15" x14ac:dyDescent="0.25">
      <c r="A18" t="s">
        <v>1142</v>
      </c>
      <c r="B18" s="135" t="str">
        <f>COVER!T17</f>
        <v>14300 RAVINIA AVE</v>
      </c>
      <c r="G18" s="1899">
        <v>102200300</v>
      </c>
    </row>
    <row r="19" spans="1:7" ht="15" x14ac:dyDescent="0.25">
      <c r="A19" t="s">
        <v>880</v>
      </c>
      <c r="B19" s="135" t="str">
        <f>COVER!T25</f>
        <v>emccormick@muellercpa.com</v>
      </c>
      <c r="G19" s="1899">
        <v>102200400</v>
      </c>
    </row>
    <row r="20" spans="1:7" ht="15" x14ac:dyDescent="0.25">
      <c r="A20" t="s">
        <v>881</v>
      </c>
      <c r="B20" s="135" t="str">
        <f>COVER!T19</f>
        <v>ORLAND PARK</v>
      </c>
      <c r="G20" s="1899">
        <v>102200600</v>
      </c>
    </row>
    <row r="21" spans="1:7" ht="15" x14ac:dyDescent="0.25">
      <c r="A21" t="s">
        <v>476</v>
      </c>
      <c r="B21" s="135" t="str">
        <f>COVER!X19</f>
        <v>IL</v>
      </c>
      <c r="G21" s="1899">
        <v>102200800</v>
      </c>
    </row>
    <row r="22" spans="1:7" ht="15" x14ac:dyDescent="0.25">
      <c r="A22" t="s">
        <v>882</v>
      </c>
      <c r="B22" s="135">
        <f>COVER!Z19</f>
        <v>60462</v>
      </c>
      <c r="G22" s="1899">
        <v>102300300</v>
      </c>
    </row>
    <row r="23" spans="1:7" ht="15" x14ac:dyDescent="0.25">
      <c r="A23" t="s">
        <v>1144</v>
      </c>
      <c r="B23" s="135" t="str">
        <f>COVER!T21</f>
        <v>708-349-6999</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33239</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2516773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2516773</v>
      </c>
      <c r="D92" s="2" t="str">
        <f t="shared" si="0"/>
        <v>Error?</v>
      </c>
      <c r="G92" s="1899">
        <v>102640600</v>
      </c>
    </row>
    <row r="93" spans="1:7" ht="15" x14ac:dyDescent="0.25">
      <c r="A93" s="5">
        <v>32</v>
      </c>
      <c r="B93" s="1832">
        <f>'Assets-Liab 5-6'!C41</f>
        <v>2516773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492385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492385</v>
      </c>
      <c r="D123" s="2" t="str">
        <f t="shared" si="0"/>
        <v>Error?</v>
      </c>
      <c r="G123" s="1899">
        <v>203000400</v>
      </c>
    </row>
    <row r="124" spans="1:7" ht="15" x14ac:dyDescent="0.25">
      <c r="A124" s="5">
        <v>63</v>
      </c>
      <c r="B124" s="1832">
        <f>'Assets-Liab 5-6'!D41</f>
        <v>492385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146396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146396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1046</v>
      </c>
      <c r="D170" s="2" t="str">
        <f t="shared" si="1"/>
        <v>Error?</v>
      </c>
    </row>
    <row r="171" spans="1:4" x14ac:dyDescent="0.2">
      <c r="A171" s="5">
        <v>110</v>
      </c>
      <c r="B171" s="1832">
        <f>'Assets-Liab 5-6'!F41</f>
        <v>1046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72553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72553</v>
      </c>
      <c r="D189" s="2" t="str">
        <f t="shared" si="1"/>
        <v>Error?</v>
      </c>
    </row>
    <row r="190" spans="1:4" x14ac:dyDescent="0.2">
      <c r="A190" s="5">
        <v>129</v>
      </c>
      <c r="B190" s="1832">
        <f>'Assets-Liab 5-6'!G41</f>
        <v>72553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2282388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2282388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44750</v>
      </c>
      <c r="D273" s="2" t="str">
        <f t="shared" si="3"/>
        <v>Error?</v>
      </c>
    </row>
    <row r="274" spans="1:4" x14ac:dyDescent="0.2">
      <c r="A274" s="5">
        <v>213</v>
      </c>
      <c r="B274" s="1832">
        <f>'Assets-Liab 5-6'!M17</f>
        <v>2460911</v>
      </c>
      <c r="D274" s="2" t="str">
        <f t="shared" si="3"/>
        <v>Error?</v>
      </c>
    </row>
    <row r="275" spans="1:4" x14ac:dyDescent="0.2">
      <c r="A275" s="5">
        <v>214</v>
      </c>
      <c r="B275" s="1832">
        <f>'Assets-Liab 5-6'!M18</f>
        <v>2530765</v>
      </c>
      <c r="D275" s="2" t="str">
        <f t="shared" si="3"/>
        <v>Error?</v>
      </c>
    </row>
    <row r="276" spans="1:4" x14ac:dyDescent="0.2">
      <c r="A276" s="5">
        <v>215</v>
      </c>
      <c r="B276" s="1832">
        <f>'Assets-Liab 5-6'!M19</f>
        <v>1446812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6984541</v>
      </c>
      <c r="C279" s="2" t="s">
        <v>569</v>
      </c>
      <c r="D279" s="2" t="str">
        <f t="shared" si="3"/>
        <v>Error?</v>
      </c>
    </row>
    <row r="280" spans="1:4" x14ac:dyDescent="0.2">
      <c r="A280" s="5">
        <v>219</v>
      </c>
      <c r="B280" s="1832">
        <f>'Assets-Liab 5-6'!M40</f>
        <v>6984541</v>
      </c>
      <c r="D280" s="2" t="str">
        <f t="shared" si="3"/>
        <v>Error?</v>
      </c>
    </row>
    <row r="281" spans="1:4" x14ac:dyDescent="0.2">
      <c r="A281" s="5">
        <v>220</v>
      </c>
      <c r="B281" s="1832">
        <f>'Assets-Liab 5-6'!M41</f>
        <v>6984541</v>
      </c>
      <c r="C281" s="2" t="s">
        <v>569</v>
      </c>
      <c r="D281" s="2" t="str">
        <f t="shared" si="3"/>
        <v>Error?</v>
      </c>
    </row>
    <row r="282" spans="1:4" x14ac:dyDescent="0.2">
      <c r="A282" s="5">
        <v>221</v>
      </c>
      <c r="B282" s="1832">
        <f>'Assets-Liab 5-6'!N21</f>
        <v>146396</v>
      </c>
      <c r="D282" s="2" t="str">
        <f t="shared" si="3"/>
        <v>Error?</v>
      </c>
    </row>
    <row r="283" spans="1:4" x14ac:dyDescent="0.2">
      <c r="A283" s="5">
        <v>222</v>
      </c>
      <c r="B283" s="1832">
        <f>'Assets-Liab 5-6'!N22</f>
        <v>3655604</v>
      </c>
      <c r="D283" s="2" t="str">
        <f t="shared" si="3"/>
        <v>Error?</v>
      </c>
    </row>
    <row r="284" spans="1:4" x14ac:dyDescent="0.2">
      <c r="A284" s="5">
        <v>223</v>
      </c>
      <c r="B284" s="1832">
        <f>'Assets-Liab 5-6'!N23</f>
        <v>3802000</v>
      </c>
      <c r="C284" s="2" t="s">
        <v>569</v>
      </c>
      <c r="D284" s="2" t="str">
        <f t="shared" si="3"/>
        <v>Error?</v>
      </c>
    </row>
    <row r="285" spans="1:4" x14ac:dyDescent="0.2">
      <c r="A285" s="5">
        <v>224</v>
      </c>
      <c r="B285" s="1832">
        <f>'Assets-Liab 5-6'!N36</f>
        <v>3802000</v>
      </c>
      <c r="D285" s="2" t="str">
        <f t="shared" si="3"/>
        <v>Error?</v>
      </c>
    </row>
    <row r="286" spans="1:4" x14ac:dyDescent="0.2">
      <c r="A286" s="10">
        <v>225</v>
      </c>
      <c r="B286" s="1832"/>
      <c r="D286" s="2" t="str">
        <f t="shared" si="3"/>
        <v>OK</v>
      </c>
    </row>
    <row r="287" spans="1:4" x14ac:dyDescent="0.2">
      <c r="A287" s="5">
        <v>226</v>
      </c>
      <c r="B287" s="1832">
        <f>'Assets-Liab 5-6'!N37</f>
        <v>3802000</v>
      </c>
      <c r="C287" s="2" t="s">
        <v>569</v>
      </c>
      <c r="D287" s="2" t="str">
        <f t="shared" si="3"/>
        <v>Error?</v>
      </c>
    </row>
    <row r="288" spans="1:4" x14ac:dyDescent="0.2">
      <c r="A288" s="5">
        <v>227</v>
      </c>
      <c r="B288" s="1832">
        <f>'Assets-Liab 5-6'!N41</f>
        <v>3802000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67524</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397705</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1298290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87074</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2091891</v>
      </c>
      <c r="C720" s="2" t="s">
        <v>569</v>
      </c>
      <c r="D720" s="2" t="str">
        <f t="shared" si="10"/>
        <v>Error?</v>
      </c>
    </row>
    <row r="721" spans="1:4" x14ac:dyDescent="0.2">
      <c r="A721" s="5">
        <v>660</v>
      </c>
      <c r="B721" s="1832">
        <f>'Expenditures 15-22'!C36</f>
        <v>80452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48494</v>
      </c>
      <c r="D723" s="2" t="str">
        <f t="shared" si="10"/>
        <v>Error?</v>
      </c>
    </row>
    <row r="724" spans="1:4" x14ac:dyDescent="0.2">
      <c r="A724" s="5">
        <v>663</v>
      </c>
      <c r="B724" s="1832">
        <f>'Expenditures 15-22'!C39</f>
        <v>43811</v>
      </c>
      <c r="D724" s="2" t="str">
        <f t="shared" si="10"/>
        <v>Error?</v>
      </c>
    </row>
    <row r="725" spans="1:4" x14ac:dyDescent="0.2">
      <c r="A725" s="5">
        <v>664</v>
      </c>
      <c r="B725" s="1832">
        <f>'Expenditures 15-22'!C40</f>
        <v>108198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280955</v>
      </c>
      <c r="C727" s="2" t="s">
        <v>569</v>
      </c>
      <c r="D727" s="2" t="str">
        <f t="shared" si="10"/>
        <v>Error?</v>
      </c>
    </row>
    <row r="728" spans="1:4" x14ac:dyDescent="0.2">
      <c r="A728" s="5">
        <v>667</v>
      </c>
      <c r="B728" s="1832">
        <f>'Expenditures 15-22'!C44</f>
        <v>17873</v>
      </c>
      <c r="D728" s="2" t="str">
        <f t="shared" si="10"/>
        <v>Error?</v>
      </c>
    </row>
    <row r="729" spans="1:4" x14ac:dyDescent="0.2">
      <c r="A729" s="5">
        <v>668</v>
      </c>
      <c r="B729" s="1832">
        <f>'Expenditures 15-22'!C45</f>
        <v>16595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34468</v>
      </c>
      <c r="C731" s="2" t="s">
        <v>569</v>
      </c>
      <c r="D731" s="2" t="str">
        <f t="shared" si="10"/>
        <v>Error?</v>
      </c>
    </row>
    <row r="732" spans="1:4" x14ac:dyDescent="0.2">
      <c r="A732" s="5">
        <v>671</v>
      </c>
      <c r="B732" s="1832">
        <f>'Expenditures 15-22'!C49</f>
        <v>6000</v>
      </c>
      <c r="D732" s="2" t="str">
        <f t="shared" si="10"/>
        <v>Error?</v>
      </c>
    </row>
    <row r="733" spans="1:4" x14ac:dyDescent="0.2">
      <c r="A733" s="5">
        <v>672</v>
      </c>
      <c r="B733" s="1832">
        <f>'Expenditures 15-22'!C50</f>
        <v>152655</v>
      </c>
      <c r="D733" s="2" t="str">
        <f t="shared" si="10"/>
        <v>Error?</v>
      </c>
    </row>
    <row r="734" spans="1:4" x14ac:dyDescent="0.2">
      <c r="A734" s="5">
        <v>673</v>
      </c>
      <c r="B734" s="1832">
        <f>'Expenditures 15-22'!C53</f>
        <v>158655</v>
      </c>
      <c r="C734" s="2" t="s">
        <v>569</v>
      </c>
      <c r="D734" s="2" t="str">
        <f t="shared" si="10"/>
        <v>Error?</v>
      </c>
    </row>
    <row r="735" spans="1:4" x14ac:dyDescent="0.2">
      <c r="A735" s="5">
        <v>674</v>
      </c>
      <c r="B735" s="1832">
        <f>'Expenditures 15-22'!C55</f>
        <v>247703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247703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79726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51366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131092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852873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2944764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179955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256824</v>
      </c>
      <c r="C778" s="2" t="s">
        <v>569</v>
      </c>
      <c r="D778" s="2" t="str">
        <f t="shared" si="11"/>
        <v>Error?</v>
      </c>
    </row>
    <row r="779" spans="1:4" x14ac:dyDescent="0.2">
      <c r="A779" s="5">
        <v>718</v>
      </c>
      <c r="B779" s="1832">
        <f>'Expenditures 15-22'!D36</f>
        <v>9064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9064</v>
      </c>
      <c r="C785" s="2" t="s">
        <v>569</v>
      </c>
      <c r="D785" s="2" t="str">
        <f t="shared" si="11"/>
        <v>Error?</v>
      </c>
    </row>
    <row r="786" spans="1:4" x14ac:dyDescent="0.2">
      <c r="A786" s="5">
        <v>725</v>
      </c>
      <c r="B786" s="1832">
        <f>'Expenditures 15-22'!D44</f>
        <v>9100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9100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107</v>
      </c>
      <c r="D791" s="2" t="str">
        <f t="shared" si="11"/>
        <v>Error?</v>
      </c>
    </row>
    <row r="792" spans="1:4" x14ac:dyDescent="0.2">
      <c r="A792" s="5">
        <v>731</v>
      </c>
      <c r="B792" s="1832">
        <f>'Expenditures 15-22'!D53</f>
        <v>107</v>
      </c>
      <c r="C792" s="2" t="s">
        <v>569</v>
      </c>
      <c r="D792" s="2" t="str">
        <f t="shared" si="11"/>
        <v>Error?</v>
      </c>
    </row>
    <row r="793" spans="1:4" x14ac:dyDescent="0.2">
      <c r="A793" s="5">
        <v>732</v>
      </c>
      <c r="B793" s="1832">
        <f>'Expenditures 15-22'!D55</f>
        <v>40987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40987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12879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12879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72137</v>
      </c>
      <c r="C813" s="2" t="s">
        <v>569</v>
      </c>
      <c r="D813" s="2" t="str">
        <f t="shared" si="11"/>
        <v>Error?</v>
      </c>
    </row>
    <row r="814" spans="1:4" x14ac:dyDescent="0.2">
      <c r="A814" s="5">
        <v>753</v>
      </c>
      <c r="B814" s="1832">
        <f>'Expenditures 15-22'!D75</f>
        <v>103</v>
      </c>
      <c r="D814" s="2" t="str">
        <f t="shared" si="11"/>
        <v>Error?</v>
      </c>
    </row>
    <row r="815" spans="1:4" x14ac:dyDescent="0.2">
      <c r="A815" s="5">
        <v>754</v>
      </c>
      <c r="B815" s="1832">
        <f>'Expenditures 15-22'!D114</f>
        <v>329064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14135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693554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2549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1800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4349</v>
      </c>
      <c r="C843" s="2" t="s">
        <v>569</v>
      </c>
      <c r="D843" s="2" t="str">
        <f t="shared" si="12"/>
        <v>Error?</v>
      </c>
    </row>
    <row r="844" spans="1:4" x14ac:dyDescent="0.2">
      <c r="A844" s="5">
        <v>783</v>
      </c>
      <c r="B844" s="1832">
        <f>'Expenditures 15-22'!E44</f>
        <v>20755</v>
      </c>
      <c r="D844" s="2" t="str">
        <f t="shared" si="12"/>
        <v>Error?</v>
      </c>
    </row>
    <row r="845" spans="1:4" x14ac:dyDescent="0.2">
      <c r="A845" s="5">
        <v>784</v>
      </c>
      <c r="B845" s="1832">
        <f>'Expenditures 15-22'!E45</f>
        <v>334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21089</v>
      </c>
      <c r="C847" s="2" t="s">
        <v>569</v>
      </c>
      <c r="D847" s="2" t="str">
        <f t="shared" si="12"/>
        <v>Error?</v>
      </c>
    </row>
    <row r="848" spans="1:4" x14ac:dyDescent="0.2">
      <c r="A848" s="5">
        <v>787</v>
      </c>
      <c r="B848" s="1832">
        <f>'Expenditures 15-22'!E49</f>
        <v>55008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55008</v>
      </c>
      <c r="C850" s="2" t="s">
        <v>569</v>
      </c>
      <c r="D850" s="2" t="str">
        <f t="shared" si="12"/>
        <v>Error?</v>
      </c>
    </row>
    <row r="851" spans="1:4" x14ac:dyDescent="0.2">
      <c r="A851" s="5">
        <v>790</v>
      </c>
      <c r="B851" s="1832">
        <f>'Expenditures 15-22'!E55</f>
        <v>3218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3218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83679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1061257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283196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299050</v>
      </c>
      <c r="C894" s="2" t="s">
        <v>569</v>
      </c>
      <c r="D894" s="2" t="str">
        <f t="shared" si="12"/>
        <v>Error?</v>
      </c>
    </row>
    <row r="895" spans="1:4" x14ac:dyDescent="0.2">
      <c r="A895" s="5">
        <v>834</v>
      </c>
      <c r="B895" s="1832">
        <f>'Expenditures 15-22'!F36</f>
        <v>10745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3140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13885</v>
      </c>
      <c r="C901" s="2" t="s">
        <v>569</v>
      </c>
      <c r="D901" s="2" t="str">
        <f t="shared" si="13"/>
        <v>Error?</v>
      </c>
    </row>
    <row r="902" spans="1:4" x14ac:dyDescent="0.2">
      <c r="A902" s="5">
        <v>841</v>
      </c>
      <c r="B902" s="1832">
        <f>'Expenditures 15-22'!F44</f>
        <v>1050</v>
      </c>
      <c r="D902" s="2" t="str">
        <f t="shared" si="13"/>
        <v>Error?</v>
      </c>
    </row>
    <row r="903" spans="1:4" x14ac:dyDescent="0.2">
      <c r="A903" s="5">
        <v>842</v>
      </c>
      <c r="B903" s="1832">
        <f>'Expenditures 15-22'!F45</f>
        <v>875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1925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66639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66639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661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292997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293658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376107</v>
      </c>
      <c r="C929" s="2" t="s">
        <v>569</v>
      </c>
      <c r="D929" s="2" t="str">
        <f t="shared" si="13"/>
        <v>Error?</v>
      </c>
    </row>
    <row r="930" spans="1:4" x14ac:dyDescent="0.2">
      <c r="A930" s="5">
        <v>869</v>
      </c>
      <c r="B930" s="1832">
        <f>'Expenditures 15-22'!F75</f>
        <v>2111</v>
      </c>
      <c r="D930" s="2" t="str">
        <f t="shared" si="13"/>
        <v>Error?</v>
      </c>
    </row>
    <row r="931" spans="1:4" x14ac:dyDescent="0.2">
      <c r="A931" s="5">
        <v>870</v>
      </c>
      <c r="B931" s="1832">
        <f>'Expenditures 15-22'!F114</f>
        <v>677268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53827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66974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66974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45393</v>
      </c>
      <c r="D1022" s="2" t="str">
        <f t="shared" si="14"/>
        <v>Error?</v>
      </c>
    </row>
    <row r="1023" spans="1:4" x14ac:dyDescent="0.2">
      <c r="A1023" s="5">
        <v>962</v>
      </c>
      <c r="B1023" s="1832">
        <f>'Expenditures 15-22'!H50</f>
        <v>131</v>
      </c>
      <c r="D1023" s="2" t="str">
        <f t="shared" ref="D1023:D1086" si="15">IF(ISBLANK(B1023),"OK",IF(A1023-B1023=0,"OK","Error?"))</f>
        <v>Error?</v>
      </c>
    </row>
    <row r="1024" spans="1:4" x14ac:dyDescent="0.2">
      <c r="A1024" s="5">
        <v>963</v>
      </c>
      <c r="B1024" s="1832">
        <f>'Expenditures 15-22'!H53</f>
        <v>45524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45524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45524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1829403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87074</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3408293</v>
      </c>
      <c r="C1108" s="2" t="s">
        <v>569</v>
      </c>
      <c r="D1108" s="2" t="str">
        <f t="shared" si="16"/>
        <v>Error?</v>
      </c>
    </row>
    <row r="1109" spans="1:4" x14ac:dyDescent="0.2">
      <c r="A1109" s="5">
        <v>1048</v>
      </c>
      <c r="B1109" s="1832">
        <f>'Expenditures 15-22'!K36</f>
        <v>100261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54183</v>
      </c>
      <c r="C1111" s="2" t="s">
        <v>569</v>
      </c>
      <c r="D1111" s="2" t="str">
        <f t="shared" si="16"/>
        <v>Error?</v>
      </c>
    </row>
    <row r="1112" spans="1:4" x14ac:dyDescent="0.2">
      <c r="A1112" s="5">
        <v>1051</v>
      </c>
      <c r="B1112" s="1832">
        <f>'Expenditures 15-22'!K39</f>
        <v>43811</v>
      </c>
      <c r="C1112" s="2" t="s">
        <v>569</v>
      </c>
      <c r="D1112" s="2" t="str">
        <f t="shared" si="16"/>
        <v>Error?</v>
      </c>
    </row>
    <row r="1113" spans="1:4" x14ac:dyDescent="0.2">
      <c r="A1113" s="5">
        <v>1052</v>
      </c>
      <c r="B1113" s="1832">
        <f>'Expenditures 15-22'!K40</f>
        <v>109998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308253</v>
      </c>
      <c r="C1115" s="2" t="s">
        <v>569</v>
      </c>
      <c r="D1115" s="2" t="str">
        <f t="shared" si="16"/>
        <v>Error?</v>
      </c>
    </row>
    <row r="1116" spans="1:4" x14ac:dyDescent="0.2">
      <c r="A1116" s="5">
        <v>1055</v>
      </c>
      <c r="B1116" s="1832">
        <f>'Expenditures 15-22'!K44</f>
        <v>48778</v>
      </c>
      <c r="C1116" s="2" t="s">
        <v>569</v>
      </c>
      <c r="D1116" s="2" t="str">
        <f t="shared" si="16"/>
        <v>Error?</v>
      </c>
    </row>
    <row r="1117" spans="1:4" x14ac:dyDescent="0.2">
      <c r="A1117" s="5">
        <v>1056</v>
      </c>
      <c r="B1117" s="1832">
        <f>'Expenditures 15-22'!K45</f>
        <v>17804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66582</v>
      </c>
      <c r="C1119" s="2" t="s">
        <v>569</v>
      </c>
      <c r="D1119" s="2" t="str">
        <f t="shared" si="16"/>
        <v>Error?</v>
      </c>
    </row>
    <row r="1120" spans="1:4" x14ac:dyDescent="0.2">
      <c r="A1120" s="5">
        <v>1059</v>
      </c>
      <c r="B1120" s="1832">
        <f>'Expenditures 15-22'!K49</f>
        <v>106401</v>
      </c>
      <c r="C1120" s="2" t="s">
        <v>569</v>
      </c>
      <c r="D1120" s="2" t="str">
        <f t="shared" si="16"/>
        <v>Error?</v>
      </c>
    </row>
    <row r="1121" spans="1:4" x14ac:dyDescent="0.2">
      <c r="A1121" s="5">
        <v>1060</v>
      </c>
      <c r="B1121" s="1832">
        <f>'Expenditures 15-22'!K50</f>
        <v>152893</v>
      </c>
      <c r="C1121" s="2" t="s">
        <v>569</v>
      </c>
      <c r="D1121" s="2" t="str">
        <f t="shared" si="16"/>
        <v>Error?</v>
      </c>
    </row>
    <row r="1122" spans="1:4" x14ac:dyDescent="0.2">
      <c r="A1122" s="5">
        <v>1061</v>
      </c>
      <c r="B1122" s="1832">
        <f>'Expenditures 15-22'!K53</f>
        <v>259294</v>
      </c>
      <c r="C1122" s="2" t="s">
        <v>569</v>
      </c>
      <c r="D1122" s="2" t="str">
        <f t="shared" si="16"/>
        <v>Error?</v>
      </c>
    </row>
    <row r="1123" spans="1:4" x14ac:dyDescent="0.2">
      <c r="A1123" s="5">
        <v>1062</v>
      </c>
      <c r="B1123" s="1832">
        <f>'Expenditures 15-22'!K55</f>
        <v>358547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358547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93281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344363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437644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1430320</v>
      </c>
      <c r="C1143" s="2" t="s">
        <v>569</v>
      </c>
      <c r="D1143" s="2" t="str">
        <f t="shared" si="16"/>
        <v>Error?</v>
      </c>
    </row>
    <row r="1144" spans="1:4" x14ac:dyDescent="0.2">
      <c r="A1144" s="5">
        <v>1083</v>
      </c>
      <c r="B1144" s="1832">
        <f>'Expenditures 15-22'!K75</f>
        <v>2214</v>
      </c>
      <c r="C1144" s="2" t="s">
        <v>569</v>
      </c>
      <c r="D1144" s="2" t="str">
        <f t="shared" si="16"/>
        <v>Error?</v>
      </c>
    </row>
    <row r="1145" spans="1:4" x14ac:dyDescent="0.2">
      <c r="A1145" s="5">
        <v>1084</v>
      </c>
      <c r="B1145" s="1832">
        <f>'Expenditures 15-22'!K102</f>
        <v>284024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5124851</v>
      </c>
      <c r="C1152" s="2" t="s">
        <v>569</v>
      </c>
      <c r="D1152" s="2" t="str">
        <f t="shared" si="17"/>
        <v>Error?</v>
      </c>
    </row>
    <row r="1153" spans="1:4" x14ac:dyDescent="0.2">
      <c r="A1153" s="5">
        <v>1092</v>
      </c>
      <c r="B1153" s="1832">
        <f>'Expenditures 15-22'!K115</f>
        <v>305495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99424</v>
      </c>
      <c r="D1221" s="2" t="str">
        <f t="shared" si="18"/>
        <v>Error?</v>
      </c>
    </row>
    <row r="1222" spans="1:4" x14ac:dyDescent="0.2">
      <c r="A1222" s="10">
        <v>1161</v>
      </c>
      <c r="B1222" s="1832"/>
      <c r="D1222" s="2" t="str">
        <f t="shared" si="18"/>
        <v>OK</v>
      </c>
    </row>
    <row r="1223" spans="1:4" x14ac:dyDescent="0.2">
      <c r="A1223" s="5">
        <v>1162</v>
      </c>
      <c r="B1223" s="1832">
        <f>'Expenditures 15-22'!C127</f>
        <v>99424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99424</v>
      </c>
      <c r="C1225" s="2" t="s">
        <v>569</v>
      </c>
      <c r="D1225" s="2" t="str">
        <f t="shared" si="18"/>
        <v>Error?</v>
      </c>
    </row>
    <row r="1226" spans="1:4" x14ac:dyDescent="0.2">
      <c r="A1226" s="5">
        <v>1165</v>
      </c>
      <c r="B1226" s="1832">
        <f>'Expenditures 15-22'!C151</f>
        <v>99424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9432</v>
      </c>
      <c r="D1229" s="2" t="str">
        <f t="shared" si="18"/>
        <v>Error?</v>
      </c>
    </row>
    <row r="1230" spans="1:4" x14ac:dyDescent="0.2">
      <c r="A1230" s="10">
        <v>1169</v>
      </c>
      <c r="B1230" s="1832"/>
      <c r="D1230" s="2" t="str">
        <f t="shared" si="18"/>
        <v>OK</v>
      </c>
    </row>
    <row r="1231" spans="1:4" x14ac:dyDescent="0.2">
      <c r="A1231" s="5">
        <v>1170</v>
      </c>
      <c r="B1231" s="1832">
        <f>'Expenditures 15-22'!D127</f>
        <v>9432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9432</v>
      </c>
      <c r="C1233" s="2" t="s">
        <v>569</v>
      </c>
      <c r="D1233" s="2" t="str">
        <f t="shared" si="18"/>
        <v>Error?</v>
      </c>
    </row>
    <row r="1234" spans="1:4" x14ac:dyDescent="0.2">
      <c r="A1234" s="5">
        <v>1173</v>
      </c>
      <c r="B1234" s="1832">
        <f>'Expenditures 15-22'!D151</f>
        <v>9432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112818</v>
      </c>
      <c r="D1237" s="2" t="str">
        <f t="shared" si="18"/>
        <v>Error?</v>
      </c>
    </row>
    <row r="1238" spans="1:4" x14ac:dyDescent="0.2">
      <c r="A1238" s="10">
        <v>1177</v>
      </c>
      <c r="B1238" s="1832"/>
      <c r="D1238" s="2" t="str">
        <f t="shared" si="18"/>
        <v>OK</v>
      </c>
    </row>
    <row r="1239" spans="1:4" x14ac:dyDescent="0.2">
      <c r="A1239" s="5">
        <v>1178</v>
      </c>
      <c r="B1239" s="1832">
        <f>'Expenditures 15-22'!E127</f>
        <v>112818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112818</v>
      </c>
      <c r="C1241" s="2" t="s">
        <v>569</v>
      </c>
      <c r="D1241" s="2" t="str">
        <f t="shared" si="18"/>
        <v>Error?</v>
      </c>
    </row>
    <row r="1242" spans="1:4" x14ac:dyDescent="0.2">
      <c r="A1242" s="5">
        <v>1181</v>
      </c>
      <c r="B1242" s="1832">
        <f>'Expenditures 15-22'!E151</f>
        <v>112818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50297</v>
      </c>
      <c r="D1245" s="2" t="str">
        <f t="shared" si="18"/>
        <v>Error?</v>
      </c>
    </row>
    <row r="1246" spans="1:4" x14ac:dyDescent="0.2">
      <c r="A1246" s="10">
        <v>1185</v>
      </c>
      <c r="B1246" s="1832"/>
      <c r="D1246" s="2" t="str">
        <f t="shared" si="18"/>
        <v>OK</v>
      </c>
    </row>
    <row r="1247" spans="1:4" x14ac:dyDescent="0.2">
      <c r="A1247" s="5">
        <v>1186</v>
      </c>
      <c r="B1247" s="1832">
        <f>'Expenditures 15-22'!F127</f>
        <v>50297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50297</v>
      </c>
      <c r="C1249" s="2" t="s">
        <v>569</v>
      </c>
      <c r="D1249" s="2" t="str">
        <f t="shared" si="18"/>
        <v>Error?</v>
      </c>
    </row>
    <row r="1250" spans="1:4" x14ac:dyDescent="0.2">
      <c r="A1250" s="5">
        <v>1189</v>
      </c>
      <c r="B1250" s="1832">
        <f>'Expenditures 15-22'!F151</f>
        <v>50297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35340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35340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35340</v>
      </c>
      <c r="C1258" s="2" t="s">
        <v>569</v>
      </c>
      <c r="D1258" s="2" t="str">
        <f t="shared" si="18"/>
        <v>Error?</v>
      </c>
    </row>
    <row r="1259" spans="1:4" x14ac:dyDescent="0.2">
      <c r="A1259" s="5">
        <v>1198</v>
      </c>
      <c r="B1259" s="1832">
        <f>'Expenditures 15-22'!G151</f>
        <v>35340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307311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307311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307311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307311</v>
      </c>
      <c r="C1288" s="2" t="s">
        <v>569</v>
      </c>
      <c r="D1288" s="2" t="str">
        <f t="shared" si="19"/>
        <v>Error?</v>
      </c>
    </row>
    <row r="1289" spans="1:4" x14ac:dyDescent="0.2">
      <c r="A1289" s="5">
        <v>1228</v>
      </c>
      <c r="B1289" s="1832">
        <f>'Expenditures 15-22'!K152</f>
        <v>121162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138470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130000</v>
      </c>
      <c r="D1315" s="2" t="str">
        <f t="shared" si="19"/>
        <v>Error?</v>
      </c>
    </row>
    <row r="1316" spans="1:4" x14ac:dyDescent="0.2">
      <c r="A1316" s="5">
        <v>1255</v>
      </c>
      <c r="B1316" s="1832">
        <f>'Expenditures 15-22'!H171</f>
        <v>122833</v>
      </c>
      <c r="D1316" s="2" t="str">
        <f t="shared" si="19"/>
        <v>Error?</v>
      </c>
    </row>
    <row r="1317" spans="1:4" x14ac:dyDescent="0.2">
      <c r="A1317" s="5">
        <v>1256</v>
      </c>
      <c r="B1317" s="1832">
        <f>'Expenditures 15-22'!H172</f>
        <v>391303</v>
      </c>
      <c r="C1317" s="2" t="s">
        <v>569</v>
      </c>
      <c r="D1317" s="2" t="str">
        <f t="shared" si="19"/>
        <v>Error?</v>
      </c>
    </row>
    <row r="1318" spans="1:4" x14ac:dyDescent="0.2">
      <c r="A1318" s="5">
        <v>1257</v>
      </c>
      <c r="B1318" s="1832">
        <f>'Expenditures 15-22'!H174</f>
        <v>391303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138470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130000</v>
      </c>
      <c r="C1329" s="2" t="s">
        <v>569</v>
      </c>
      <c r="D1329" s="2" t="str">
        <f t="shared" si="19"/>
        <v>Error?</v>
      </c>
    </row>
    <row r="1330" spans="1:4" x14ac:dyDescent="0.2">
      <c r="A1330" s="5">
        <v>1269</v>
      </c>
      <c r="B1330" s="1832">
        <f>'Expenditures 15-22'!K171</f>
        <v>122833</v>
      </c>
      <c r="C1330" s="2" t="s">
        <v>569</v>
      </c>
      <c r="D1330" s="2" t="str">
        <f t="shared" si="19"/>
        <v>Error?</v>
      </c>
    </row>
    <row r="1331" spans="1:4" x14ac:dyDescent="0.2">
      <c r="A1331" s="5">
        <v>1270</v>
      </c>
      <c r="B1331" s="1832">
        <f>'Expenditures 15-22'!K172</f>
        <v>391303</v>
      </c>
      <c r="C1331" s="2" t="s">
        <v>569</v>
      </c>
      <c r="D1331" s="2" t="str">
        <f t="shared" si="19"/>
        <v>Error?</v>
      </c>
    </row>
    <row r="1332" spans="1:4" x14ac:dyDescent="0.2">
      <c r="A1332" s="5">
        <v>1271</v>
      </c>
      <c r="B1332" s="1832">
        <f>'Expenditures 15-22'!K174</f>
        <v>391303</v>
      </c>
      <c r="C1332" s="2" t="s">
        <v>569</v>
      </c>
      <c r="D1332" s="2" t="str">
        <f t="shared" si="19"/>
        <v>Error?</v>
      </c>
    </row>
    <row r="1333" spans="1:4" x14ac:dyDescent="0.2">
      <c r="A1333" s="5">
        <v>1272</v>
      </c>
      <c r="B1333" s="1832">
        <f>'Expenditures 15-22'!K175</f>
        <v>-120908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18113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18113</v>
      </c>
      <c r="C1339" s="2" t="s">
        <v>569</v>
      </c>
      <c r="D1339" s="2" t="str">
        <f t="shared" si="19"/>
        <v>Error?</v>
      </c>
    </row>
    <row r="1340" spans="1:4" x14ac:dyDescent="0.2">
      <c r="A1340" s="5">
        <v>1279</v>
      </c>
      <c r="B1340" s="1832">
        <f>'Expenditures 15-22'!C210</f>
        <v>18113</v>
      </c>
      <c r="C1340" s="2" t="s">
        <v>569</v>
      </c>
      <c r="D1340" s="2" t="str">
        <f t="shared" si="19"/>
        <v>Error?</v>
      </c>
    </row>
    <row r="1341" spans="1:4" x14ac:dyDescent="0.2">
      <c r="A1341" s="5">
        <v>1280</v>
      </c>
      <c r="B1341" s="1832">
        <f>'Expenditures 15-22'!D182</f>
        <v>13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13</v>
      </c>
      <c r="C1345" s="2" t="s">
        <v>569</v>
      </c>
      <c r="D1345" s="2" t="str">
        <f t="shared" si="20"/>
        <v>Error?</v>
      </c>
    </row>
    <row r="1346" spans="1:4" x14ac:dyDescent="0.2">
      <c r="A1346" s="5">
        <v>1285</v>
      </c>
      <c r="B1346" s="1832">
        <f>'Expenditures 15-22'!D210</f>
        <v>13</v>
      </c>
      <c r="C1346" s="2" t="s">
        <v>569</v>
      </c>
      <c r="D1346" s="2" t="str">
        <f t="shared" si="20"/>
        <v>Error?</v>
      </c>
    </row>
    <row r="1347" spans="1:4" x14ac:dyDescent="0.2">
      <c r="A1347" s="5">
        <v>1286</v>
      </c>
      <c r="B1347" s="1832">
        <f>'Expenditures 15-22'!E182</f>
        <v>623071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623071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623071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641197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641197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641197</v>
      </c>
      <c r="C1388" s="2" t="s">
        <v>569</v>
      </c>
      <c r="D1388" s="2" t="str">
        <f t="shared" si="20"/>
        <v>Error?</v>
      </c>
    </row>
    <row r="1389" spans="1:4" x14ac:dyDescent="0.2">
      <c r="A1389" s="5">
        <v>1328</v>
      </c>
      <c r="B1389" s="1832">
        <f>'Expenditures 15-22'!K211</f>
        <v>-109410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1666</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43629</v>
      </c>
      <c r="C1410" s="2" t="s">
        <v>569</v>
      </c>
      <c r="D1410" s="2" t="str">
        <f t="shared" si="21"/>
        <v>Error?</v>
      </c>
    </row>
    <row r="1411" spans="1:4" x14ac:dyDescent="0.2">
      <c r="A1411" s="5">
        <v>1350</v>
      </c>
      <c r="B1411" s="1832">
        <f>'Expenditures 15-22'!D232</f>
        <v>1167</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7988</v>
      </c>
      <c r="D1413" s="2" t="str">
        <f t="shared" si="21"/>
        <v>Error?</v>
      </c>
    </row>
    <row r="1414" spans="1:4" x14ac:dyDescent="0.2">
      <c r="A1414" s="5">
        <v>1353</v>
      </c>
      <c r="B1414" s="1832">
        <f>'Expenditures 15-22'!D235</f>
        <v>635</v>
      </c>
      <c r="D1414" s="2" t="str">
        <f t="shared" si="21"/>
        <v>Error?</v>
      </c>
    </row>
    <row r="1415" spans="1:4" x14ac:dyDescent="0.2">
      <c r="A1415" s="5">
        <v>1354</v>
      </c>
      <c r="B1415" s="1832">
        <f>'Expenditures 15-22'!D236</f>
        <v>1569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11359</v>
      </c>
      <c r="C1417" s="2" t="s">
        <v>569</v>
      </c>
      <c r="D1417" s="2" t="str">
        <f t="shared" si="21"/>
        <v>Error?</v>
      </c>
    </row>
    <row r="1418" spans="1:4" x14ac:dyDescent="0.2">
      <c r="A1418" s="5">
        <v>1357</v>
      </c>
      <c r="B1418" s="1832">
        <f>'Expenditures 15-22'!D240</f>
        <v>126</v>
      </c>
      <c r="D1418" s="2" t="str">
        <f t="shared" si="21"/>
        <v>Error?</v>
      </c>
    </row>
    <row r="1419" spans="1:4" x14ac:dyDescent="0.2">
      <c r="A1419" s="5">
        <v>1358</v>
      </c>
      <c r="B1419" s="1832">
        <f>'Expenditures 15-22'!D241</f>
        <v>3971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4097</v>
      </c>
      <c r="C1421" s="2" t="s">
        <v>569</v>
      </c>
      <c r="D1421" s="2" t="str">
        <f t="shared" si="21"/>
        <v>Error?</v>
      </c>
    </row>
    <row r="1422" spans="1:4" x14ac:dyDescent="0.2">
      <c r="A1422" s="5">
        <v>1361</v>
      </c>
      <c r="B1422" s="1832">
        <f>'Expenditures 15-22'!D245</f>
        <v>1436</v>
      </c>
      <c r="D1422" s="2" t="str">
        <f t="shared" si="21"/>
        <v>Error?</v>
      </c>
    </row>
    <row r="1423" spans="1:4" x14ac:dyDescent="0.2">
      <c r="A1423" s="5">
        <v>1362</v>
      </c>
      <c r="B1423" s="1832">
        <f>'Expenditures 15-22'!D246</f>
        <v>2476</v>
      </c>
      <c r="D1423" s="2" t="str">
        <f t="shared" si="21"/>
        <v>Error?</v>
      </c>
    </row>
    <row r="1424" spans="1:4" x14ac:dyDescent="0.2">
      <c r="A1424" s="5">
        <v>1363</v>
      </c>
      <c r="B1424" s="1832">
        <f>'Expenditures 15-22'!D257</f>
        <v>3912</v>
      </c>
      <c r="C1424" s="2" t="s">
        <v>569</v>
      </c>
      <c r="D1424" s="2" t="str">
        <f t="shared" si="21"/>
        <v>Error?</v>
      </c>
    </row>
    <row r="1425" spans="1:4" x14ac:dyDescent="0.2">
      <c r="A1425" s="5">
        <v>1364</v>
      </c>
      <c r="B1425" s="1832">
        <f>'Expenditures 15-22'!D259</f>
        <v>17111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17111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19059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23299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8772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51130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87609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131238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1666</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43629</v>
      </c>
      <c r="C1474" s="2" t="s">
        <v>569</v>
      </c>
      <c r="D1474" s="2" t="str">
        <f t="shared" si="22"/>
        <v>Error?</v>
      </c>
    </row>
    <row r="1475" spans="1:4" x14ac:dyDescent="0.2">
      <c r="A1475" s="5">
        <v>1414</v>
      </c>
      <c r="B1475" s="1832">
        <f>'Expenditures 15-22'!K232</f>
        <v>1167</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7988</v>
      </c>
      <c r="C1477" s="2" t="s">
        <v>569</v>
      </c>
      <c r="D1477" s="2" t="str">
        <f t="shared" si="22"/>
        <v>Error?</v>
      </c>
    </row>
    <row r="1478" spans="1:4" x14ac:dyDescent="0.2">
      <c r="A1478" s="5">
        <v>1417</v>
      </c>
      <c r="B1478" s="1832">
        <f>'Expenditures 15-22'!K235</f>
        <v>635</v>
      </c>
      <c r="C1478" s="2" t="s">
        <v>569</v>
      </c>
      <c r="D1478" s="2" t="str">
        <f t="shared" si="22"/>
        <v>Error?</v>
      </c>
    </row>
    <row r="1479" spans="1:4" x14ac:dyDescent="0.2">
      <c r="A1479" s="5">
        <v>1418</v>
      </c>
      <c r="B1479" s="1832">
        <f>'Expenditures 15-22'!K236</f>
        <v>1569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11359</v>
      </c>
      <c r="C1481" s="2" t="s">
        <v>569</v>
      </c>
      <c r="D1481" s="2" t="str">
        <f t="shared" si="22"/>
        <v>Error?</v>
      </c>
    </row>
    <row r="1482" spans="1:4" x14ac:dyDescent="0.2">
      <c r="A1482" s="5">
        <v>1421</v>
      </c>
      <c r="B1482" s="1832">
        <f>'Expenditures 15-22'!K240</f>
        <v>126</v>
      </c>
      <c r="C1482" s="2" t="s">
        <v>569</v>
      </c>
      <c r="D1482" s="2" t="str">
        <f t="shared" si="22"/>
        <v>Error?</v>
      </c>
    </row>
    <row r="1483" spans="1:4" x14ac:dyDescent="0.2">
      <c r="A1483" s="5">
        <v>1422</v>
      </c>
      <c r="B1483" s="1832">
        <f>'Expenditures 15-22'!K241</f>
        <v>3971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4097</v>
      </c>
      <c r="C1485" s="2" t="s">
        <v>569</v>
      </c>
      <c r="D1485" s="2" t="str">
        <f t="shared" si="22"/>
        <v>Error?</v>
      </c>
    </row>
    <row r="1486" spans="1:4" x14ac:dyDescent="0.2">
      <c r="A1486" s="5">
        <v>1425</v>
      </c>
      <c r="B1486" s="1832">
        <f>'Expenditures 15-22'!K245</f>
        <v>1436</v>
      </c>
      <c r="C1486" s="2" t="s">
        <v>569</v>
      </c>
      <c r="D1486" s="2" t="str">
        <f t="shared" si="22"/>
        <v>Error?</v>
      </c>
    </row>
    <row r="1487" spans="1:4" x14ac:dyDescent="0.2">
      <c r="A1487" s="5">
        <v>1426</v>
      </c>
      <c r="B1487" s="1832">
        <f>'Expenditures 15-22'!K246</f>
        <v>2476</v>
      </c>
      <c r="C1487" s="2" t="s">
        <v>569</v>
      </c>
      <c r="D1487" s="2" t="str">
        <f t="shared" si="22"/>
        <v>Error?</v>
      </c>
    </row>
    <row r="1488" spans="1:4" x14ac:dyDescent="0.2">
      <c r="A1488" s="5">
        <v>1427</v>
      </c>
      <c r="B1488" s="1832">
        <f>'Expenditures 15-22'!K257</f>
        <v>3912</v>
      </c>
      <c r="C1488" s="2" t="s">
        <v>569</v>
      </c>
      <c r="D1488" s="2" t="str">
        <f t="shared" si="22"/>
        <v>Error?</v>
      </c>
    </row>
    <row r="1489" spans="1:4" x14ac:dyDescent="0.2">
      <c r="A1489" s="5">
        <v>1428</v>
      </c>
      <c r="B1489" s="1832">
        <f>'Expenditures 15-22'!K259</f>
        <v>17111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17111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19059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23299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8772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51130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87609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131238</v>
      </c>
      <c r="C1517" s="2" t="s">
        <v>569</v>
      </c>
      <c r="D1517" s="2" t="str">
        <f t="shared" si="22"/>
        <v>Error?</v>
      </c>
    </row>
    <row r="1518" spans="1:4" x14ac:dyDescent="0.2">
      <c r="A1518" s="5">
        <v>1457</v>
      </c>
      <c r="B1518" s="1832">
        <f>'Expenditures 15-22'!K296</f>
        <v>-14518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501303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501303</v>
      </c>
      <c r="C1547" s="2" t="s">
        <v>569</v>
      </c>
      <c r="D1547" s="2" t="str">
        <f t="shared" si="23"/>
        <v>Error?</v>
      </c>
    </row>
    <row r="1548" spans="1:4" x14ac:dyDescent="0.2">
      <c r="A1548" s="5">
        <v>1487</v>
      </c>
      <c r="B1548" s="1832">
        <f>'Expenditures 15-22'!G312</f>
        <v>501303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501303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501303</v>
      </c>
      <c r="C1559" s="2" t="s">
        <v>569</v>
      </c>
      <c r="D1559" s="2" t="str">
        <f t="shared" si="23"/>
        <v>Error?</v>
      </c>
    </row>
    <row r="1560" spans="1:4" x14ac:dyDescent="0.2">
      <c r="A1560" s="5">
        <v>1499</v>
      </c>
      <c r="B1560" s="1832">
        <f>'Expenditures 15-22'!K312</f>
        <v>501303</v>
      </c>
      <c r="C1560" s="2" t="s">
        <v>569</v>
      </c>
      <c r="D1560" s="2" t="str">
        <f t="shared" si="23"/>
        <v>Error?</v>
      </c>
    </row>
    <row r="1561" spans="1:4" x14ac:dyDescent="0.2">
      <c r="A1561" s="5">
        <v>1500</v>
      </c>
      <c r="B1561" s="1832">
        <f>'Expenditures 15-22'!K313</f>
        <v>-222127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2319278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2516773</v>
      </c>
      <c r="C1630" s="2" t="s">
        <v>569</v>
      </c>
      <c r="D1630" s="2" t="str">
        <f t="shared" si="24"/>
        <v>Error?</v>
      </c>
    </row>
    <row r="1631" spans="1:4" x14ac:dyDescent="0.2">
      <c r="A1631" s="5">
        <v>1570</v>
      </c>
      <c r="B1631" s="1832">
        <f>'Acct Summary 7-8'!D79</f>
        <v>371223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492385</v>
      </c>
      <c r="C1644" s="2" t="s">
        <v>569</v>
      </c>
      <c r="D1644" s="2" t="str">
        <f t="shared" si="24"/>
        <v>Error?</v>
      </c>
    </row>
    <row r="1645" spans="1:4" x14ac:dyDescent="0.2">
      <c r="A1645" s="5">
        <v>1584</v>
      </c>
      <c r="B1645" s="1832">
        <f>'Acct Summary 7-8'!E79</f>
        <v>139290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146396</v>
      </c>
      <c r="C1658" s="2" t="s">
        <v>569</v>
      </c>
      <c r="D1658" s="2" t="str">
        <f t="shared" si="24"/>
        <v>Error?</v>
      </c>
    </row>
    <row r="1659" spans="1:4" x14ac:dyDescent="0.2">
      <c r="A1659" s="5">
        <v>1598</v>
      </c>
      <c r="B1659" s="1832">
        <f>'Acct Summary 7-8'!F79</f>
        <v>3456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1046</v>
      </c>
      <c r="C1672" s="2" t="s">
        <v>569</v>
      </c>
      <c r="D1672" s="2" t="str">
        <f t="shared" si="25"/>
        <v>Error?</v>
      </c>
    </row>
    <row r="1673" spans="1:4" x14ac:dyDescent="0.2">
      <c r="A1673" s="5">
        <v>1612</v>
      </c>
      <c r="B1673" s="1832">
        <f>'Acct Summary 7-8'!G79</f>
        <v>87071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72553</v>
      </c>
      <c r="C1686" s="2" t="s">
        <v>569</v>
      </c>
      <c r="D1686" s="2" t="str">
        <f t="shared" si="25"/>
        <v>Error?</v>
      </c>
    </row>
    <row r="1687" spans="1:4" x14ac:dyDescent="0.2">
      <c r="A1687" s="5">
        <v>1626</v>
      </c>
      <c r="B1687" s="1832">
        <f>'Acct Summary 7-8'!H79</f>
        <v>2100606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2282388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1380150</v>
      </c>
      <c r="C1744" s="2" t="s">
        <v>569</v>
      </c>
      <c r="D1744" s="2" t="str">
        <f t="shared" si="26"/>
        <v>Error?</v>
      </c>
    </row>
    <row r="1745" spans="1:5" x14ac:dyDescent="0.2">
      <c r="A1745" s="5">
        <v>1684</v>
      </c>
      <c r="B1745" s="1832">
        <f>'Tax Sched 23'!B5</f>
        <v>266106</v>
      </c>
      <c r="C1745" s="2" t="s">
        <v>569</v>
      </c>
      <c r="D1745" s="2" t="str">
        <f t="shared" si="26"/>
        <v>Error?</v>
      </c>
    </row>
    <row r="1746" spans="1:5" x14ac:dyDescent="0.2">
      <c r="A1746" s="5">
        <v>1685</v>
      </c>
      <c r="B1746" s="1832">
        <f>'Tax Sched 23'!B6</f>
        <v>266990</v>
      </c>
      <c r="C1746" s="2" t="s">
        <v>569</v>
      </c>
      <c r="D1746" s="2" t="str">
        <f t="shared" si="26"/>
        <v>Error?</v>
      </c>
    </row>
    <row r="1747" spans="1:5" x14ac:dyDescent="0.2">
      <c r="A1747" s="5">
        <v>1686</v>
      </c>
      <c r="B1747" s="1832">
        <f>'Tax Sched 23'!B7</f>
        <v>120961</v>
      </c>
      <c r="C1747" s="2" t="s">
        <v>569</v>
      </c>
      <c r="D1747" s="2" t="str">
        <f t="shared" si="26"/>
        <v>Error?</v>
      </c>
    </row>
    <row r="1748" spans="1:5" x14ac:dyDescent="0.2">
      <c r="A1748" s="5">
        <v>1687</v>
      </c>
      <c r="B1748" s="1832">
        <f>'Tax Sched 23'!B8</f>
        <v>46931</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193553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2368562</v>
      </c>
      <c r="C1759" s="2" t="s">
        <v>569</v>
      </c>
      <c r="D1759" s="2" t="str">
        <f t="shared" si="26"/>
        <v>Error?</v>
      </c>
    </row>
    <row r="1760" spans="1:5" x14ac:dyDescent="0.2">
      <c r="A1760" s="5">
        <v>1699</v>
      </c>
      <c r="B1760" s="1832">
        <f>'Tax Sched 23'!D4</f>
        <v>644392</v>
      </c>
      <c r="C1760" s="2" t="s">
        <v>569</v>
      </c>
      <c r="D1760" s="2" t="str">
        <f t="shared" si="26"/>
        <v>Error?</v>
      </c>
    </row>
    <row r="1761" spans="1:7" x14ac:dyDescent="0.2">
      <c r="A1761" s="5">
        <v>1700</v>
      </c>
      <c r="B1761" s="1832">
        <f>'Tax Sched 23'!D5</f>
        <v>124183</v>
      </c>
      <c r="C1761" s="2" t="s">
        <v>569</v>
      </c>
      <c r="D1761" s="2" t="str">
        <f t="shared" si="26"/>
        <v>Error?</v>
      </c>
    </row>
    <row r="1762" spans="1:7" s="8" customFormat="1" x14ac:dyDescent="0.2">
      <c r="A1762" s="5">
        <v>1701</v>
      </c>
      <c r="B1762" s="1832">
        <f>'Tax Sched 23'!D6</f>
        <v>125578</v>
      </c>
      <c r="C1762" s="2" t="s">
        <v>569</v>
      </c>
      <c r="D1762" s="2" t="str">
        <f t="shared" si="26"/>
        <v>Error?</v>
      </c>
      <c r="E1762" s="9"/>
      <c r="G1762"/>
    </row>
    <row r="1763" spans="1:7" x14ac:dyDescent="0.2">
      <c r="A1763" s="5">
        <v>1702</v>
      </c>
      <c r="B1763" s="1832">
        <f>'Tax Sched 23'!D7</f>
        <v>56447</v>
      </c>
      <c r="C1763" s="2" t="s">
        <v>569</v>
      </c>
      <c r="D1763" s="2" t="str">
        <f t="shared" si="26"/>
        <v>Error?</v>
      </c>
    </row>
    <row r="1764" spans="1:7" x14ac:dyDescent="0.2">
      <c r="A1764" s="5">
        <v>1703</v>
      </c>
      <c r="B1764" s="1832">
        <f>'Tax Sched 23'!D8</f>
        <v>21848</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90315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1106195</v>
      </c>
      <c r="C1775" s="2" t="s">
        <v>569</v>
      </c>
      <c r="D1775" s="2" t="str">
        <f t="shared" si="26"/>
        <v>Error?</v>
      </c>
    </row>
    <row r="1776" spans="1:7" x14ac:dyDescent="0.2">
      <c r="A1776" s="5">
        <v>1715</v>
      </c>
      <c r="B1776" s="1832">
        <f>'Tax Sched 23'!C4</f>
        <v>735758</v>
      </c>
      <c r="D1776" s="2" t="str">
        <f t="shared" si="26"/>
        <v>Error?</v>
      </c>
    </row>
    <row r="1777" spans="1:4" x14ac:dyDescent="0.2">
      <c r="A1777" s="5">
        <v>1716</v>
      </c>
      <c r="B1777" s="1832">
        <f>'Tax Sched 23'!C5</f>
        <v>141923</v>
      </c>
      <c r="D1777" s="2" t="str">
        <f t="shared" si="26"/>
        <v>Error?</v>
      </c>
    </row>
    <row r="1778" spans="1:4" x14ac:dyDescent="0.2">
      <c r="A1778" s="5">
        <v>1717</v>
      </c>
      <c r="B1778" s="1832">
        <f>'Tax Sched 23'!C6</f>
        <v>141412</v>
      </c>
      <c r="D1778" s="2" t="str">
        <f t="shared" si="26"/>
        <v>Error?</v>
      </c>
    </row>
    <row r="1779" spans="1:4" x14ac:dyDescent="0.2">
      <c r="A1779" s="5">
        <v>1718</v>
      </c>
      <c r="B1779" s="1832">
        <f>'Tax Sched 23'!C7</f>
        <v>64514</v>
      </c>
      <c r="D1779" s="2" t="str">
        <f t="shared" si="26"/>
        <v>Error?</v>
      </c>
    </row>
    <row r="1780" spans="1:4" x14ac:dyDescent="0.2">
      <c r="A1780" s="5">
        <v>1719</v>
      </c>
      <c r="B1780" s="1832">
        <f>'Tax Sched 23'!C8</f>
        <v>25083</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103238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1262367</v>
      </c>
      <c r="C1791" s="2" t="s">
        <v>569</v>
      </c>
      <c r="D1791" s="2" t="str">
        <f t="shared" ref="D1791:D1854" si="27">IF(ISBLANK(B1791),"OK",IF(A1791-B1791=0,"OK","Error?"))</f>
        <v>Error?</v>
      </c>
    </row>
    <row r="1792" spans="1:4" x14ac:dyDescent="0.2">
      <c r="A1792" s="5">
        <v>1731</v>
      </c>
      <c r="B1792" s="1832">
        <f>'Tax Sched 23'!F4</f>
        <v>670932</v>
      </c>
      <c r="C1792" s="2" t="s">
        <v>569</v>
      </c>
      <c r="D1792" s="2" t="str">
        <f t="shared" si="27"/>
        <v>Error?</v>
      </c>
    </row>
    <row r="1793" spans="1:4" x14ac:dyDescent="0.2">
      <c r="A1793" s="5">
        <v>1732</v>
      </c>
      <c r="B1793" s="1832">
        <f>'Tax Sched 23'!F5</f>
        <v>129418</v>
      </c>
      <c r="C1793" s="2" t="s">
        <v>569</v>
      </c>
      <c r="D1793" s="2" t="str">
        <f t="shared" si="27"/>
        <v>Error?</v>
      </c>
    </row>
    <row r="1794" spans="1:4" x14ac:dyDescent="0.2">
      <c r="A1794" s="5">
        <v>1733</v>
      </c>
      <c r="B1794" s="1832">
        <f>'Tax Sched 23'!F6</f>
        <v>128952</v>
      </c>
      <c r="C1794" s="2" t="s">
        <v>569</v>
      </c>
      <c r="D1794" s="2" t="str">
        <f t="shared" si="27"/>
        <v>Error?</v>
      </c>
    </row>
    <row r="1795" spans="1:4" x14ac:dyDescent="0.2">
      <c r="A1795" s="5">
        <v>1734</v>
      </c>
      <c r="B1795" s="1832">
        <f>'Tax Sched 23'!F7</f>
        <v>58830</v>
      </c>
      <c r="C1795" s="2" t="s">
        <v>569</v>
      </c>
      <c r="D1795" s="2" t="str">
        <f t="shared" si="27"/>
        <v>Error?</v>
      </c>
    </row>
    <row r="1796" spans="1:4" x14ac:dyDescent="0.2">
      <c r="A1796" s="5">
        <v>1735</v>
      </c>
      <c r="B1796" s="1832">
        <f>'Tax Sched 23'!F8</f>
        <v>22872</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94142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1151142</v>
      </c>
      <c r="C1807" s="2" t="s">
        <v>569</v>
      </c>
      <c r="D1807" s="2" t="str">
        <f t="shared" si="27"/>
        <v>Error?</v>
      </c>
    </row>
    <row r="1808" spans="1:4" x14ac:dyDescent="0.2">
      <c r="A1808" s="5">
        <v>1747</v>
      </c>
      <c r="B1808" s="1832">
        <f>'Tax Sched 23'!E4</f>
        <v>1406690</v>
      </c>
      <c r="D1808" s="2" t="str">
        <f t="shared" si="27"/>
        <v>Error?</v>
      </c>
    </row>
    <row r="1809" spans="1:4" x14ac:dyDescent="0.2">
      <c r="A1809" s="5">
        <v>1748</v>
      </c>
      <c r="B1809" s="1832">
        <f>'Tax Sched 23'!E5</f>
        <v>271341</v>
      </c>
      <c r="D1809" s="2" t="str">
        <f t="shared" si="27"/>
        <v>Error?</v>
      </c>
    </row>
    <row r="1810" spans="1:4" x14ac:dyDescent="0.2">
      <c r="A1810" s="5">
        <v>1749</v>
      </c>
      <c r="B1810" s="1832">
        <f>'Tax Sched 23'!E6</f>
        <v>270364</v>
      </c>
      <c r="D1810" s="2" t="str">
        <f t="shared" si="27"/>
        <v>Error?</v>
      </c>
    </row>
    <row r="1811" spans="1:4" x14ac:dyDescent="0.2">
      <c r="A1811" s="5">
        <v>1750</v>
      </c>
      <c r="B1811" s="1832">
        <f>'Tax Sched 23'!E7</f>
        <v>123344</v>
      </c>
      <c r="D1811" s="2" t="str">
        <f t="shared" si="27"/>
        <v>Error?</v>
      </c>
    </row>
    <row r="1812" spans="1:4" x14ac:dyDescent="0.2">
      <c r="A1812" s="5">
        <v>1751</v>
      </c>
      <c r="B1812" s="1832">
        <f>'Tax Sched 23'!E8</f>
        <v>47955</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197380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2413509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3110000</v>
      </c>
      <c r="C1939" s="2" t="s">
        <v>569</v>
      </c>
      <c r="D1939" s="2" t="str">
        <f t="shared" si="29"/>
        <v>Error?</v>
      </c>
    </row>
    <row r="1940" spans="1:5" x14ac:dyDescent="0.2">
      <c r="A1940" s="5">
        <v>1879</v>
      </c>
      <c r="B1940" s="1832">
        <f>'Short-Term Long-Term Debt 24'!F49</f>
        <v>3292000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193553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193553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193553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44750</v>
      </c>
      <c r="D2008" s="2" t="str">
        <f t="shared" si="30"/>
        <v>Error?</v>
      </c>
    </row>
    <row r="2009" spans="1:4" x14ac:dyDescent="0.2">
      <c r="A2009" s="5">
        <v>1948</v>
      </c>
      <c r="B2009" s="1832">
        <f>'Cap Outlay Deprec 26'!C8</f>
        <v>2460911</v>
      </c>
      <c r="D2009" s="2" t="str">
        <f t="shared" si="30"/>
        <v>Error?</v>
      </c>
    </row>
    <row r="2010" spans="1:4" x14ac:dyDescent="0.2">
      <c r="A2010" s="5">
        <v>1949</v>
      </c>
      <c r="B2010" s="1832">
        <f>'Cap Outlay Deprec 26'!C10</f>
        <v>2530765</v>
      </c>
      <c r="D2010" s="2" t="str">
        <f t="shared" si="30"/>
        <v>Error?</v>
      </c>
    </row>
    <row r="2011" spans="1:4" x14ac:dyDescent="0.2">
      <c r="A2011" s="5">
        <v>1950</v>
      </c>
      <c r="B2011" s="1832">
        <f>'Cap Outlay Deprec 26'!C12</f>
        <v>1344498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6380924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102314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603617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44750</v>
      </c>
      <c r="C2026" s="2" t="s">
        <v>569</v>
      </c>
      <c r="D2026" s="2" t="str">
        <f t="shared" si="30"/>
        <v>Error?</v>
      </c>
    </row>
    <row r="2027" spans="1:4" x14ac:dyDescent="0.2">
      <c r="A2027" s="5">
        <v>1966</v>
      </c>
      <c r="B2027" s="1832">
        <f>'Cap Outlay Deprec 26'!F8</f>
        <v>2460911</v>
      </c>
      <c r="C2027" s="2" t="s">
        <v>569</v>
      </c>
      <c r="D2027" s="2" t="str">
        <f t="shared" si="30"/>
        <v>Error?</v>
      </c>
    </row>
    <row r="2028" spans="1:4" x14ac:dyDescent="0.2">
      <c r="A2028" s="5">
        <v>1967</v>
      </c>
      <c r="B2028" s="1832">
        <f>'Cap Outlay Deprec 26'!F10</f>
        <v>2530765</v>
      </c>
      <c r="C2028" s="2" t="s">
        <v>569</v>
      </c>
      <c r="D2028" s="2" t="str">
        <f t="shared" si="30"/>
        <v>Error?</v>
      </c>
    </row>
    <row r="2029" spans="1:4" x14ac:dyDescent="0.2">
      <c r="A2029" s="5">
        <v>1968</v>
      </c>
      <c r="B2029" s="1832">
        <f>'Cap Outlay Deprec 26'!F12</f>
        <v>1446812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6984541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2013881</v>
      </c>
      <c r="D2033" s="2" t="str">
        <f t="shared" si="30"/>
        <v>Error?</v>
      </c>
    </row>
    <row r="2034" spans="1:4" x14ac:dyDescent="0.2">
      <c r="A2034" s="5">
        <v>1973</v>
      </c>
      <c r="B2034" s="1832">
        <f>'Cap Outlay Deprec 26'!H10</f>
        <v>387991</v>
      </c>
      <c r="D2034" s="2" t="str">
        <f t="shared" si="30"/>
        <v>Error?</v>
      </c>
    </row>
    <row r="2035" spans="1:4" x14ac:dyDescent="0.2">
      <c r="A2035" s="5">
        <v>1974</v>
      </c>
      <c r="B2035" s="1832">
        <f>'Cap Outlay Deprec 26'!H12</f>
        <v>828257</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3230129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49218</v>
      </c>
      <c r="D2039" s="2" t="str">
        <f t="shared" si="30"/>
        <v>Error?</v>
      </c>
    </row>
    <row r="2040" spans="1:4" x14ac:dyDescent="0.2">
      <c r="A2040" s="5">
        <v>1979</v>
      </c>
      <c r="B2040" s="1832">
        <f>'Cap Outlay Deprec 26'!I10</f>
        <v>126538</v>
      </c>
      <c r="D2040" s="2" t="str">
        <f t="shared" si="30"/>
        <v>Error?</v>
      </c>
    </row>
    <row r="2041" spans="1:4" x14ac:dyDescent="0.2">
      <c r="A2041" s="5">
        <v>1980</v>
      </c>
      <c r="B2041" s="1832">
        <f>'Cap Outlay Deprec 26'!I12</f>
        <v>84444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260200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2063099</v>
      </c>
      <c r="C2051" s="2" t="s">
        <v>569</v>
      </c>
      <c r="D2051" s="2" t="str">
        <f t="shared" si="31"/>
        <v>Error?</v>
      </c>
    </row>
    <row r="2052" spans="1:4" x14ac:dyDescent="0.2">
      <c r="A2052" s="5">
        <v>1991</v>
      </c>
      <c r="B2052" s="1832">
        <f>'Cap Outlay Deprec 26'!K10</f>
        <v>514529</v>
      </c>
      <c r="C2052" s="2" t="s">
        <v>569</v>
      </c>
      <c r="D2052" s="2" t="str">
        <f t="shared" si="31"/>
        <v>Error?</v>
      </c>
    </row>
    <row r="2053" spans="1:4" x14ac:dyDescent="0.2">
      <c r="A2053" s="5">
        <v>1992</v>
      </c>
      <c r="B2053" s="1832">
        <f>'Cap Outlay Deprec 26'!K12</f>
        <v>912701</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3490329</v>
      </c>
      <c r="C2055" s="2" t="s">
        <v>569</v>
      </c>
      <c r="D2055" s="2" t="str">
        <f t="shared" si="31"/>
        <v>Error?</v>
      </c>
    </row>
    <row r="2056" spans="1:4" x14ac:dyDescent="0.2">
      <c r="A2056" s="5">
        <v>1995</v>
      </c>
      <c r="B2056" s="1832">
        <f>'Cap Outlay Deprec 26'!L5</f>
        <v>44750</v>
      </c>
      <c r="C2056" s="2" t="s">
        <v>569</v>
      </c>
      <c r="D2056" s="2" t="str">
        <f t="shared" si="31"/>
        <v>Error?</v>
      </c>
    </row>
    <row r="2057" spans="1:4" x14ac:dyDescent="0.2">
      <c r="A2057" s="5">
        <v>1996</v>
      </c>
      <c r="B2057" s="1832">
        <f>'Cap Outlay Deprec 26'!L8</f>
        <v>397812</v>
      </c>
      <c r="C2057" s="2" t="s">
        <v>569</v>
      </c>
      <c r="D2057" s="2" t="str">
        <f t="shared" si="31"/>
        <v>Error?</v>
      </c>
    </row>
    <row r="2058" spans="1:4" x14ac:dyDescent="0.2">
      <c r="A2058" s="5">
        <v>1997</v>
      </c>
      <c r="B2058" s="1832">
        <f>'Cap Outlay Deprec 26'!L10</f>
        <v>2016236</v>
      </c>
      <c r="C2058" s="2" t="s">
        <v>569</v>
      </c>
      <c r="D2058" s="2" t="str">
        <f t="shared" si="31"/>
        <v>Error?</v>
      </c>
    </row>
    <row r="2059" spans="1:4" x14ac:dyDescent="0.2">
      <c r="A2059" s="5">
        <v>1998</v>
      </c>
      <c r="B2059" s="1832">
        <f>'Cap Outlay Deprec 26'!L12</f>
        <v>534111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3494212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284024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402909</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146396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2282388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1686610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3021632</v>
      </c>
      <c r="C2553" s="2" t="s">
        <v>569</v>
      </c>
      <c r="D2553" s="2" t="str">
        <f t="shared" si="38"/>
        <v>Error?</v>
      </c>
    </row>
    <row r="2554" spans="1:4" x14ac:dyDescent="0.2">
      <c r="A2554" s="5">
        <v>2493</v>
      </c>
      <c r="B2554" s="1832">
        <f>'Acct Summary 7-8'!C7</f>
        <v>722104</v>
      </c>
      <c r="C2554" s="2" t="s">
        <v>569</v>
      </c>
      <c r="D2554" s="2" t="str">
        <f t="shared" si="38"/>
        <v>Error?</v>
      </c>
    </row>
    <row r="2555" spans="1:4" x14ac:dyDescent="0.2">
      <c r="A2555" s="5">
        <v>2494</v>
      </c>
      <c r="B2555" s="1832">
        <f>'Acct Summary 7-8'!C8</f>
        <v>5430346</v>
      </c>
      <c r="C2555" s="2" t="s">
        <v>569</v>
      </c>
      <c r="D2555" s="2" t="str">
        <f t="shared" si="38"/>
        <v>Error?</v>
      </c>
    </row>
    <row r="2556" spans="1:4" x14ac:dyDescent="0.2">
      <c r="A2556" s="5">
        <v>2495</v>
      </c>
      <c r="B2556" s="1832">
        <f>'Acct Summary 7-8'!C12</f>
        <v>3408293</v>
      </c>
      <c r="C2556" s="2" t="s">
        <v>569</v>
      </c>
      <c r="D2556" s="2" t="str">
        <f t="shared" si="38"/>
        <v>Error?</v>
      </c>
    </row>
    <row r="2557" spans="1:4" x14ac:dyDescent="0.2">
      <c r="A2557" s="5">
        <v>2496</v>
      </c>
      <c r="B2557" s="1832">
        <f>'Acct Summary 7-8'!C13</f>
        <v>1430320</v>
      </c>
      <c r="C2557" s="2" t="s">
        <v>569</v>
      </c>
      <c r="D2557" s="2" t="str">
        <f t="shared" si="38"/>
        <v>Error?</v>
      </c>
    </row>
    <row r="2558" spans="1:4" x14ac:dyDescent="0.2">
      <c r="A2558" s="5">
        <v>2497</v>
      </c>
      <c r="B2558" s="1832">
        <f>'Acct Summary 7-8'!C14</f>
        <v>2214</v>
      </c>
      <c r="C2558" s="2" t="s">
        <v>569</v>
      </c>
      <c r="D2558" s="2" t="str">
        <f t="shared" si="38"/>
        <v>Error?</v>
      </c>
    </row>
    <row r="2559" spans="1:4" x14ac:dyDescent="0.2">
      <c r="A2559" s="5">
        <v>2498</v>
      </c>
      <c r="B2559" s="1832">
        <f>'Acct Summary 7-8'!C15</f>
        <v>284024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5124851</v>
      </c>
      <c r="C2561" s="2" t="s">
        <v>569</v>
      </c>
      <c r="D2561" s="2" t="str">
        <f t="shared" si="39"/>
        <v>Error?</v>
      </c>
    </row>
    <row r="2562" spans="1:4" x14ac:dyDescent="0.2">
      <c r="A2562" s="5">
        <v>2501</v>
      </c>
      <c r="B2562" s="1832">
        <f>'Acct Summary 7-8'!C20</f>
        <v>305495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378473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428473</v>
      </c>
      <c r="C2568" s="2" t="s">
        <v>569</v>
      </c>
      <c r="D2568" s="2" t="str">
        <f t="shared" si="39"/>
        <v>Error?</v>
      </c>
    </row>
    <row r="2569" spans="1:4" x14ac:dyDescent="0.2">
      <c r="A2569" s="5">
        <v>2508</v>
      </c>
      <c r="B2569" s="1832">
        <f>'Acct Summary 7-8'!D13</f>
        <v>307311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307311</v>
      </c>
      <c r="C2573" s="2" t="s">
        <v>569</v>
      </c>
      <c r="D2573" s="2" t="str">
        <f t="shared" si="39"/>
        <v>Error?</v>
      </c>
    </row>
    <row r="2574" spans="1:4" x14ac:dyDescent="0.2">
      <c r="A2574" s="5">
        <v>2513</v>
      </c>
      <c r="B2574" s="1832">
        <f>'Acct Summary 7-8'!D20</f>
        <v>121162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130020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401767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531787</v>
      </c>
      <c r="C2595" s="2" t="s">
        <v>569</v>
      </c>
      <c r="D2595" s="2" t="str">
        <f t="shared" si="39"/>
        <v>Error?</v>
      </c>
    </row>
    <row r="2596" spans="1:4" x14ac:dyDescent="0.2">
      <c r="A2596" s="5">
        <v>2535</v>
      </c>
      <c r="B2596" s="1832">
        <f>'Acct Summary 7-8'!F13</f>
        <v>641197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641197</v>
      </c>
      <c r="C2600" s="2" t="s">
        <v>569</v>
      </c>
      <c r="D2600" s="2" t="str">
        <f t="shared" si="39"/>
        <v>Error?</v>
      </c>
    </row>
    <row r="2601" spans="1:4" x14ac:dyDescent="0.2">
      <c r="A2601" s="5">
        <v>2540</v>
      </c>
      <c r="B2601" s="1832">
        <f>'Acct Summary 7-8'!F20</f>
        <v>-109410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116720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116720</v>
      </c>
      <c r="C2606" s="2" t="s">
        <v>569</v>
      </c>
      <c r="D2606" s="2" t="str">
        <f t="shared" si="39"/>
        <v>Error?</v>
      </c>
    </row>
    <row r="2607" spans="1:4" x14ac:dyDescent="0.2">
      <c r="A2607" s="5">
        <v>2546</v>
      </c>
      <c r="B2607" s="1832">
        <f>'Acct Summary 7-8'!G12</f>
        <v>43629</v>
      </c>
      <c r="C2607" s="2" t="s">
        <v>569</v>
      </c>
      <c r="D2607" s="2" t="str">
        <f t="shared" si="39"/>
        <v>Error?</v>
      </c>
    </row>
    <row r="2608" spans="1:4" x14ac:dyDescent="0.2">
      <c r="A2608" s="5">
        <v>2547</v>
      </c>
      <c r="B2608" s="1832">
        <f>'Acct Summary 7-8'!G13</f>
        <v>87609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131238</v>
      </c>
      <c r="C2612" s="2" t="s">
        <v>569</v>
      </c>
      <c r="D2612" s="2" t="str">
        <f t="shared" si="39"/>
        <v>Error?</v>
      </c>
    </row>
    <row r="2613" spans="1:4" x14ac:dyDescent="0.2">
      <c r="A2613" s="5">
        <v>2552</v>
      </c>
      <c r="B2613" s="1832">
        <f>'Acct Summary 7-8'!G20</f>
        <v>-14518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270395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270395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391303</v>
      </c>
      <c r="C2634" s="2" t="s">
        <v>569</v>
      </c>
      <c r="D2634" s="2" t="str">
        <f t="shared" si="40"/>
        <v>Error?</v>
      </c>
    </row>
    <row r="2635" spans="1:4" x14ac:dyDescent="0.2">
      <c r="A2635" s="5">
        <v>2574</v>
      </c>
      <c r="B2635" s="1832">
        <f>'Acct Summary 7-8'!E17</f>
        <v>391303</v>
      </c>
      <c r="C2635" s="2" t="s">
        <v>569</v>
      </c>
      <c r="D2635" s="2" t="str">
        <f t="shared" si="40"/>
        <v>Error?</v>
      </c>
    </row>
    <row r="2636" spans="1:4" x14ac:dyDescent="0.2">
      <c r="A2636" s="5">
        <v>2575</v>
      </c>
      <c r="B2636" s="1832">
        <f>'Acct Summary 7-8'!E20</f>
        <v>-120908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56576</v>
      </c>
      <c r="C2655" s="2" t="s">
        <v>569</v>
      </c>
      <c r="D2655" s="2" t="str">
        <f t="shared" si="40"/>
        <v>Error?</v>
      </c>
    </row>
    <row r="2656" spans="1:4" x14ac:dyDescent="0.2">
      <c r="A2656" s="5">
        <v>2595</v>
      </c>
      <c r="B2656" s="1832">
        <f>'Acct Summary 7-8'!H6</f>
        <v>222600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279176</v>
      </c>
      <c r="C2658" s="2" t="s">
        <v>569</v>
      </c>
      <c r="D2658" s="2" t="str">
        <f t="shared" si="40"/>
        <v>Error?</v>
      </c>
    </row>
    <row r="2659" spans="1:4" x14ac:dyDescent="0.2">
      <c r="A2659" s="5">
        <v>2598</v>
      </c>
      <c r="B2659" s="1832">
        <f>'Acct Summary 7-8'!H13</f>
        <v>501303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501303</v>
      </c>
      <c r="C2661" s="2" t="s">
        <v>569</v>
      </c>
      <c r="D2661" s="2" t="str">
        <f t="shared" si="40"/>
        <v>Error?</v>
      </c>
    </row>
    <row r="2662" spans="1:4" x14ac:dyDescent="0.2">
      <c r="A2662" s="5">
        <v>2601</v>
      </c>
      <c r="B2662" s="1832">
        <f>'Acct Summary 7-8'!H20</f>
        <v>-222127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284024</v>
      </c>
      <c r="C2789" s="2" t="s">
        <v>569</v>
      </c>
      <c r="D2789" s="2" t="str">
        <f t="shared" si="42"/>
        <v>Error?</v>
      </c>
    </row>
    <row r="2790" spans="1:4" x14ac:dyDescent="0.2">
      <c r="A2790" s="5">
        <v>2729</v>
      </c>
      <c r="B2790" s="1832">
        <f>'Expenditures 15-22'!E102</f>
        <v>284024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501303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27577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5558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27577</v>
      </c>
      <c r="D2912" s="2" t="str">
        <f t="shared" si="44"/>
        <v>Error?</v>
      </c>
    </row>
    <row r="2913" spans="1:4" x14ac:dyDescent="0.2">
      <c r="A2913" s="5">
        <v>2852</v>
      </c>
      <c r="B2913" s="1832">
        <f>'Assets-Liab 5-6'!I41</f>
        <v>27577</v>
      </c>
      <c r="C2913" s="2" t="s">
        <v>569</v>
      </c>
      <c r="D2913" s="2" t="str">
        <f t="shared" si="44"/>
        <v>Error?</v>
      </c>
    </row>
    <row r="2914" spans="1:4" x14ac:dyDescent="0.2">
      <c r="A2914" s="5">
        <v>2853</v>
      </c>
      <c r="B2914" s="1832">
        <f>'Assets-Liab 5-6'!L33</f>
        <v>5558</v>
      </c>
      <c r="D2914" s="2" t="str">
        <f t="shared" si="44"/>
        <v>Error?</v>
      </c>
    </row>
    <row r="2915" spans="1:4" x14ac:dyDescent="0.2">
      <c r="A2915" s="10">
        <v>2854</v>
      </c>
      <c r="B2915" s="1832"/>
      <c r="D2915" s="2" t="str">
        <f t="shared" si="44"/>
        <v>OK</v>
      </c>
    </row>
    <row r="2916" spans="1:4" x14ac:dyDescent="0.2">
      <c r="A2916" s="5">
        <v>2855</v>
      </c>
      <c r="B2916" s="1832">
        <f>'Assets-Liab 5-6'!L34</f>
        <v>5558</v>
      </c>
      <c r="C2916" s="2" t="s">
        <v>569</v>
      </c>
      <c r="D2916" s="2" t="str">
        <f t="shared" si="44"/>
        <v>Error?</v>
      </c>
    </row>
    <row r="2917" spans="1:4" x14ac:dyDescent="0.2">
      <c r="A2917" s="5">
        <v>2856</v>
      </c>
      <c r="B2917" s="1832">
        <f>'Assets-Liab 5-6'!L41</f>
        <v>5558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284024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284024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289614</v>
      </c>
      <c r="D3055" s="2" t="str">
        <f t="shared" si="46"/>
        <v>Error?</v>
      </c>
    </row>
    <row r="3056" spans="1:4" x14ac:dyDescent="0.2">
      <c r="A3056" s="5">
        <v>2995</v>
      </c>
      <c r="B3056" s="1832">
        <f>'Expenditures 15-22'!D10</f>
        <v>21811</v>
      </c>
      <c r="D3056" s="2" t="str">
        <f t="shared" si="46"/>
        <v>Error?</v>
      </c>
    </row>
    <row r="3057" spans="1:4" x14ac:dyDescent="0.2">
      <c r="A3057" s="5">
        <v>2996</v>
      </c>
      <c r="B3057" s="1832">
        <f>'Expenditures 15-22'!E10</f>
        <v>15500</v>
      </c>
      <c r="D3057" s="2" t="str">
        <f t="shared" si="46"/>
        <v>Error?</v>
      </c>
    </row>
    <row r="3058" spans="1:4" x14ac:dyDescent="0.2">
      <c r="A3058" s="5">
        <v>2997</v>
      </c>
      <c r="B3058" s="1832">
        <f>'Expenditures 15-22'!F10</f>
        <v>11428</v>
      </c>
      <c r="D3058" s="2" t="str">
        <f t="shared" si="46"/>
        <v>Error?</v>
      </c>
    </row>
    <row r="3059" spans="1:4" x14ac:dyDescent="0.2">
      <c r="A3059" s="5">
        <v>2998</v>
      </c>
      <c r="B3059" s="1832">
        <f>'Expenditures 15-22'!G10</f>
        <v>11895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350248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2219</v>
      </c>
      <c r="D3064" s="2" t="str">
        <f t="shared" si="46"/>
        <v>Error?</v>
      </c>
    </row>
    <row r="3065" spans="1:4" x14ac:dyDescent="0.2">
      <c r="A3065" s="5">
        <v>3004</v>
      </c>
      <c r="B3065" s="1832">
        <f>'Expenditures 15-22'!K219</f>
        <v>2219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2894295</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21</v>
      </c>
      <c r="C3225" s="2" t="s">
        <v>569</v>
      </c>
      <c r="D3225" s="2" t="str">
        <f t="shared" si="49"/>
        <v>Error?</v>
      </c>
    </row>
    <row r="3226" spans="1:4" x14ac:dyDescent="0.2">
      <c r="A3226" s="5">
        <v>3165</v>
      </c>
      <c r="B3226" s="1832">
        <f>'Acct Summary 7-8'!I8</f>
        <v>21</v>
      </c>
      <c r="C3226" s="2" t="s">
        <v>569</v>
      </c>
      <c r="D3226" s="2" t="str">
        <f t="shared" si="49"/>
        <v>Error?</v>
      </c>
    </row>
    <row r="3227" spans="1:4" x14ac:dyDescent="0.2">
      <c r="A3227" s="5">
        <v>3166</v>
      </c>
      <c r="B3227" s="1832">
        <f>'Acct Summary 7-8'!I20</f>
        <v>21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402909</v>
      </c>
      <c r="C3229" s="2" t="s">
        <v>569</v>
      </c>
      <c r="D3229" s="2" t="str">
        <f t="shared" si="49"/>
        <v>Error?</v>
      </c>
    </row>
    <row r="3230" spans="1:4" x14ac:dyDescent="0.2">
      <c r="A3230" s="5">
        <v>3169</v>
      </c>
      <c r="B3230" s="1832">
        <f>'Acct Summary 7-8'!C75</f>
        <v>403909</v>
      </c>
      <c r="D3230" s="2" t="str">
        <f t="shared" si="49"/>
        <v>Error?</v>
      </c>
    </row>
    <row r="3231" spans="1:4" x14ac:dyDescent="0.2">
      <c r="A3231" s="5">
        <v>3170</v>
      </c>
      <c r="B3231" s="1832">
        <f>'Acct Summary 7-8'!C76</f>
        <v>510909</v>
      </c>
      <c r="C3231" s="2" t="s">
        <v>569</v>
      </c>
      <c r="D3231" s="2" t="str">
        <f t="shared" si="49"/>
        <v>Error?</v>
      </c>
    </row>
    <row r="3232" spans="1:4" x14ac:dyDescent="0.2">
      <c r="A3232" s="5">
        <v>3171</v>
      </c>
      <c r="B3232" s="1832">
        <f>'Acct Summary 7-8'!C77</f>
        <v>-108000</v>
      </c>
      <c r="C3232" s="2" t="s">
        <v>569</v>
      </c>
      <c r="D3232" s="2" t="str">
        <f t="shared" si="49"/>
        <v>Error?</v>
      </c>
    </row>
    <row r="3233" spans="1:4" x14ac:dyDescent="0.2">
      <c r="A3233" s="5">
        <v>3172</v>
      </c>
      <c r="B3233" s="1832">
        <f>'Acct Summary 7-8'!C78</f>
        <v>197495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121162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107000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107000</v>
      </c>
      <c r="C3255" s="2" t="s">
        <v>569</v>
      </c>
      <c r="D3255" s="2" t="str">
        <f t="shared" si="49"/>
        <v>Error?</v>
      </c>
    </row>
    <row r="3256" spans="1:4" x14ac:dyDescent="0.2">
      <c r="A3256" s="5">
        <v>3195</v>
      </c>
      <c r="B3256" s="1832">
        <f>'Acct Summary 7-8'!F78</f>
        <v>-2410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-14518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2961819</v>
      </c>
      <c r="C3274" s="2" t="s">
        <v>569</v>
      </c>
      <c r="D3274" s="2" t="str">
        <f t="shared" si="50"/>
        <v>Error?</v>
      </c>
    </row>
    <row r="3275" spans="1:4" x14ac:dyDescent="0.2">
      <c r="A3275" s="5">
        <v>3214</v>
      </c>
      <c r="B3275" s="1832">
        <f>'Acct Summary 7-8'!E75</f>
        <v>2833805</v>
      </c>
      <c r="D3275" s="2" t="str">
        <f t="shared" si="50"/>
        <v>Error?</v>
      </c>
    </row>
    <row r="3276" spans="1:4" x14ac:dyDescent="0.2">
      <c r="A3276" s="5">
        <v>3215</v>
      </c>
      <c r="B3276" s="1832">
        <f>'Acct Summary 7-8'!E76</f>
        <v>2833805</v>
      </c>
      <c r="C3276" s="2" t="s">
        <v>569</v>
      </c>
      <c r="D3276" s="2" t="str">
        <f t="shared" si="50"/>
        <v>Error?</v>
      </c>
    </row>
    <row r="3277" spans="1:4" x14ac:dyDescent="0.2">
      <c r="A3277" s="5">
        <v>3216</v>
      </c>
      <c r="B3277" s="1832">
        <f>'Acct Summary 7-8'!E77</f>
        <v>128014</v>
      </c>
      <c r="C3277" s="2" t="s">
        <v>569</v>
      </c>
      <c r="D3277" s="2" t="str">
        <f t="shared" si="50"/>
        <v>Error?</v>
      </c>
    </row>
    <row r="3278" spans="1:4" x14ac:dyDescent="0.2">
      <c r="A3278" s="5">
        <v>3217</v>
      </c>
      <c r="B3278" s="1832">
        <f>'Acct Summary 7-8'!E78</f>
        <v>7106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403909</v>
      </c>
      <c r="D3295" s="2" t="str">
        <f t="shared" si="50"/>
        <v>Error?</v>
      </c>
    </row>
    <row r="3296" spans="1:4" x14ac:dyDescent="0.2">
      <c r="A3296" s="5">
        <v>3235</v>
      </c>
      <c r="B3296" s="1832">
        <f>'Acct Summary 7-8'!H44</f>
        <v>403909</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403909</v>
      </c>
      <c r="C3299" s="2" t="s">
        <v>569</v>
      </c>
      <c r="D3299" s="2" t="str">
        <f t="shared" si="50"/>
        <v>Error?</v>
      </c>
    </row>
    <row r="3300" spans="1:4" x14ac:dyDescent="0.2">
      <c r="A3300" s="5">
        <v>3239</v>
      </c>
      <c r="B3300" s="1832">
        <f>'Acct Summary 7-8'!H78</f>
        <v>181782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397705</v>
      </c>
      <c r="C3317" s="2" t="s">
        <v>569</v>
      </c>
      <c r="D3317" s="2" t="str">
        <f t="shared" si="50"/>
        <v>Error?</v>
      </c>
    </row>
    <row r="3318" spans="1:4" x14ac:dyDescent="0.2">
      <c r="A3318" s="5">
        <v>3257</v>
      </c>
      <c r="B3318" s="1832">
        <f>'Acct Summary 7-8'!I76</f>
        <v>402909</v>
      </c>
      <c r="C3318" s="2" t="s">
        <v>569</v>
      </c>
      <c r="D3318" s="2" t="str">
        <f t="shared" si="50"/>
        <v>Error?</v>
      </c>
    </row>
    <row r="3319" spans="1:4" x14ac:dyDescent="0.2">
      <c r="A3319" s="5">
        <v>3258</v>
      </c>
      <c r="B3319" s="1832">
        <f>'Acct Summary 7-8'!I77</f>
        <v>-5204</v>
      </c>
      <c r="C3319" s="2" t="s">
        <v>569</v>
      </c>
      <c r="D3319" s="2" t="str">
        <f t="shared" si="50"/>
        <v>Error?</v>
      </c>
    </row>
    <row r="3320" spans="1:4" x14ac:dyDescent="0.2">
      <c r="A3320" s="5">
        <v>3259</v>
      </c>
      <c r="B3320" s="1832">
        <f>'Acct Summary 7-8'!I78</f>
        <v>-5183</v>
      </c>
      <c r="C3320" s="2" t="s">
        <v>569</v>
      </c>
      <c r="D3320" s="2" t="str">
        <f t="shared" si="50"/>
        <v>Error?</v>
      </c>
    </row>
    <row r="3321" spans="1:4" x14ac:dyDescent="0.2">
      <c r="A3321" s="5">
        <v>3260</v>
      </c>
      <c r="B3321" s="1832">
        <f>'Acct Summary 7-8'!I79</f>
        <v>32760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27577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416913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55058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663919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4426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1252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1141568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20485</v>
      </c>
      <c r="D3387" s="2" t="str">
        <f t="shared" si="51"/>
        <v>Error?</v>
      </c>
    </row>
    <row r="3388" spans="1:4" x14ac:dyDescent="0.2">
      <c r="A3388" s="5">
        <v>3327</v>
      </c>
      <c r="B3388" s="1832">
        <f>'Expenditures 15-22'!D217</f>
        <v>19259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20485</v>
      </c>
      <c r="C3390" s="2" t="s">
        <v>569</v>
      </c>
      <c r="D3390" s="2" t="str">
        <f t="shared" si="51"/>
        <v>Error?</v>
      </c>
    </row>
    <row r="3391" spans="1:4" x14ac:dyDescent="0.2">
      <c r="A3391" s="5">
        <v>3330</v>
      </c>
      <c r="B3391" s="1832">
        <f>'Expenditures 15-22'!K217</f>
        <v>19259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2516773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492385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146396</v>
      </c>
      <c r="D3417" s="2" t="str">
        <f t="shared" si="52"/>
        <v>Error?</v>
      </c>
    </row>
    <row r="3418" spans="1:4" x14ac:dyDescent="0.2">
      <c r="A3418" s="10">
        <v>3357</v>
      </c>
      <c r="B3418" s="1832"/>
      <c r="D3418" s="2" t="str">
        <f t="shared" si="52"/>
        <v>OK</v>
      </c>
    </row>
    <row r="3419" spans="1:4" x14ac:dyDescent="0.2">
      <c r="A3419" s="5">
        <v>3358</v>
      </c>
      <c r="B3419" s="1832">
        <f>'Assets-Liab 5-6'!F4</f>
        <v>1046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72553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2282388</v>
      </c>
      <c r="D3425" s="2" t="str">
        <f t="shared" si="52"/>
        <v>Error?</v>
      </c>
    </row>
    <row r="3426" spans="1:4" x14ac:dyDescent="0.2">
      <c r="A3426" s="10">
        <v>3365</v>
      </c>
      <c r="B3426" s="1832"/>
      <c r="D3426" s="2" t="str">
        <f t="shared" si="52"/>
        <v>OK</v>
      </c>
    </row>
    <row r="3427" spans="1:4" x14ac:dyDescent="0.2">
      <c r="A3427" s="5">
        <v>3366</v>
      </c>
      <c r="B3427" s="1832">
        <f>'Assets-Liab 5-6'!I4</f>
        <v>27577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5558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45463</v>
      </c>
      <c r="C3446" s="2" t="s">
        <v>569</v>
      </c>
      <c r="D3446" s="2" t="str">
        <f t="shared" si="52"/>
        <v>Error?</v>
      </c>
    </row>
    <row r="3447" spans="1:4" x14ac:dyDescent="0.2">
      <c r="A3447" s="5">
        <v>3386</v>
      </c>
      <c r="B3447" s="1832">
        <f>'Tax Sched 23'!D16</f>
        <v>20853</v>
      </c>
      <c r="C3447" s="2" t="s">
        <v>569</v>
      </c>
      <c r="D3447" s="2" t="str">
        <f t="shared" si="52"/>
        <v>Error?</v>
      </c>
    </row>
    <row r="3448" spans="1:4" x14ac:dyDescent="0.2">
      <c r="A3448" s="5">
        <v>3387</v>
      </c>
      <c r="B3448" s="1832">
        <f>'Tax Sched 23'!C16</f>
        <v>24610</v>
      </c>
      <c r="D3448" s="2" t="str">
        <f t="shared" si="52"/>
        <v>Error?</v>
      </c>
    </row>
    <row r="3449" spans="1:4" x14ac:dyDescent="0.2">
      <c r="A3449" s="5">
        <v>3388</v>
      </c>
      <c r="B3449" s="1832">
        <f>'Tax Sched 23'!F16</f>
        <v>22442</v>
      </c>
      <c r="C3449" s="2" t="s">
        <v>569</v>
      </c>
      <c r="D3449" s="2" t="str">
        <f t="shared" si="52"/>
        <v>Error?</v>
      </c>
    </row>
    <row r="3450" spans="1:4" x14ac:dyDescent="0.2">
      <c r="A3450" s="5">
        <v>3389</v>
      </c>
      <c r="B3450" s="1832">
        <f>'Tax Sched 23'!E16</f>
        <v>47052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501303</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501303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501303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48408</v>
      </c>
      <c r="C3725" s="2" t="s">
        <v>569</v>
      </c>
      <c r="D3725" s="2" t="str">
        <f t="shared" si="57"/>
        <v>Error?</v>
      </c>
    </row>
    <row r="3726" spans="1:4" x14ac:dyDescent="0.2">
      <c r="A3726" s="5">
        <v>3665</v>
      </c>
      <c r="B3726" s="1832">
        <f>'Tax Sched 23'!D13</f>
        <v>22579</v>
      </c>
      <c r="C3726" s="2" t="s">
        <v>569</v>
      </c>
      <c r="D3726" s="2" t="str">
        <f t="shared" si="57"/>
        <v>Error?</v>
      </c>
    </row>
    <row r="3727" spans="1:4" x14ac:dyDescent="0.2">
      <c r="A3727" s="5">
        <v>3666</v>
      </c>
      <c r="B3727" s="1832">
        <f>'Tax Sched 23'!C13</f>
        <v>25829</v>
      </c>
      <c r="D3727" s="2" t="str">
        <f t="shared" si="57"/>
        <v>Error?</v>
      </c>
    </row>
    <row r="3728" spans="1:4" x14ac:dyDescent="0.2">
      <c r="A3728" s="5">
        <v>3667</v>
      </c>
      <c r="B3728" s="1832">
        <f>'Tax Sched 23'!F13</f>
        <v>23554</v>
      </c>
      <c r="C3728" s="2" t="s">
        <v>569</v>
      </c>
      <c r="D3728" s="2" t="str">
        <f t="shared" si="57"/>
        <v>Error?</v>
      </c>
    </row>
    <row r="3729" spans="1:4" x14ac:dyDescent="0.2">
      <c r="A3729" s="5">
        <v>3668</v>
      </c>
      <c r="B3729" s="1832">
        <f>'Tax Sched 23'!E13</f>
        <v>49383</v>
      </c>
      <c r="D3729" s="2" t="str">
        <f t="shared" si="57"/>
        <v>Error?</v>
      </c>
    </row>
    <row r="3730" spans="1:4" x14ac:dyDescent="0.2">
      <c r="A3730" s="5">
        <v>3669</v>
      </c>
      <c r="B3730" s="1832">
        <f>'ICR Computation 30'!E10</f>
        <v>292997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1987241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7417587</v>
      </c>
      <c r="C4122" s="2" t="s">
        <v>569</v>
      </c>
      <c r="D4122" s="2" t="str">
        <f t="shared" si="63"/>
        <v>Error?</v>
      </c>
    </row>
    <row r="4123" spans="1:4" x14ac:dyDescent="0.2">
      <c r="A4123" s="5">
        <v>4062</v>
      </c>
      <c r="B4123" s="1832">
        <f>'Acct Summary 7-8'!D10</f>
        <v>428473</v>
      </c>
      <c r="C4123" s="2" t="s">
        <v>569</v>
      </c>
      <c r="D4123" s="2" t="str">
        <f t="shared" si="63"/>
        <v>Error?</v>
      </c>
    </row>
    <row r="4124" spans="1:4" x14ac:dyDescent="0.2">
      <c r="A4124" s="5">
        <v>4063</v>
      </c>
      <c r="B4124" s="1832">
        <f>'Acct Summary 7-8'!E10</f>
        <v>270395</v>
      </c>
      <c r="C4124" s="2" t="s">
        <v>569</v>
      </c>
      <c r="D4124" s="2" t="str">
        <f t="shared" si="63"/>
        <v>Error?</v>
      </c>
    </row>
    <row r="4125" spans="1:4" x14ac:dyDescent="0.2">
      <c r="A4125" s="5">
        <v>4064</v>
      </c>
      <c r="B4125" s="1832">
        <f>'Acct Summary 7-8'!F10</f>
        <v>531787</v>
      </c>
      <c r="C4125" s="2" t="s">
        <v>569</v>
      </c>
      <c r="D4125" s="2" t="str">
        <f t="shared" si="63"/>
        <v>Error?</v>
      </c>
    </row>
    <row r="4126" spans="1:4" x14ac:dyDescent="0.2">
      <c r="A4126" s="5">
        <v>4065</v>
      </c>
      <c r="B4126" s="1832">
        <f>'Acct Summary 7-8'!G10</f>
        <v>116720</v>
      </c>
      <c r="C4126" s="2" t="s">
        <v>569</v>
      </c>
      <c r="D4126" s="2" t="str">
        <f t="shared" si="63"/>
        <v>Error?</v>
      </c>
    </row>
    <row r="4127" spans="1:4" x14ac:dyDescent="0.2">
      <c r="A4127" s="5">
        <v>4066</v>
      </c>
      <c r="B4127" s="1832">
        <f>'Acct Summary 7-8'!H10</f>
        <v>279176</v>
      </c>
      <c r="C4127" s="2" t="s">
        <v>569</v>
      </c>
      <c r="D4127" s="2" t="str">
        <f t="shared" si="63"/>
        <v>Error?</v>
      </c>
    </row>
    <row r="4128" spans="1:4" x14ac:dyDescent="0.2">
      <c r="A4128" s="5">
        <v>4067</v>
      </c>
      <c r="B4128" s="1832">
        <f>'Acct Summary 7-8'!I10</f>
        <v>21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1987241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7112092</v>
      </c>
      <c r="C4136" s="2" t="s">
        <v>569</v>
      </c>
      <c r="D4136" s="2" t="str">
        <f t="shared" si="63"/>
        <v>Error?</v>
      </c>
    </row>
    <row r="4137" spans="1:4" x14ac:dyDescent="0.2">
      <c r="A4137" s="5">
        <v>4076</v>
      </c>
      <c r="B4137" s="1832">
        <f>'Acct Summary 7-8'!D19</f>
        <v>307311</v>
      </c>
      <c r="C4137" s="2" t="s">
        <v>569</v>
      </c>
      <c r="D4137" s="2" t="str">
        <f t="shared" si="63"/>
        <v>Error?</v>
      </c>
    </row>
    <row r="4138" spans="1:4" x14ac:dyDescent="0.2">
      <c r="A4138" s="5">
        <v>4077</v>
      </c>
      <c r="B4138" s="1832">
        <f>'Acct Summary 7-8'!E19</f>
        <v>391303</v>
      </c>
      <c r="C4138" s="2" t="s">
        <v>569</v>
      </c>
      <c r="D4138" s="2" t="str">
        <f t="shared" si="63"/>
        <v>Error?</v>
      </c>
    </row>
    <row r="4139" spans="1:4" x14ac:dyDescent="0.2">
      <c r="A4139" s="5">
        <v>4078</v>
      </c>
      <c r="B4139" s="1832">
        <f>'Acct Summary 7-8'!F19</f>
        <v>641197</v>
      </c>
      <c r="C4139" s="2" t="s">
        <v>569</v>
      </c>
      <c r="D4139" s="2" t="str">
        <f t="shared" si="63"/>
        <v>Error?</v>
      </c>
    </row>
    <row r="4140" spans="1:4" x14ac:dyDescent="0.2">
      <c r="A4140" s="5">
        <v>4079</v>
      </c>
      <c r="B4140" s="1832">
        <f>'Acct Summary 7-8'!G19</f>
        <v>131238</v>
      </c>
      <c r="C4140" s="2" t="s">
        <v>569</v>
      </c>
      <c r="D4140" s="2" t="str">
        <f t="shared" si="63"/>
        <v>Error?</v>
      </c>
    </row>
    <row r="4141" spans="1:4" x14ac:dyDescent="0.2">
      <c r="A4141" s="5">
        <v>4080</v>
      </c>
      <c r="B4141" s="1832">
        <f>'Acct Summary 7-8'!H19</f>
        <v>501303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3802000</v>
      </c>
      <c r="C4171" s="2" t="s">
        <v>569</v>
      </c>
      <c r="D4171" s="2" t="str">
        <f t="shared" si="64"/>
        <v>Error?</v>
      </c>
    </row>
    <row r="4172" spans="1:4" x14ac:dyDescent="0.2">
      <c r="A4172" s="5">
        <v>4111</v>
      </c>
      <c r="B4172" s="1832">
        <f>'Short-Term Long-Term Debt 24'!J49</f>
        <v>3655604</v>
      </c>
      <c r="C4172" s="2" t="s">
        <v>569</v>
      </c>
      <c r="D4172" s="2" t="str">
        <f t="shared" si="64"/>
        <v>Error?</v>
      </c>
    </row>
    <row r="4173" spans="1:4" x14ac:dyDescent="0.2">
      <c r="A4173" s="5">
        <v>4112</v>
      </c>
      <c r="B4173" s="1832">
        <f>'Short-Term Long-Term Debt 24'!H49</f>
        <v>130000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-2470000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1871.5</v>
      </c>
      <c r="C4265" s="2" t="s">
        <v>569</v>
      </c>
      <c r="D4265" s="2" t="str">
        <f t="shared" si="65"/>
        <v>Error?</v>
      </c>
      <c r="E4265" s="125"/>
    </row>
    <row r="4266" spans="1:5" x14ac:dyDescent="0.2">
      <c r="A4266" s="12">
        <v>4205</v>
      </c>
      <c r="B4266" s="1832">
        <f>('FP Info 3'!F10)*100000</f>
        <v>3610</v>
      </c>
      <c r="C4266" s="2" t="s">
        <v>569</v>
      </c>
      <c r="D4266" s="2" t="str">
        <f t="shared" si="65"/>
        <v>Error?</v>
      </c>
      <c r="E4266" s="125"/>
    </row>
    <row r="4267" spans="1:5" x14ac:dyDescent="0.2">
      <c r="A4267" s="12">
        <v>4206</v>
      </c>
      <c r="B4267" s="1832">
        <f>('FP Info 3'!H10)*100000</f>
        <v>1641</v>
      </c>
      <c r="C4267" s="2" t="s">
        <v>569</v>
      </c>
      <c r="D4267" s="2" t="str">
        <f t="shared" si="65"/>
        <v>Error?</v>
      </c>
      <c r="E4267" s="125"/>
    </row>
    <row r="4268" spans="1:5" x14ac:dyDescent="0.2">
      <c r="A4268" s="12">
        <v>4207</v>
      </c>
      <c r="B4268" s="1832">
        <f>('FP Info 3'!J10)*100000</f>
        <v>7123</v>
      </c>
      <c r="C4268" s="2" t="s">
        <v>569</v>
      </c>
      <c r="D4268" s="2" t="str">
        <f t="shared" si="65"/>
        <v>Error?</v>
      </c>
    </row>
    <row r="4269" spans="1:5" x14ac:dyDescent="0.2">
      <c r="A4269" s="12">
        <v>4208</v>
      </c>
      <c r="B4269" s="1832">
        <f>'FP Info 3'!J16</f>
        <v>3037781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14071</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38647</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6619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36349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9997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28194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222600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108039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75163790</v>
      </c>
      <c r="D4995" s="2" t="str">
        <f t="shared" si="77"/>
        <v>Error?</v>
      </c>
    </row>
    <row r="4996" spans="1:4" x14ac:dyDescent="0.2">
      <c r="A4996" s="12">
        <v>4935</v>
      </c>
      <c r="B4996" s="1832">
        <f>'FP Info 3'!H31</f>
        <v>5186301.5100000007</v>
      </c>
      <c r="D4996" s="2" t="str">
        <f t="shared" si="77"/>
        <v>Error?</v>
      </c>
    </row>
    <row r="4997" spans="1:4" x14ac:dyDescent="0.2">
      <c r="A4997" s="12">
        <v>4936</v>
      </c>
      <c r="B4997" s="1832">
        <f>'FP Info 3'!H37</f>
        <v>3802000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107000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107000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48408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1380150</v>
      </c>
      <c r="D5061" s="2" t="str">
        <f t="shared" si="78"/>
        <v>Error?</v>
      </c>
    </row>
    <row r="5062" spans="1:4" x14ac:dyDescent="0.2">
      <c r="A5062" s="10">
        <v>5001</v>
      </c>
      <c r="B5062" s="1832"/>
      <c r="D5062" s="2" t="str">
        <f t="shared" si="78"/>
        <v>OK</v>
      </c>
    </row>
    <row r="5063" spans="1:4" x14ac:dyDescent="0.2">
      <c r="A5063" s="5">
        <v>5002</v>
      </c>
      <c r="B5063" s="1832">
        <f>'Revenues 9-14'!C7</f>
        <v>193553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1622111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13264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13264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21173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21173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5058</v>
      </c>
      <c r="D5100" s="2" t="str">
        <f t="shared" si="78"/>
        <v>Error?</v>
      </c>
    </row>
    <row r="5101" spans="1:4" x14ac:dyDescent="0.2">
      <c r="A5101" s="5">
        <v>5040</v>
      </c>
      <c r="B5101" s="1832">
        <f>'Revenues 9-14'!C81</f>
        <v>990</v>
      </c>
      <c r="D5101" s="2" t="str">
        <f t="shared" si="78"/>
        <v>Error?</v>
      </c>
    </row>
    <row r="5102" spans="1:4" x14ac:dyDescent="0.2">
      <c r="A5102" s="5">
        <v>5041</v>
      </c>
      <c r="B5102" s="1832">
        <f>'Revenues 9-14'!C82</f>
        <v>6048</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19630</v>
      </c>
      <c r="D5111" s="2" t="str">
        <f t="shared" si="78"/>
        <v>Error?</v>
      </c>
    </row>
    <row r="5112" spans="1:4" x14ac:dyDescent="0.2">
      <c r="A5112" s="5">
        <v>5051</v>
      </c>
      <c r="B5112" s="1832">
        <f>'Revenues 9-14'!C93</f>
        <v>19630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4384</v>
      </c>
      <c r="D5119" s="2" t="str">
        <f t="shared" ref="D5119:D5182" si="79">IF(ISBLANK(B5119),"OK",IF(A5119-B5119=0,"OK","Error?"))</f>
        <v>Error?</v>
      </c>
    </row>
    <row r="5120" spans="1:4" x14ac:dyDescent="0.2">
      <c r="A5120" s="5">
        <v>5059</v>
      </c>
      <c r="B5120" s="1832">
        <f>'Revenues 9-14'!C108</f>
        <v>4384</v>
      </c>
      <c r="C5120" s="2" t="s">
        <v>569</v>
      </c>
      <c r="D5120" s="2" t="str">
        <f t="shared" si="79"/>
        <v>Error?</v>
      </c>
    </row>
    <row r="5121" spans="1:4" x14ac:dyDescent="0.2">
      <c r="A5121" s="5">
        <v>5060</v>
      </c>
      <c r="B5121" s="1832">
        <f>'Revenues 9-14'!C109</f>
        <v>1686610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2887108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2887108</v>
      </c>
      <c r="C5132" s="2" t="s">
        <v>569</v>
      </c>
      <c r="D5132" s="2" t="str">
        <f t="shared" si="79"/>
        <v>Error?</v>
      </c>
    </row>
    <row r="5133" spans="1:4" x14ac:dyDescent="0.2">
      <c r="A5133" s="5">
        <v>5072</v>
      </c>
      <c r="B5133" s="1832">
        <f>'Revenues 9-14'!C125</f>
        <v>128853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128853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4921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134524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3021632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157017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98311</v>
      </c>
      <c r="D5241" s="2" t="str">
        <f t="shared" si="80"/>
        <v>Error?</v>
      </c>
    </row>
    <row r="5242" spans="1:4" x14ac:dyDescent="0.2">
      <c r="A5242" s="5">
        <v>5181</v>
      </c>
      <c r="B5242" s="1832">
        <f>'Revenues 9-14'!C194</f>
        <v>72366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327694</v>
      </c>
      <c r="C5246" s="2" t="s">
        <v>569</v>
      </c>
      <c r="D5246" s="2" t="str">
        <f t="shared" si="80"/>
        <v>Error?</v>
      </c>
    </row>
    <row r="5247" spans="1:4" x14ac:dyDescent="0.2">
      <c r="A5247" s="5">
        <v>5186</v>
      </c>
      <c r="B5247" s="1832">
        <f>'Revenues 9-14'!C200</f>
        <v>123793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9997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123793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78345</v>
      </c>
      <c r="D5278" s="2" t="str">
        <f t="shared" si="81"/>
        <v>Error?</v>
      </c>
    </row>
    <row r="5279" spans="1:4" x14ac:dyDescent="0.2">
      <c r="A5279" s="5">
        <v>5218</v>
      </c>
      <c r="B5279" s="1832">
        <f>'Revenues 9-14'!C214</f>
        <v>3074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81419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722104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722104</v>
      </c>
      <c r="C5326" s="2" t="s">
        <v>569</v>
      </c>
      <c r="D5326" s="2" t="str">
        <f t="shared" si="82"/>
        <v>Error?</v>
      </c>
    </row>
    <row r="5327" spans="1:5" x14ac:dyDescent="0.2">
      <c r="A5327" s="5">
        <v>5266</v>
      </c>
      <c r="B5327" s="1832">
        <f>'Revenues 9-14'!C268</f>
        <v>5430346</v>
      </c>
      <c r="C5327" s="2" t="s">
        <v>569</v>
      </c>
      <c r="D5327" s="2" t="str">
        <f t="shared" si="82"/>
        <v>Error?</v>
      </c>
    </row>
    <row r="5328" spans="1:5" x14ac:dyDescent="0.2">
      <c r="A5328" s="5">
        <v>5267</v>
      </c>
      <c r="B5328" s="1832">
        <f>'Revenues 9-14'!D5</f>
        <v>266106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266106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21651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21651</v>
      </c>
      <c r="C5339" s="2" t="s">
        <v>569</v>
      </c>
      <c r="D5339" s="2" t="str">
        <f t="shared" si="82"/>
        <v>Error?</v>
      </c>
    </row>
    <row r="5340" spans="1:4" x14ac:dyDescent="0.2">
      <c r="A5340" s="5">
        <v>5279</v>
      </c>
      <c r="B5340" s="1832">
        <f>'Revenues 9-14'!D65</f>
        <v>8194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8194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82522</v>
      </c>
      <c r="D5354" s="2" t="str">
        <f t="shared" si="82"/>
        <v>Error?</v>
      </c>
    </row>
    <row r="5355" spans="1:4" x14ac:dyDescent="0.2">
      <c r="A5355" s="5">
        <v>5294</v>
      </c>
      <c r="B5355" s="1832">
        <f>'Revenues 9-14'!D108</f>
        <v>82522</v>
      </c>
      <c r="C5355" s="2" t="s">
        <v>569</v>
      </c>
      <c r="D5355" s="2" t="str">
        <f t="shared" si="82"/>
        <v>Error?</v>
      </c>
    </row>
    <row r="5356" spans="1:4" x14ac:dyDescent="0.2">
      <c r="A5356" s="5">
        <v>5295</v>
      </c>
      <c r="B5356" s="1832">
        <f>'Revenues 9-14'!D109</f>
        <v>378473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428473</v>
      </c>
      <c r="C5508" s="2" t="s">
        <v>569</v>
      </c>
      <c r="D5508" s="2" t="str">
        <f t="shared" si="85"/>
        <v>Error?</v>
      </c>
    </row>
    <row r="5509" spans="1:4" x14ac:dyDescent="0.2">
      <c r="A5509" s="5">
        <v>5448</v>
      </c>
      <c r="B5509" s="1832">
        <f>'Revenues 9-14'!E5</f>
        <v>266990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266990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3405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3405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270395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270395</v>
      </c>
      <c r="C5552" s="2" t="s">
        <v>569</v>
      </c>
      <c r="D5552" s="2" t="str">
        <f t="shared" si="85"/>
        <v>Error?</v>
      </c>
    </row>
    <row r="5553" spans="1:4" x14ac:dyDescent="0.2">
      <c r="A5553" s="5">
        <v>5492</v>
      </c>
      <c r="B5553" s="1832">
        <f>'Revenues 9-14'!F5</f>
        <v>120961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120961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8942</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8942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130020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135682</v>
      </c>
      <c r="D5615" s="2" t="str">
        <f t="shared" si="86"/>
        <v>Error?</v>
      </c>
    </row>
    <row r="5616" spans="1:4" x14ac:dyDescent="0.2">
      <c r="A5616" s="10">
        <v>5555</v>
      </c>
      <c r="B5616" s="1832"/>
      <c r="D5616" s="2" t="str">
        <f t="shared" si="86"/>
        <v>OK</v>
      </c>
    </row>
    <row r="5617" spans="1:5" x14ac:dyDescent="0.2">
      <c r="A5617" s="5">
        <v>5556</v>
      </c>
      <c r="B5617" s="1832">
        <f>'Revenues 9-14'!F153</f>
        <v>266085</v>
      </c>
      <c r="D5617" s="2" t="str">
        <f t="shared" si="86"/>
        <v>Error?</v>
      </c>
    </row>
    <row r="5618" spans="1:5" x14ac:dyDescent="0.2">
      <c r="A5618" s="5">
        <v>5557</v>
      </c>
      <c r="B5618" s="1832">
        <f>'Revenues 9-14'!F155</f>
        <v>401767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401767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401767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531787</v>
      </c>
      <c r="C5720" s="2" t="s">
        <v>569</v>
      </c>
      <c r="D5720" s="2" t="str">
        <f t="shared" si="88"/>
        <v>Error?</v>
      </c>
    </row>
    <row r="5721" spans="1:4" x14ac:dyDescent="0.2">
      <c r="A5721" s="5">
        <v>5660</v>
      </c>
      <c r="B5721" s="1832">
        <f>'Revenues 9-14'!G5</f>
        <v>46931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45463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92394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21651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21651</v>
      </c>
      <c r="C5730" s="2" t="s">
        <v>569</v>
      </c>
      <c r="D5730" s="2" t="str">
        <f t="shared" si="88"/>
        <v>Error?</v>
      </c>
    </row>
    <row r="5731" spans="1:4" x14ac:dyDescent="0.2">
      <c r="A5731" s="5">
        <v>5670</v>
      </c>
      <c r="B5731" s="1832">
        <f>'Revenues 9-14'!G65</f>
        <v>2675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2675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116720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56576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56576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222600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222600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279176</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116720</v>
      </c>
      <c r="C6024" s="2" t="s">
        <v>569</v>
      </c>
      <c r="D6024" s="2" t="str">
        <f t="shared" si="93"/>
        <v>Error?</v>
      </c>
    </row>
    <row r="6025" spans="1:5" x14ac:dyDescent="0.2">
      <c r="A6025" s="5">
        <v>5964</v>
      </c>
      <c r="B6025" s="1832">
        <f>'Revenues 9-14'!H109</f>
        <v>56576</v>
      </c>
      <c r="C6025" s="2" t="s">
        <v>569</v>
      </c>
      <c r="D6025" s="2" t="str">
        <f t="shared" si="93"/>
        <v>Error?</v>
      </c>
    </row>
    <row r="6026" spans="1:5" x14ac:dyDescent="0.2">
      <c r="A6026" s="5">
        <v>5965</v>
      </c>
      <c r="B6026" s="1832">
        <f>'Revenues 9-14'!I109</f>
        <v>21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19457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371.1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197495</v>
      </c>
      <c r="D6267" s="2" t="str">
        <f t="shared" si="96"/>
        <v>Error?</v>
      </c>
      <c r="E6267" s="2" t="s">
        <v>189</v>
      </c>
    </row>
    <row r="6268" spans="1:5" x14ac:dyDescent="0.2">
      <c r="A6268">
        <v>6207</v>
      </c>
      <c r="B6268" s="1832">
        <f>'Acct Summary 7-8'!D82</f>
        <v>121162</v>
      </c>
      <c r="D6268" s="2" t="str">
        <f t="shared" si="96"/>
        <v>Error?</v>
      </c>
      <c r="E6268" s="2" t="s">
        <v>189</v>
      </c>
    </row>
    <row r="6269" spans="1:5" x14ac:dyDescent="0.2">
      <c r="A6269">
        <v>6208</v>
      </c>
      <c r="B6269" s="1832">
        <f>'Acct Summary 7-8'!E82</f>
        <v>7106</v>
      </c>
      <c r="D6269" s="2" t="str">
        <f t="shared" si="96"/>
        <v>Error?</v>
      </c>
      <c r="E6269" s="2" t="s">
        <v>189</v>
      </c>
    </row>
    <row r="6270" spans="1:5" x14ac:dyDescent="0.2">
      <c r="A6270">
        <v>6209</v>
      </c>
      <c r="B6270" s="1832">
        <f>'Acct Summary 7-8'!F82</f>
        <v>-2410</v>
      </c>
      <c r="D6270" s="2" t="str">
        <f t="shared" si="96"/>
        <v>Error?</v>
      </c>
      <c r="E6270" s="2" t="s">
        <v>189</v>
      </c>
    </row>
    <row r="6271" spans="1:5" x14ac:dyDescent="0.2">
      <c r="A6271">
        <v>6210</v>
      </c>
      <c r="B6271" s="1832">
        <f>'Acct Summary 7-8'!G82</f>
        <v>-14518</v>
      </c>
      <c r="D6271" s="2" t="str">
        <f t="shared" ref="D6271:D6334" si="97">IF(ISBLANK(B6271),"OK",IF(A6271-B6271=0,"OK","Error?"))</f>
        <v>Error?</v>
      </c>
      <c r="E6271" s="2" t="s">
        <v>189</v>
      </c>
    </row>
    <row r="6272" spans="1:5" x14ac:dyDescent="0.2">
      <c r="A6272">
        <v>6211</v>
      </c>
      <c r="B6272" s="1832">
        <f>'Acct Summary 7-8'!H82</f>
        <v>181782</v>
      </c>
      <c r="D6272" s="2" t="str">
        <f t="shared" si="97"/>
        <v>Error?</v>
      </c>
      <c r="E6272" s="2" t="s">
        <v>189</v>
      </c>
    </row>
    <row r="6273" spans="1:5" x14ac:dyDescent="0.2">
      <c r="A6273">
        <v>6212</v>
      </c>
      <c r="B6273" s="1832">
        <f>'Acct Summary 7-8'!I82</f>
        <v>-5183</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7.8471518885493446E-2</v>
      </c>
      <c r="D6276" s="2" t="str">
        <f t="shared" si="97"/>
        <v>Error?</v>
      </c>
      <c r="E6276" s="2" t="s">
        <v>189</v>
      </c>
    </row>
    <row r="6277" spans="1:5" x14ac:dyDescent="0.2">
      <c r="A6277">
        <v>6216</v>
      </c>
      <c r="B6277" s="1832">
        <f>'Acct Summary 7-8'!D83</f>
        <v>0.24607167155782569</v>
      </c>
      <c r="D6277" s="2" t="str">
        <f t="shared" si="97"/>
        <v>Error?</v>
      </c>
      <c r="E6277" s="2" t="s">
        <v>189</v>
      </c>
    </row>
    <row r="6278" spans="1:5" x14ac:dyDescent="0.2">
      <c r="A6278">
        <v>6217</v>
      </c>
      <c r="B6278" s="1832">
        <f>'Acct Summary 7-8'!E83</f>
        <v>4.8539577584086994E-2</v>
      </c>
      <c r="D6278" s="2" t="str">
        <f t="shared" si="97"/>
        <v>Error?</v>
      </c>
      <c r="E6278" s="2" t="s">
        <v>189</v>
      </c>
    </row>
    <row r="6279" spans="1:5" x14ac:dyDescent="0.2">
      <c r="A6279">
        <v>6218</v>
      </c>
      <c r="B6279" s="1832">
        <f>'Acct Summary 7-8'!F83</f>
        <v>-2.3040152963671128</v>
      </c>
      <c r="D6279" s="2" t="str">
        <f t="shared" si="97"/>
        <v>Error?</v>
      </c>
      <c r="E6279" s="2" t="s">
        <v>189</v>
      </c>
    </row>
    <row r="6280" spans="1:5" x14ac:dyDescent="0.2">
      <c r="A6280">
        <v>6219</v>
      </c>
      <c r="B6280" s="1832">
        <f>'Acct Summary 7-8'!G83</f>
        <v>-0.20010199440409079</v>
      </c>
      <c r="D6280" s="2" t="str">
        <f t="shared" si="97"/>
        <v>Error?</v>
      </c>
      <c r="E6280" s="2" t="s">
        <v>189</v>
      </c>
    </row>
    <row r="6281" spans="1:5" x14ac:dyDescent="0.2">
      <c r="A6281">
        <v>6220</v>
      </c>
      <c r="B6281" s="1832">
        <f>'Acct Summary 7-8'!H83</f>
        <v>7.9645529156304712E-2</v>
      </c>
      <c r="D6281" s="2" t="str">
        <f t="shared" si="97"/>
        <v>Error?</v>
      </c>
      <c r="E6281" s="2" t="s">
        <v>189</v>
      </c>
    </row>
    <row r="6282" spans="1:5" x14ac:dyDescent="0.2">
      <c r="A6282">
        <v>6221</v>
      </c>
      <c r="B6282" s="1832">
        <f>'Acct Summary 7-8'!I83</f>
        <v>-0.18794647713674439</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260200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193553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402909</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6622000</v>
      </c>
      <c r="D7817" s="2" t="str">
        <f t="shared" si="128"/>
        <v>Error?</v>
      </c>
      <c r="E7817" s="4" t="s">
        <v>1969</v>
      </c>
    </row>
    <row r="7818" spans="1:5" x14ac:dyDescent="0.2">
      <c r="A7818">
        <v>7757</v>
      </c>
      <c r="B7818" s="1832">
        <f>'PCTC-OEPP 27-28'!F172</f>
        <v>202205</v>
      </c>
      <c r="D7818" s="2" t="str">
        <f t="shared" si="128"/>
        <v>Error?</v>
      </c>
      <c r="E7818" s="4" t="s">
        <v>1983</v>
      </c>
    </row>
    <row r="7819" spans="1:5" x14ac:dyDescent="0.2">
      <c r="A7819">
        <v>7758</v>
      </c>
      <c r="B7819" s="1832">
        <f>'PCTC-OEPP 27-28'!F173</f>
        <v>16698</v>
      </c>
      <c r="D7819" s="2" t="str">
        <f t="shared" si="128"/>
        <v>Error?</v>
      </c>
      <c r="E7819" s="4" t="s">
        <v>1983</v>
      </c>
    </row>
    <row r="7820" spans="1:5" x14ac:dyDescent="0.2">
      <c r="A7820">
        <v>7759</v>
      </c>
      <c r="B7820" s="1832">
        <f>'ICR Computation 30'!E40</f>
        <v>-439092</v>
      </c>
      <c r="D7820" s="2" t="str">
        <f t="shared" si="128"/>
        <v>Error?</v>
      </c>
    </row>
    <row r="7821" spans="1:5" x14ac:dyDescent="0.2">
      <c r="A7821">
        <v>7760</v>
      </c>
      <c r="B7821" s="1832">
        <f>'ICR Computation 30'!G40</f>
        <v>-439092</v>
      </c>
      <c r="D7821" s="2" t="str">
        <f t="shared" si="128"/>
        <v>Error?</v>
      </c>
    </row>
    <row r="7822" spans="1:5" x14ac:dyDescent="0.2">
      <c r="A7822" s="1">
        <v>7761</v>
      </c>
      <c r="B7822" s="1832">
        <f>'PCTC-OEPP 27-28'!F14</f>
        <v>6595900</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2214</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518552</v>
      </c>
      <c r="D7834" s="2" t="str">
        <f t="shared" si="129"/>
        <v>Error?</v>
      </c>
      <c r="E7834" s="4" t="s">
        <v>2001</v>
      </c>
    </row>
    <row r="7835" spans="1:5" x14ac:dyDescent="0.2">
      <c r="A7835">
        <v>7774</v>
      </c>
      <c r="B7835" s="1832">
        <f>'PCTC-OEPP 27-28'!F78</f>
        <v>6077348</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16376.577741848558</v>
      </c>
      <c r="D7837" s="2" t="str">
        <f t="shared" si="129"/>
        <v>Error?</v>
      </c>
      <c r="E7837" s="4" t="s">
        <v>2001</v>
      </c>
    </row>
    <row r="7838" spans="1:5" x14ac:dyDescent="0.2">
      <c r="A7838">
        <v>7777</v>
      </c>
      <c r="B7838" s="1832">
        <f>'PCTC-OEPP 27-28'!F96</f>
        <v>6048</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128853</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401767</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750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327694</v>
      </c>
      <c r="D7858" s="2" t="str">
        <f t="shared" si="129"/>
        <v>Error?</v>
      </c>
      <c r="E7858" s="4" t="s">
        <v>2001</v>
      </c>
    </row>
    <row r="7859" spans="1:5" x14ac:dyDescent="0.2">
      <c r="A7859">
        <v>7798</v>
      </c>
      <c r="B7859" s="1832">
        <f>'PCTC-OEPP 27-28'!F127</f>
        <v>123793</v>
      </c>
      <c r="D7859" s="2" t="str">
        <f t="shared" si="129"/>
        <v>Error?</v>
      </c>
      <c r="E7859" s="4" t="s">
        <v>2001</v>
      </c>
    </row>
    <row r="7860" spans="1:5" x14ac:dyDescent="0.2">
      <c r="A7860">
        <v>7799</v>
      </c>
      <c r="B7860" s="1832">
        <f>'PCTC-OEPP 27-28'!F128</f>
        <v>9997</v>
      </c>
      <c r="D7860" s="2" t="str">
        <f t="shared" si="129"/>
        <v>Error?</v>
      </c>
      <c r="E7860" s="4" t="s">
        <v>2001</v>
      </c>
    </row>
    <row r="7861" spans="1:5" x14ac:dyDescent="0.2">
      <c r="A7861">
        <v>7800</v>
      </c>
      <c r="B7861" s="1832">
        <f>'PCTC-OEPP 27-28'!F129</f>
        <v>78345</v>
      </c>
      <c r="D7861" s="2" t="str">
        <f t="shared" si="129"/>
        <v>Error?</v>
      </c>
      <c r="E7861" s="4" t="s">
        <v>2001</v>
      </c>
    </row>
    <row r="7862" spans="1:5" x14ac:dyDescent="0.2">
      <c r="A7862">
        <v>7801</v>
      </c>
      <c r="B7862" s="1832">
        <f>'PCTC-OEPP 27-28'!F130</f>
        <v>3074</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28194</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6619</v>
      </c>
      <c r="D7874" s="2" t="str">
        <f t="shared" si="129"/>
        <v>Error?</v>
      </c>
      <c r="E7874" s="4" t="s">
        <v>2001</v>
      </c>
    </row>
    <row r="7875" spans="1:5" x14ac:dyDescent="0.2">
      <c r="A7875">
        <v>7814</v>
      </c>
      <c r="B7875" s="1832">
        <f>'PCTC-OEPP 27-28'!F170</f>
        <v>36349</v>
      </c>
      <c r="D7875" s="2" t="str">
        <f t="shared" si="129"/>
        <v>Error?</v>
      </c>
      <c r="E7875" s="4" t="s">
        <v>2001</v>
      </c>
    </row>
    <row r="7876" spans="1:5" x14ac:dyDescent="0.2">
      <c r="A7876">
        <v>7815</v>
      </c>
      <c r="B7876" s="1832">
        <f>'PCTC-OEPP 27-28'!F171</f>
        <v>108039</v>
      </c>
      <c r="D7876" s="2" t="str">
        <f t="shared" si="129"/>
        <v>Error?</v>
      </c>
      <c r="E7876" s="4" t="s">
        <v>2001</v>
      </c>
    </row>
    <row r="7877" spans="1:5" x14ac:dyDescent="0.2">
      <c r="A7877">
        <v>7816</v>
      </c>
      <c r="B7877" s="1832">
        <f>'PCTC-OEPP 27-28'!F175</f>
        <v>1552976</v>
      </c>
      <c r="D7877" s="2" t="str">
        <f t="shared" si="129"/>
        <v>Error?</v>
      </c>
      <c r="E7877" s="4" t="s">
        <v>2001</v>
      </c>
    </row>
    <row r="7878" spans="1:5" x14ac:dyDescent="0.2">
      <c r="A7878">
        <v>7817</v>
      </c>
      <c r="B7878" s="1832">
        <f>'PCTC-OEPP 27-28'!F176</f>
        <v>4524372</v>
      </c>
      <c r="D7878" s="2" t="str">
        <f t="shared" si="129"/>
        <v>Error?</v>
      </c>
      <c r="E7878" s="4" t="s">
        <v>2001</v>
      </c>
    </row>
    <row r="7879" spans="1:5" x14ac:dyDescent="0.2">
      <c r="A7879">
        <v>7818</v>
      </c>
      <c r="B7879" s="1832">
        <f>'PCTC-OEPP 27-28'!F178</f>
        <v>4784572</v>
      </c>
      <c r="D7879" s="2" t="str">
        <f t="shared" si="129"/>
        <v>Error?</v>
      </c>
      <c r="E7879" s="4" t="s">
        <v>2001</v>
      </c>
    </row>
    <row r="7880" spans="1:5" x14ac:dyDescent="0.2">
      <c r="A7880">
        <v>7819</v>
      </c>
      <c r="B7880" s="1832">
        <f>'PCTC-OEPP 27-28'!F180</f>
        <v>12892.945297763405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topLeftCell="A7" zoomScale="6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1183</v>
      </c>
      <c r="B2" s="2537"/>
      <c r="C2" s="2537"/>
      <c r="D2" s="2537"/>
      <c r="E2" s="2537"/>
      <c r="F2" s="2537"/>
      <c r="G2" s="2537"/>
      <c r="H2" s="2537"/>
      <c r="I2" s="2537"/>
      <c r="J2" s="2537"/>
      <c r="K2" s="2537"/>
      <c r="L2" s="2537"/>
    </row>
    <row r="3" spans="1:29" ht="13.5" customHeight="1" x14ac:dyDescent="0.2">
      <c r="A3" s="2523" t="s">
        <v>1182</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7" t="str">
        <f>COVER!A17</f>
        <v xml:space="preserve"> Chaney-Monge SD 88</v>
      </c>
      <c r="B7" s="2518"/>
      <c r="C7" s="2518"/>
      <c r="D7" s="2556"/>
      <c r="E7" s="2557">
        <f>COVER!A13</f>
        <v>56099088002</v>
      </c>
      <c r="F7" s="2558"/>
      <c r="G7" s="2524" t="str">
        <f>COVER!T23</f>
        <v>066-003328</v>
      </c>
      <c r="H7" s="2525"/>
      <c r="I7" s="2525"/>
      <c r="J7" s="2525"/>
      <c r="K7" s="2525"/>
      <c r="L7" s="2526"/>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7"/>
      <c r="B9" s="2528"/>
      <c r="C9" s="2528"/>
      <c r="D9" s="2528"/>
      <c r="E9" s="2528"/>
      <c r="F9" s="2529"/>
      <c r="G9" s="2530" t="str">
        <f>COVER!T13</f>
        <v>MUELLER &amp; CO., LLP</v>
      </c>
      <c r="H9" s="2531"/>
      <c r="I9" s="2531"/>
      <c r="J9" s="2531"/>
      <c r="K9" s="2531"/>
      <c r="L9" s="2532"/>
    </row>
    <row r="10" spans="1:29" ht="13.5" customHeight="1" x14ac:dyDescent="0.2">
      <c r="A10" s="2514" t="str">
        <f>COVER!A38</f>
        <v>ANDY SIEGFRIED</v>
      </c>
      <c r="B10" s="2515"/>
      <c r="C10" s="2515"/>
      <c r="D10" s="2515"/>
      <c r="E10" s="2515"/>
      <c r="F10" s="2516"/>
      <c r="G10" s="2530" t="str">
        <f>COVER!T17</f>
        <v>14300 RAVINIA AVE</v>
      </c>
      <c r="H10" s="2543"/>
      <c r="I10" s="2543"/>
      <c r="J10" s="2543"/>
      <c r="K10" s="2543"/>
      <c r="L10" s="2544"/>
    </row>
    <row r="11" spans="1:29" ht="13.5" customHeight="1" x14ac:dyDescent="0.2">
      <c r="A11" s="963" t="s">
        <v>1505</v>
      </c>
      <c r="B11" s="964"/>
      <c r="C11" s="965"/>
      <c r="D11" s="970"/>
      <c r="E11" s="965"/>
      <c r="F11" s="969"/>
      <c r="G11" s="2530" t="str">
        <f>COVER!T19</f>
        <v>ORLAND PARK</v>
      </c>
      <c r="H11" s="2543"/>
      <c r="I11" s="2543"/>
      <c r="J11" s="2543"/>
      <c r="K11" s="2543"/>
      <c r="L11" s="2544"/>
    </row>
    <row r="12" spans="1:29" ht="13.5" customHeight="1" x14ac:dyDescent="0.2">
      <c r="A12" s="2548" t="s">
        <v>1504</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1506</v>
      </c>
      <c r="H13" s="2539"/>
      <c r="I13" s="2551" t="str">
        <f>COVER!T25</f>
        <v>emccormick@muellercpa.com</v>
      </c>
      <c r="J13" s="2552"/>
      <c r="K13" s="2552"/>
      <c r="L13" s="2553"/>
    </row>
    <row r="14" spans="1:29" ht="13.5" customHeight="1" x14ac:dyDescent="0.2">
      <c r="A14" s="2530" t="str">
        <f>COVER!A19</f>
        <v>400 ELISE AVENUE</v>
      </c>
      <c r="B14" s="2543"/>
      <c r="C14" s="2543"/>
      <c r="D14" s="2543"/>
      <c r="E14" s="2543"/>
      <c r="F14" s="2544"/>
      <c r="G14" s="974" t="s">
        <v>1177</v>
      </c>
      <c r="H14" s="972"/>
      <c r="I14" s="972"/>
      <c r="J14" s="972"/>
      <c r="K14" s="972"/>
      <c r="L14" s="973"/>
    </row>
    <row r="15" spans="1:29" ht="13.5" customHeight="1" x14ac:dyDescent="0.2">
      <c r="A15" s="2530" t="str">
        <f>COVER!A21</f>
        <v>CREST HILL</v>
      </c>
      <c r="B15" s="2543"/>
      <c r="C15" s="2543"/>
      <c r="D15" s="2543"/>
      <c r="E15" s="2543"/>
      <c r="F15" s="2544"/>
      <c r="G15" s="2540" t="str">
        <f>COVER!T15</f>
        <v>KEVIN BISSELL</v>
      </c>
      <c r="H15" s="2541"/>
      <c r="I15" s="2541"/>
      <c r="J15" s="2541"/>
      <c r="K15" s="2541"/>
      <c r="L15" s="2542"/>
    </row>
    <row r="16" spans="1:29" ht="12.2" customHeight="1" x14ac:dyDescent="0.2">
      <c r="A16" s="2520">
        <f>COVER!A25</f>
        <v>60453</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1176</v>
      </c>
      <c r="H17" s="972"/>
      <c r="I17" s="972"/>
      <c r="J17" s="972"/>
      <c r="K17" s="976" t="s">
        <v>1175</v>
      </c>
      <c r="L17" s="969"/>
      <c r="M17" s="962"/>
    </row>
    <row r="18" spans="1:13" ht="12.2" customHeight="1" x14ac:dyDescent="0.2">
      <c r="A18" s="2514"/>
      <c r="B18" s="2515"/>
      <c r="C18" s="2515"/>
      <c r="D18" s="2515"/>
      <c r="E18" s="2515"/>
      <c r="F18" s="2516"/>
      <c r="G18" s="2517" t="str">
        <f>COVER!T21</f>
        <v>708-349-6999</v>
      </c>
      <c r="H18" s="2518"/>
      <c r="I18" s="2518"/>
      <c r="J18" s="2518"/>
      <c r="K18" s="2517" t="str">
        <f>COVER!X21</f>
        <v>708-349-6639</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1"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Chaney-Monge SD 88</v>
      </c>
      <c r="B1" s="2560"/>
      <c r="C1" s="2560"/>
      <c r="D1" s="2560"/>
    </row>
    <row r="2" spans="1:11" s="991" customFormat="1" ht="12.75" x14ac:dyDescent="0.2">
      <c r="A2" s="2561">
        <f>'Single Audit Cover'!E7</f>
        <v>56099088002</v>
      </c>
      <c r="B2" s="2562"/>
      <c r="C2" s="2562"/>
      <c r="D2" s="2562"/>
    </row>
    <row r="3" spans="1:11" s="991" customFormat="1" ht="12.75" x14ac:dyDescent="0.2">
      <c r="A3" s="2559" t="s">
        <v>1499</v>
      </c>
      <c r="B3" s="2560"/>
      <c r="C3" s="2560"/>
      <c r="D3" s="2560"/>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Chaney-Monge SD 88</v>
      </c>
      <c r="B1" s="2564"/>
      <c r="C1" s="2564"/>
      <c r="D1" s="2564"/>
      <c r="E1" s="2564"/>
    </row>
    <row r="2" spans="1:5" x14ac:dyDescent="0.2">
      <c r="A2" s="2565">
        <f>'Single Audit Cover'!E7</f>
        <v>56099088002</v>
      </c>
      <c r="B2" s="2565"/>
      <c r="C2" s="2565"/>
      <c r="D2" s="2565"/>
      <c r="E2" s="2565"/>
    </row>
    <row r="3" spans="1:5" ht="4.5" customHeight="1" x14ac:dyDescent="0.2"/>
    <row r="4" spans="1:5" x14ac:dyDescent="0.2">
      <c r="A4" s="2564" t="s">
        <v>1236</v>
      </c>
      <c r="B4" s="2564"/>
      <c r="C4" s="2564"/>
      <c r="D4" s="2564"/>
      <c r="E4" s="2564"/>
    </row>
    <row r="5" spans="1:5" x14ac:dyDescent="0.2">
      <c r="A5" s="2567" t="str">
        <f>'Single Audit Cover'!A4</f>
        <v>Year Ending June 30, 2020</v>
      </c>
      <c r="B5" s="2567"/>
      <c r="C5" s="2567"/>
      <c r="D5" s="2567"/>
      <c r="E5" s="2567"/>
    </row>
    <row r="6" spans="1:5" x14ac:dyDescent="0.2">
      <c r="A6" s="2564" t="s">
        <v>1235</v>
      </c>
      <c r="B6" s="2564"/>
      <c r="C6" s="2564"/>
      <c r="D6" s="2564"/>
      <c r="E6" s="2564"/>
    </row>
    <row r="8" spans="1:5" x14ac:dyDescent="0.2">
      <c r="A8" s="1036" t="s">
        <v>1234</v>
      </c>
    </row>
    <row r="10" spans="1:5" x14ac:dyDescent="0.2">
      <c r="A10" s="1037" t="s">
        <v>1233</v>
      </c>
      <c r="B10" s="1038" t="s">
        <v>1232</v>
      </c>
      <c r="C10" s="1038"/>
      <c r="D10" s="1039">
        <f>SUM('Acct Summary 7-8'!C7:K7)</f>
        <v>722104</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19457</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-36349</v>
      </c>
    </row>
    <row r="19" spans="1:4" ht="13.5" thickBot="1" x14ac:dyDescent="0.25">
      <c r="A19" s="1041" t="s">
        <v>1226</v>
      </c>
      <c r="D19" s="1042">
        <f>SUM(D10:D17)</f>
        <v>705212</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1224</v>
      </c>
      <c r="D32" s="1039">
        <f>SUM(D19:D30)</f>
        <v>705212</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1218</v>
      </c>
      <c r="C47" s="1048"/>
      <c r="D47" s="1049">
        <f>SUM(D35:D45)</f>
        <v>0</v>
      </c>
    </row>
    <row r="49" spans="2:4" x14ac:dyDescent="0.2">
      <c r="B49" s="1048" t="s">
        <v>1217</v>
      </c>
      <c r="C49" s="1048"/>
      <c r="D49" s="1049">
        <f>D32-D47</f>
        <v>705212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Chaney-Monge SD 88</v>
      </c>
      <c r="C1" s="2568"/>
      <c r="D1" s="2568"/>
      <c r="E1" s="2568"/>
      <c r="F1" s="2568"/>
      <c r="G1" s="2568"/>
      <c r="H1" s="2568"/>
      <c r="I1" s="2568"/>
      <c r="J1" s="2568"/>
      <c r="K1" s="2568"/>
      <c r="L1" s="2568"/>
      <c r="M1" s="2568"/>
    </row>
    <row r="2" spans="2:14" ht="15" x14ac:dyDescent="0.2">
      <c r="B2" s="2569">
        <f>'Single Audit Cover'!E7</f>
        <v>56099088002</v>
      </c>
      <c r="C2" s="2569"/>
      <c r="D2" s="2569"/>
      <c r="E2" s="2569"/>
      <c r="F2" s="2569"/>
      <c r="G2" s="2569"/>
      <c r="H2" s="2569"/>
      <c r="I2" s="2569"/>
      <c r="J2" s="2569"/>
      <c r="K2" s="2569"/>
      <c r="L2" s="2569"/>
      <c r="M2" s="2569"/>
      <c r="N2" s="1078"/>
    </row>
    <row r="3" spans="2:14" ht="15" x14ac:dyDescent="0.2">
      <c r="B3" s="2570" t="s">
        <v>1210</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topLeftCell="A19"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Chaney-Monge SD 88</v>
      </c>
      <c r="B1" s="2573"/>
      <c r="C1" s="2573"/>
      <c r="D1" s="2573"/>
      <c r="E1" s="2573"/>
      <c r="F1" s="2573"/>
    </row>
    <row r="2" spans="1:7" ht="13.5" customHeight="1" x14ac:dyDescent="0.2">
      <c r="A2" s="2569">
        <f>'Single Audit Cover'!E7</f>
        <v>56099088002</v>
      </c>
      <c r="B2" s="2569"/>
      <c r="C2" s="2569"/>
      <c r="D2" s="2569"/>
      <c r="E2" s="2569"/>
      <c r="F2" s="2569"/>
      <c r="G2" s="1051"/>
    </row>
    <row r="3" spans="1:7" ht="15.75" customHeight="1" x14ac:dyDescent="0.2">
      <c r="A3" s="2574" t="s">
        <v>1262</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1708</v>
      </c>
      <c r="C6" s="295"/>
      <c r="D6" s="295"/>
    </row>
    <row r="7" spans="1:7" ht="60.95" customHeight="1" x14ac:dyDescent="0.2">
      <c r="A7" s="2572" t="s">
        <v>1709</v>
      </c>
      <c r="B7" s="2572"/>
      <c r="C7" s="2572"/>
      <c r="D7" s="2572"/>
      <c r="E7" s="2572"/>
      <c r="F7" s="2572"/>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2" t="s">
        <v>1711</v>
      </c>
      <c r="B13" s="2572"/>
      <c r="C13" s="2572"/>
      <c r="D13" s="2572"/>
      <c r="E13" s="2572"/>
      <c r="F13" s="2572"/>
    </row>
    <row r="14" spans="1:7" ht="9.75" customHeight="1" x14ac:dyDescent="0.2">
      <c r="C14" s="1036"/>
      <c r="D14" s="1036"/>
    </row>
    <row r="15" spans="1:7" ht="13.5" customHeight="1" x14ac:dyDescent="0.2">
      <c r="C15" s="1476" t="s">
        <v>1261</v>
      </c>
      <c r="D15" s="2577" t="s">
        <v>1260</v>
      </c>
      <c r="E15" s="2577"/>
      <c r="F15" s="2577"/>
    </row>
    <row r="16" spans="1:7" ht="13.5" customHeight="1" x14ac:dyDescent="0.2">
      <c r="A16" s="1058"/>
      <c r="B16" s="1052" t="s">
        <v>1259</v>
      </c>
      <c r="C16" s="1476" t="s">
        <v>1258</v>
      </c>
      <c r="D16" s="2578" t="s">
        <v>1574</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0" t="s">
        <v>1712</v>
      </c>
      <c r="B32" s="2580"/>
      <c r="C32" s="2580"/>
      <c r="D32" s="2580"/>
      <c r="E32" s="2580"/>
      <c r="F32" s="2580"/>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1">
        <f>+C33+C34</f>
        <v>0</v>
      </c>
      <c r="F34" s="2582"/>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1576</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1537</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113" colorId="8" zoomScale="60"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2055</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2067</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1992</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8" t="s">
        <v>1992</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2068</v>
      </c>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topLeftCell="A10"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Chaney-Monge SD 88</v>
      </c>
      <c r="C1" s="2589"/>
      <c r="D1" s="2589"/>
      <c r="E1" s="2589"/>
      <c r="F1" s="2589"/>
      <c r="G1" s="2589"/>
      <c r="H1" s="2589"/>
      <c r="I1" s="2589"/>
      <c r="J1" s="1178"/>
    </row>
    <row r="2" spans="2:10" s="295" customFormat="1" ht="12.75" customHeight="1" x14ac:dyDescent="0.2">
      <c r="B2" s="2590">
        <f>'Single Audit Cover'!E7</f>
        <v>56099088002</v>
      </c>
      <c r="C2" s="2591"/>
      <c r="D2" s="2591"/>
      <c r="E2" s="2591"/>
      <c r="F2" s="2591"/>
      <c r="G2" s="2591"/>
      <c r="H2" s="2591"/>
      <c r="I2" s="2591"/>
      <c r="J2" s="1178"/>
    </row>
    <row r="3" spans="2:10" s="295" customFormat="1" ht="12.75" customHeight="1" x14ac:dyDescent="0.2">
      <c r="B3" s="2592" t="s">
        <v>1276</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1275</v>
      </c>
      <c r="C7" s="2593"/>
      <c r="D7" s="2593"/>
      <c r="E7" s="2593"/>
      <c r="F7" s="2593"/>
      <c r="G7" s="2593"/>
      <c r="H7" s="2593"/>
      <c r="I7" s="2593"/>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4"/>
      <c r="D11" s="2594"/>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5"/>
      <c r="E29" s="2595"/>
      <c r="F29" s="2595"/>
      <c r="G29" s="2595"/>
      <c r="H29" s="2595"/>
      <c r="I29" s="2595"/>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96" t="s">
        <v>1731</v>
      </c>
      <c r="D37" s="2597"/>
      <c r="E37" s="2597"/>
      <c r="F37" s="2598"/>
      <c r="G37" s="2596" t="s">
        <v>1578</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1579</v>
      </c>
      <c r="D43" s="2603"/>
      <c r="E43" s="2603"/>
      <c r="F43" s="2604"/>
      <c r="G43" s="2605">
        <f>SUM(G38:I42)</f>
        <v>0</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0</v>
      </c>
      <c r="E45" s="2607"/>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8"/>
      <c r="F49" s="2608"/>
      <c r="G49" s="2608"/>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Chaney-Monge SD 88</v>
      </c>
      <c r="C1" s="2588"/>
      <c r="D1" s="2588"/>
      <c r="E1" s="2588"/>
      <c r="F1" s="2588"/>
      <c r="G1" s="2588"/>
      <c r="H1" s="2588"/>
      <c r="I1" s="2588"/>
      <c r="J1" s="2588"/>
      <c r="K1" s="2588"/>
      <c r="L1" s="1144"/>
      <c r="M1" s="1144"/>
    </row>
    <row r="2" spans="1:13" ht="12" customHeight="1" x14ac:dyDescent="0.2">
      <c r="B2" s="2590">
        <f>'Single Audit Cover'!E7</f>
        <v>56099088002</v>
      </c>
      <c r="C2" s="2590"/>
      <c r="D2" s="2590"/>
      <c r="E2" s="2590"/>
      <c r="F2" s="2590"/>
      <c r="G2" s="2590"/>
      <c r="H2" s="2590"/>
      <c r="I2" s="2590"/>
      <c r="J2" s="2590"/>
      <c r="K2" s="2590"/>
      <c r="L2" s="1145"/>
      <c r="M2" s="1146"/>
    </row>
    <row r="3" spans="1:13" ht="10.35" customHeight="1" x14ac:dyDescent="0.2">
      <c r="B3" s="2611" t="s">
        <v>1276</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1287</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Chaney-Monge SD 88</v>
      </c>
      <c r="C1" s="2615"/>
      <c r="D1" s="2615"/>
      <c r="E1" s="2615"/>
      <c r="F1" s="2615"/>
      <c r="G1" s="2615"/>
      <c r="H1" s="2615"/>
      <c r="I1" s="2615"/>
      <c r="J1" s="2615"/>
      <c r="K1" s="2615"/>
      <c r="L1" s="1221"/>
    </row>
    <row r="2" spans="1:12" ht="12.75" customHeight="1" x14ac:dyDescent="0.2">
      <c r="B2" s="2616">
        <f>'Single Audit Cover'!E7</f>
        <v>56099088002</v>
      </c>
      <c r="C2" s="2616"/>
      <c r="D2" s="2616"/>
      <c r="E2" s="2616"/>
      <c r="F2" s="2616"/>
      <c r="G2" s="2616"/>
      <c r="H2" s="2616"/>
      <c r="I2" s="2616"/>
      <c r="J2" s="2616"/>
      <c r="K2" s="2616"/>
      <c r="L2" s="1222"/>
    </row>
    <row r="3" spans="1:12" ht="12.75" customHeight="1" x14ac:dyDescent="0.2">
      <c r="B3" s="2611" t="s">
        <v>1276</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1161</v>
      </c>
      <c r="C5" s="1036"/>
      <c r="L5" s="300"/>
    </row>
    <row r="6" spans="1:12" ht="30.75" customHeight="1" x14ac:dyDescent="0.2">
      <c r="A6" s="300"/>
      <c r="B6" s="2617" t="s">
        <v>1299</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8"/>
      <c r="E14" s="2618"/>
      <c r="F14" s="2618"/>
      <c r="H14" s="1230" t="s">
        <v>1294</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9"/>
      <c r="E16" s="2619"/>
      <c r="F16" s="2619"/>
      <c r="G16" s="2619"/>
      <c r="H16" s="2619"/>
      <c r="I16" s="2619"/>
      <c r="J16" s="2619"/>
      <c r="K16" s="2619"/>
      <c r="L16" s="300"/>
    </row>
    <row r="17" spans="2:12" ht="13.5" customHeight="1" x14ac:dyDescent="0.2">
      <c r="B17" s="1156" t="s">
        <v>1292</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Chaney-Monge SD 88</v>
      </c>
      <c r="C1" s="2588"/>
      <c r="D1" s="2588"/>
      <c r="E1" s="1240"/>
    </row>
    <row r="2" spans="2:5" s="1058" customFormat="1" ht="12.75" customHeight="1" x14ac:dyDescent="0.2">
      <c r="B2" s="2590">
        <f>'Single Audit Cover'!E7</f>
        <v>56099088002</v>
      </c>
      <c r="C2" s="2590"/>
      <c r="D2" s="2590"/>
      <c r="E2" s="1241"/>
    </row>
    <row r="3" spans="2:5" ht="12.75" customHeight="1" x14ac:dyDescent="0.2">
      <c r="B3" s="2611" t="s">
        <v>1746</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G81" sqref="G8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75163790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1.8714999999999999E-2</v>
      </c>
      <c r="E10" s="333" t="s">
        <v>998</v>
      </c>
      <c r="F10" s="332">
        <v>3.61E-2</v>
      </c>
      <c r="G10" s="333" t="s">
        <v>998</v>
      </c>
      <c r="H10" s="332">
        <v>1.6410000000000001E-2</v>
      </c>
      <c r="I10" s="333" t="s">
        <v>999</v>
      </c>
      <c r="J10" s="1424">
        <f>ROUND(D10+F10+H10,5)</f>
        <v>7.1230000000000002E-2</v>
      </c>
      <c r="K10" s="217"/>
      <c r="L10" s="332">
        <v>0</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6390627</v>
      </c>
      <c r="E16" s="1547"/>
      <c r="F16" s="1546">
        <f>SUM('Acct Summary 7-8'!C17,'Acct Summary 7-8'!D17,'Acct Summary 7-8'!F17)</f>
        <v>6073359</v>
      </c>
      <c r="G16" s="1547"/>
      <c r="H16" s="1546">
        <f>SUM(D16-F16)</f>
        <v>317268</v>
      </c>
      <c r="I16" s="1548"/>
      <c r="J16" s="1546">
        <f>SUM('Acct Summary 7-8'!C81,'Acct Summary 7-8'!D81,'Acct Summary 7-8'!F81,'Acct Summary 7-8'!I81)</f>
        <v>3037781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2069</v>
      </c>
      <c r="C31" s="344" t="s">
        <v>582</v>
      </c>
      <c r="D31" s="232" t="s">
        <v>1065</v>
      </c>
      <c r="E31" s="217"/>
      <c r="F31" s="217"/>
      <c r="G31" s="340"/>
      <c r="H31" s="1425">
        <f>IF(B31="X",(J7*0.069),IF(B32="X",(J7*0.138),"Enter x in a.or b."))</f>
        <v>5186301.5100000007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3802000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
&amp;C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topLeftCell="A6" zoomScale="80" zoomScaleNormal="110" zoomScaleSheetLayoutView="8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Chaney-Monge SD 88</v>
      </c>
      <c r="E7" s="368"/>
      <c r="G7" s="247"/>
      <c r="H7" s="364"/>
      <c r="I7" s="364"/>
      <c r="J7" s="364"/>
      <c r="K7" s="364"/>
      <c r="L7" s="307"/>
      <c r="M7" s="307"/>
      <c r="N7" s="307"/>
      <c r="O7" s="307"/>
      <c r="P7" s="307"/>
    </row>
    <row r="8" spans="1:18" ht="12.75" x14ac:dyDescent="0.2">
      <c r="A8" s="307"/>
      <c r="B8" s="307"/>
      <c r="C8" s="366" t="s">
        <v>1117</v>
      </c>
      <c r="D8" s="369">
        <f>COVER!A13</f>
        <v>56099088002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3037781</v>
      </c>
      <c r="I12" s="380"/>
      <c r="J12" s="380"/>
      <c r="K12" s="1559">
        <f>TRUNC((H12/H13*100000),5)/100000</f>
        <v>0.47534944530000001</v>
      </c>
      <c r="L12" s="381"/>
      <c r="M12" s="337" t="s">
        <v>1136</v>
      </c>
      <c r="N12" s="337"/>
      <c r="O12" s="1562">
        <v>0.35</v>
      </c>
      <c r="P12" s="213"/>
      <c r="Q12" s="213"/>
    </row>
    <row r="13" spans="1:18" s="382" customFormat="1" ht="12.75" x14ac:dyDescent="0.2">
      <c r="A13" s="213"/>
      <c r="B13" s="377"/>
      <c r="C13" s="2208" t="s">
        <v>1315</v>
      </c>
      <c r="D13" s="2209"/>
      <c r="E13" s="213"/>
      <c r="F13" s="383" t="s">
        <v>788</v>
      </c>
      <c r="G13" s="378"/>
      <c r="H13" s="1551">
        <f>SUM('Acct Summary 7-8'!C8+'Acct Summary 7-8'!D8+'Acct Summary 7-8'!F8+'Acct Summary 7-8'!I8)+H14</f>
        <v>6390627</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6073359</v>
      </c>
      <c r="I17" s="380"/>
      <c r="J17" s="389"/>
      <c r="K17" s="1559">
        <f>TRUNC((H17/H18*100000),5)/100000</f>
        <v>0.95035416710000009</v>
      </c>
      <c r="L17" s="381"/>
      <c r="M17" s="390" t="s">
        <v>1163</v>
      </c>
      <c r="O17" s="1565" t="str">
        <f>IF(AND(O16="2", J20 &gt; 2),"1",IF(AND(O16 = "1", J20 &gt; 2),"2",IF(AND(O16="1", J20 &gt;1),"1","0")))</f>
        <v>0</v>
      </c>
      <c r="P17" s="213"/>
    </row>
    <row r="18" spans="1:18" s="382" customFormat="1" ht="11.25" x14ac:dyDescent="0.2">
      <c r="A18" s="213"/>
      <c r="B18" s="377"/>
      <c r="C18" s="2208" t="s">
        <v>1308</v>
      </c>
      <c r="D18" s="2209"/>
      <c r="E18" s="213"/>
      <c r="F18" s="391" t="s">
        <v>789</v>
      </c>
      <c r="G18" s="378"/>
      <c r="H18" s="1551">
        <f>SUM('Acct Summary 7-8'!C8+'Acct Summary 7-8'!D8+'Acct Summary 7-8'!F8+'Acct Summary 7-8'!I8)+H19</f>
        <v>6390627</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5" t="s">
        <v>1398</v>
      </c>
      <c r="D24" s="2205"/>
      <c r="E24" s="213"/>
      <c r="F24" s="213" t="s">
        <v>442</v>
      </c>
      <c r="G24" s="378"/>
      <c r="H24" s="1551">
        <f>SUM('Assets-Liab 5-6'!C4+'Assets-Liab 5-6'!D4+'Assets-Liab 5-6'!F4+'Assets-Liab 5-6'!I4+'Assets-Liab 5-6'!C5+'Assets-Liab 5-6'!D5+'Assets-Liab 5-6'!F5+'Assets-Liab 5-6'!I5)</f>
        <v>3037781</v>
      </c>
      <c r="I24" s="394"/>
      <c r="J24" s="394"/>
      <c r="K24" s="1555">
        <f>TRUNC(((H24/H25*100000)/100000),2)</f>
        <v>180.06</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16870.44167</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4550829.2474499997</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2</v>
      </c>
      <c r="P31" s="211"/>
    </row>
    <row r="32" spans="1:18" s="382" customFormat="1" ht="11.25" x14ac:dyDescent="0.2">
      <c r="A32" s="213"/>
      <c r="B32" s="377"/>
      <c r="C32" s="213" t="s">
        <v>842</v>
      </c>
      <c r="D32" s="213"/>
      <c r="E32" s="213"/>
      <c r="F32" s="213"/>
      <c r="G32" s="378"/>
      <c r="H32" s="1551">
        <f>'FP Info 3'!H37</f>
        <v>3802000</v>
      </c>
      <c r="I32" s="392"/>
      <c r="J32" s="392"/>
      <c r="K32" s="1555">
        <f>TRUNC(100-((((H32/H33*100))*100)/100),2)</f>
        <v>26.69</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5186301.5100000007</v>
      </c>
      <c r="I33" s="392"/>
      <c r="J33" s="392"/>
      <c r="K33" s="379"/>
      <c r="L33" s="213"/>
      <c r="M33" s="401" t="s">
        <v>1137</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 xml:space="preserve">&amp;L&amp;8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110" workbookViewId="0">
      <pane ySplit="2" topLeftCell="A15" activePane="bottomLeft" state="frozen"/>
      <selection pane="bottomLeft" activeCell="H38" sqref="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1635</v>
      </c>
      <c r="B4" s="428"/>
      <c r="C4" s="1572">
        <v>2516773</v>
      </c>
      <c r="D4" s="1573">
        <v>492385</v>
      </c>
      <c r="E4" s="1573">
        <v>146396</v>
      </c>
      <c r="F4" s="1573">
        <v>1046</v>
      </c>
      <c r="G4" s="1573">
        <v>72553</v>
      </c>
      <c r="H4" s="1573">
        <v>2282388</v>
      </c>
      <c r="I4" s="1573">
        <v>27577</v>
      </c>
      <c r="J4" s="1574"/>
      <c r="K4" s="1573"/>
      <c r="L4" s="1573">
        <v>5558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2516773</v>
      </c>
      <c r="D13" s="1587">
        <f t="shared" ref="D13:L13" si="0">SUM(D4:D12)</f>
        <v>492385</v>
      </c>
      <c r="E13" s="1587">
        <f t="shared" si="0"/>
        <v>146396</v>
      </c>
      <c r="F13" s="1587">
        <f t="shared" si="0"/>
        <v>1046</v>
      </c>
      <c r="G13" s="1587">
        <f t="shared" si="0"/>
        <v>72553</v>
      </c>
      <c r="H13" s="1587">
        <f t="shared" si="0"/>
        <v>2282388</v>
      </c>
      <c r="I13" s="1587">
        <f t="shared" si="0"/>
        <v>27577</v>
      </c>
      <c r="J13" s="1587">
        <f t="shared" si="0"/>
        <v>0</v>
      </c>
      <c r="K13" s="1587">
        <f t="shared" si="0"/>
        <v>0</v>
      </c>
      <c r="L13" s="1587">
        <f t="shared" si="0"/>
        <v>5558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44750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2460911</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2530765</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1446812</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501303</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146396</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3655604</v>
      </c>
    </row>
    <row r="23" spans="1:14" ht="13.5" customHeight="1" thickBot="1" x14ac:dyDescent="0.25">
      <c r="A23" s="1426" t="s">
        <v>638</v>
      </c>
      <c r="B23" s="1429"/>
      <c r="C23" s="1575"/>
      <c r="D23" s="1575"/>
      <c r="E23" s="1575"/>
      <c r="F23" s="1575"/>
      <c r="G23" s="1575"/>
      <c r="H23" s="1575"/>
      <c r="I23" s="1575"/>
      <c r="J23" s="1575"/>
      <c r="K23" s="1575"/>
      <c r="L23" s="1575"/>
      <c r="M23" s="1594">
        <f>SUM(M15:M22)</f>
        <v>6984541</v>
      </c>
      <c r="N23" s="1594">
        <f>SUM(N21:N22)</f>
        <v>3802000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5558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5558</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3802000</v>
      </c>
    </row>
    <row r="37" spans="1:14" ht="13.5" thickBot="1" x14ac:dyDescent="0.25">
      <c r="A37" s="1426" t="s">
        <v>648</v>
      </c>
      <c r="B37" s="1429"/>
      <c r="C37" s="1582"/>
      <c r="D37" s="1582"/>
      <c r="E37" s="1582"/>
      <c r="F37" s="1582"/>
      <c r="G37" s="1582"/>
      <c r="H37" s="1582"/>
      <c r="I37" s="1582"/>
      <c r="J37" s="1582"/>
      <c r="K37" s="1582"/>
      <c r="L37" s="1585"/>
      <c r="M37" s="1575"/>
      <c r="N37" s="1594">
        <f>SUM(N36:N36)</f>
        <v>3802000</v>
      </c>
    </row>
    <row r="38" spans="1:14" s="307" customFormat="1" ht="13.5" customHeight="1" thickTop="1" x14ac:dyDescent="0.2">
      <c r="A38" s="438" t="s">
        <v>417</v>
      </c>
      <c r="B38" s="432">
        <v>714</v>
      </c>
      <c r="C38" s="1573"/>
      <c r="D38" s="1573"/>
      <c r="E38" s="1573">
        <v>146396</v>
      </c>
      <c r="F38" s="1573"/>
      <c r="G38" s="1573"/>
      <c r="H38" s="1573">
        <v>2282388</v>
      </c>
      <c r="I38" s="1573"/>
      <c r="J38" s="1574"/>
      <c r="K38" s="1573"/>
      <c r="L38" s="1586"/>
      <c r="M38" s="1604"/>
      <c r="N38" s="1604"/>
    </row>
    <row r="39" spans="1:14" s="307" customFormat="1" ht="13.5" customHeight="1" x14ac:dyDescent="0.2">
      <c r="A39" s="438" t="s">
        <v>339</v>
      </c>
      <c r="B39" s="432">
        <v>730</v>
      </c>
      <c r="C39" s="1573">
        <v>2516773</v>
      </c>
      <c r="D39" s="1573">
        <v>492385</v>
      </c>
      <c r="E39" s="1573"/>
      <c r="F39" s="1573">
        <v>1046</v>
      </c>
      <c r="G39" s="1573">
        <v>72553</v>
      </c>
      <c r="H39" s="1573">
        <v>0</v>
      </c>
      <c r="I39" s="1573">
        <v>27577</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6984541</v>
      </c>
      <c r="N40" s="1604"/>
    </row>
    <row r="41" spans="1:14" ht="13.5" customHeight="1" thickBot="1" x14ac:dyDescent="0.25">
      <c r="A41" s="1426" t="s">
        <v>650</v>
      </c>
      <c r="B41" s="1405"/>
      <c r="C41" s="1594">
        <f>(SUM(C34,C37,C38,C39))</f>
        <v>2516773</v>
      </c>
      <c r="D41" s="1594">
        <f t="shared" ref="D41:L41" si="2">SUM(D34,D37,D38:D39)</f>
        <v>492385</v>
      </c>
      <c r="E41" s="1594">
        <f t="shared" si="2"/>
        <v>146396</v>
      </c>
      <c r="F41" s="1594">
        <f t="shared" si="2"/>
        <v>1046</v>
      </c>
      <c r="G41" s="1594">
        <f t="shared" si="2"/>
        <v>72553</v>
      </c>
      <c r="H41" s="1594">
        <f t="shared" si="2"/>
        <v>2282388</v>
      </c>
      <c r="I41" s="1594">
        <f t="shared" si="2"/>
        <v>27577</v>
      </c>
      <c r="J41" s="1594">
        <f t="shared" si="2"/>
        <v>0</v>
      </c>
      <c r="K41" s="1594">
        <f t="shared" si="2"/>
        <v>0</v>
      </c>
      <c r="L41" s="1594">
        <f t="shared" si="2"/>
        <v>5558</v>
      </c>
      <c r="M41" s="1594">
        <f>SUM(M40)</f>
        <v>6984541</v>
      </c>
      <c r="N41" s="1594">
        <f>SUM(N37)</f>
        <v>3802000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 REGULATORY BASIS - AS OF JUNE 30, 2020
&amp;R&amp;8Page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9" activePane="bottomLeft" state="frozen"/>
      <selection pane="bottomLeft" activeCell="C76" sqref="C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11"/>
      <c r="D3" s="1312"/>
      <c r="E3" s="1312"/>
      <c r="F3" s="1312"/>
      <c r="G3" s="1312"/>
      <c r="H3" s="1312"/>
      <c r="I3" s="1312"/>
      <c r="J3" s="1312"/>
      <c r="K3" s="1313"/>
      <c r="L3" s="446"/>
    </row>
    <row r="4" spans="1:13" ht="15.75" customHeight="1" x14ac:dyDescent="0.2">
      <c r="A4" s="1537" t="s">
        <v>1485</v>
      </c>
      <c r="B4" s="1538">
        <v>1000</v>
      </c>
      <c r="C4" s="1606">
        <f>'Revenues 9-14'!C109</f>
        <v>1686610</v>
      </c>
      <c r="D4" s="1606">
        <f>'Revenues 9-14'!D109</f>
        <v>378473</v>
      </c>
      <c r="E4" s="1606">
        <f>'Revenues 9-14'!E109</f>
        <v>270395</v>
      </c>
      <c r="F4" s="1606">
        <f>'Revenues 9-14'!F109</f>
        <v>130020</v>
      </c>
      <c r="G4" s="1606">
        <f>'Revenues 9-14'!G109</f>
        <v>116720</v>
      </c>
      <c r="H4" s="1606">
        <f>'Revenues 9-14'!H109</f>
        <v>56576</v>
      </c>
      <c r="I4" s="1606">
        <f>'Revenues 9-14'!I109</f>
        <v>21</v>
      </c>
      <c r="J4" s="1606">
        <f>'Revenues 9-14'!J109</f>
        <v>0</v>
      </c>
      <c r="K4" s="1606">
        <f>'Revenues 9-14'!K109</f>
        <v>0</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3021632</v>
      </c>
      <c r="D6" s="1607">
        <f>'Revenues 9-14'!D170</f>
        <v>50000</v>
      </c>
      <c r="E6" s="1607">
        <f>'Revenues 9-14'!E170</f>
        <v>0</v>
      </c>
      <c r="F6" s="1607">
        <f>'Revenues 9-14'!F170</f>
        <v>401767</v>
      </c>
      <c r="G6" s="1607">
        <f>'Revenues 9-14'!G170</f>
        <v>0</v>
      </c>
      <c r="H6" s="1607">
        <f>'Revenues 9-14'!H170</f>
        <v>222600</v>
      </c>
      <c r="I6" s="1607">
        <f>'Revenues 9-14'!I170</f>
        <v>0</v>
      </c>
      <c r="J6" s="1607">
        <f>'Revenues 9-14'!J170</f>
        <v>0</v>
      </c>
      <c r="K6" s="1607">
        <f>'Revenues 9-14'!K170</f>
        <v>0</v>
      </c>
      <c r="L6" s="325"/>
      <c r="M6" s="448"/>
    </row>
    <row r="7" spans="1:13" ht="15.75" customHeight="1" x14ac:dyDescent="0.2">
      <c r="A7" s="1314" t="s">
        <v>1488</v>
      </c>
      <c r="B7" s="1316">
        <v>4000</v>
      </c>
      <c r="C7" s="1607">
        <f>'Revenues 9-14'!C267</f>
        <v>722104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5430346</v>
      </c>
      <c r="D8" s="1594">
        <f t="shared" ref="D8:K8" si="0">SUM(D4:D7)</f>
        <v>428473</v>
      </c>
      <c r="E8" s="1594">
        <f t="shared" si="0"/>
        <v>270395</v>
      </c>
      <c r="F8" s="1594">
        <f t="shared" si="0"/>
        <v>531787</v>
      </c>
      <c r="G8" s="1594">
        <f t="shared" si="0"/>
        <v>116720</v>
      </c>
      <c r="H8" s="1594">
        <f t="shared" si="0"/>
        <v>279176</v>
      </c>
      <c r="I8" s="1594">
        <f t="shared" si="0"/>
        <v>21</v>
      </c>
      <c r="J8" s="1594">
        <f t="shared" si="0"/>
        <v>0</v>
      </c>
      <c r="K8" s="1594">
        <f t="shared" si="0"/>
        <v>0</v>
      </c>
      <c r="L8" s="325"/>
    </row>
    <row r="9" spans="1:13" ht="15.75" thickTop="1" x14ac:dyDescent="0.2">
      <c r="A9" s="449" t="s">
        <v>1637</v>
      </c>
      <c r="B9" s="450">
        <v>3998</v>
      </c>
      <c r="C9" s="1586">
        <v>1987241</v>
      </c>
      <c r="D9" s="1613"/>
      <c r="E9" s="1586"/>
      <c r="F9" s="1586"/>
      <c r="G9" s="1614"/>
      <c r="H9" s="1586"/>
      <c r="I9" s="1609" t="s">
        <v>1161</v>
      </c>
      <c r="J9" s="1583"/>
      <c r="K9" s="1586"/>
      <c r="L9" s="325"/>
    </row>
    <row r="10" spans="1:13" s="452" customFormat="1" ht="13.5" thickBot="1" x14ac:dyDescent="0.25">
      <c r="A10" s="1426" t="s">
        <v>1165</v>
      </c>
      <c r="B10" s="1407"/>
      <c r="C10" s="1594">
        <f>SUM(C8:C9)</f>
        <v>7417587</v>
      </c>
      <c r="D10" s="1594">
        <f t="shared" ref="D10:K10" si="1">SUM(D8:D9)</f>
        <v>428473</v>
      </c>
      <c r="E10" s="1594">
        <f t="shared" si="1"/>
        <v>270395</v>
      </c>
      <c r="F10" s="1594">
        <f t="shared" si="1"/>
        <v>531787</v>
      </c>
      <c r="G10" s="1594">
        <f t="shared" si="1"/>
        <v>116720</v>
      </c>
      <c r="H10" s="1594">
        <f t="shared" si="1"/>
        <v>279176</v>
      </c>
      <c r="I10" s="1594">
        <f t="shared" si="1"/>
        <v>21</v>
      </c>
      <c r="J10" s="1594">
        <f t="shared" si="1"/>
        <v>0</v>
      </c>
      <c r="K10" s="1594">
        <f t="shared" si="1"/>
        <v>0</v>
      </c>
      <c r="L10" s="451"/>
    </row>
    <row r="11" spans="1:13" s="452" customFormat="1" ht="16.7" customHeight="1" thickTop="1" x14ac:dyDescent="0.2">
      <c r="A11" s="2217" t="s">
        <v>1168</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3408293</v>
      </c>
      <c r="D12" s="1616" t="s">
        <v>1161</v>
      </c>
      <c r="E12" s="1575" t="s">
        <v>1161</v>
      </c>
      <c r="F12" s="1575" t="s">
        <v>1161</v>
      </c>
      <c r="G12" s="1606">
        <f>'Expenditures 15-22'!K229</f>
        <v>43629</v>
      </c>
      <c r="H12" s="1617"/>
      <c r="I12" s="1575" t="s">
        <v>1161</v>
      </c>
      <c r="J12" s="1575" t="s">
        <v>1161</v>
      </c>
      <c r="K12" s="1617" t="s">
        <v>1161</v>
      </c>
      <c r="L12" s="325"/>
    </row>
    <row r="13" spans="1:13" ht="15.75" customHeight="1" x14ac:dyDescent="0.2">
      <c r="A13" s="1314" t="s">
        <v>454</v>
      </c>
      <c r="B13" s="1316">
        <v>2000</v>
      </c>
      <c r="C13" s="1607">
        <f>'Expenditures 15-22'!K74</f>
        <v>1430320</v>
      </c>
      <c r="D13" s="1607">
        <f>'Expenditures 15-22'!K129</f>
        <v>307311</v>
      </c>
      <c r="E13" s="1576" t="s">
        <v>1161</v>
      </c>
      <c r="F13" s="1607">
        <f>'Expenditures 15-22'!K184</f>
        <v>641197</v>
      </c>
      <c r="G13" s="1607">
        <f>'Expenditures 15-22'!K279</f>
        <v>87609</v>
      </c>
      <c r="H13" s="1607">
        <f>'Expenditures 15-22'!K303</f>
        <v>501303</v>
      </c>
      <c r="I13" s="1575" t="s">
        <v>1161</v>
      </c>
      <c r="J13" s="1607">
        <f>'Expenditures 15-22'!K330</f>
        <v>0</v>
      </c>
      <c r="K13" s="1618">
        <f>'Expenditures 15-22'!K352</f>
        <v>0</v>
      </c>
      <c r="L13" s="325"/>
    </row>
    <row r="14" spans="1:13" ht="15.75" customHeight="1" x14ac:dyDescent="0.2">
      <c r="A14" s="1314" t="s">
        <v>446</v>
      </c>
      <c r="B14" s="1316">
        <v>3000</v>
      </c>
      <c r="C14" s="1607">
        <f>'Expenditures 15-22'!K75</f>
        <v>2214</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284024</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391303</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5124851</v>
      </c>
      <c r="D17" s="1594">
        <f t="shared" si="2"/>
        <v>307311</v>
      </c>
      <c r="E17" s="1594">
        <f t="shared" si="2"/>
        <v>391303</v>
      </c>
      <c r="F17" s="1594">
        <f t="shared" si="2"/>
        <v>641197</v>
      </c>
      <c r="G17" s="1594">
        <f t="shared" si="2"/>
        <v>131238</v>
      </c>
      <c r="H17" s="1594">
        <f t="shared" si="2"/>
        <v>501303</v>
      </c>
      <c r="I17" s="1575"/>
      <c r="J17" s="1594">
        <f>SUM(J12:J16)</f>
        <v>0</v>
      </c>
      <c r="K17" s="1594">
        <f>SUM(K12:K16)</f>
        <v>0</v>
      </c>
      <c r="L17" s="325"/>
    </row>
    <row r="18" spans="1:12" ht="15" customHeight="1" thickTop="1" x14ac:dyDescent="0.2">
      <c r="A18" s="1430" t="s">
        <v>1638</v>
      </c>
      <c r="B18" s="1431">
        <v>4180</v>
      </c>
      <c r="C18" s="1606">
        <f t="shared" ref="C18:H18" si="3">C9</f>
        <v>1987241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7112092</v>
      </c>
      <c r="D19" s="1594">
        <f t="shared" si="4"/>
        <v>307311</v>
      </c>
      <c r="E19" s="1594">
        <f t="shared" si="4"/>
        <v>391303</v>
      </c>
      <c r="F19" s="1594">
        <f t="shared" si="4"/>
        <v>641197</v>
      </c>
      <c r="G19" s="1594">
        <f t="shared" si="4"/>
        <v>131238</v>
      </c>
      <c r="H19" s="1594">
        <f t="shared" si="4"/>
        <v>501303</v>
      </c>
      <c r="I19" s="1575"/>
      <c r="J19" s="1594">
        <f>SUM(J17:J18)</f>
        <v>0</v>
      </c>
      <c r="K19" s="1594">
        <f>SUM(K17:K18)</f>
        <v>0</v>
      </c>
      <c r="L19" s="325"/>
    </row>
    <row r="20" spans="1:12" ht="16.5" thickTop="1" thickBot="1" x14ac:dyDescent="0.25">
      <c r="A20" s="2233" t="s">
        <v>1639</v>
      </c>
      <c r="B20" s="2234"/>
      <c r="C20" s="1622">
        <f>C8-C17</f>
        <v>305495</v>
      </c>
      <c r="D20" s="1622">
        <f t="shared" ref="D20:K20" si="5">D8-D17</f>
        <v>121162</v>
      </c>
      <c r="E20" s="1622">
        <f t="shared" si="5"/>
        <v>-120908</v>
      </c>
      <c r="F20" s="1622">
        <f t="shared" si="5"/>
        <v>-109410</v>
      </c>
      <c r="G20" s="1622">
        <f t="shared" si="5"/>
        <v>-14518</v>
      </c>
      <c r="H20" s="1622">
        <f t="shared" si="5"/>
        <v>-222127</v>
      </c>
      <c r="I20" s="1622">
        <f t="shared" si="5"/>
        <v>21</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v>402909</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v>107000</v>
      </c>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v>2894295</v>
      </c>
      <c r="F33" s="1574"/>
      <c r="G33" s="1582"/>
      <c r="H33" s="1574"/>
      <c r="I33" s="1574">
        <v>397705</v>
      </c>
      <c r="J33" s="1574"/>
      <c r="K33" s="1574"/>
      <c r="L33" s="453"/>
    </row>
    <row r="34" spans="1:12" s="433" customFormat="1" x14ac:dyDescent="0.2">
      <c r="A34" s="1260" t="s">
        <v>994</v>
      </c>
      <c r="B34" s="454">
        <v>7220</v>
      </c>
      <c r="C34" s="1574"/>
      <c r="D34" s="1574"/>
      <c r="E34" s="1574">
        <v>67524</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v>403909</v>
      </c>
      <c r="I43" s="1574">
        <v>0</v>
      </c>
      <c r="J43" s="1574"/>
      <c r="K43" s="1574"/>
      <c r="L43" s="453"/>
    </row>
    <row r="44" spans="1:12" s="433" customFormat="1" ht="13.5" customHeight="1" thickBot="1" x14ac:dyDescent="0.25">
      <c r="A44" s="2247" t="s">
        <v>371</v>
      </c>
      <c r="B44" s="2248"/>
      <c r="C44" s="1624">
        <f>SUM(C24:C43)</f>
        <v>402909</v>
      </c>
      <c r="D44" s="1624">
        <f t="shared" ref="D44:K44" si="6">SUM(D24:D43)</f>
        <v>0</v>
      </c>
      <c r="E44" s="1624">
        <f t="shared" si="6"/>
        <v>2961819</v>
      </c>
      <c r="F44" s="1624">
        <f t="shared" si="6"/>
        <v>107000</v>
      </c>
      <c r="G44" s="1624">
        <f t="shared" si="6"/>
        <v>0</v>
      </c>
      <c r="H44" s="1624">
        <f t="shared" si="6"/>
        <v>403909</v>
      </c>
      <c r="I44" s="1624">
        <f t="shared" si="6"/>
        <v>397705</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402909</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107000</v>
      </c>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403909</v>
      </c>
      <c r="D75" s="1627"/>
      <c r="E75" s="1626">
        <v>2833805</v>
      </c>
      <c r="F75" s="1628"/>
      <c r="G75" s="1628"/>
      <c r="H75" s="1628"/>
      <c r="I75" s="1626"/>
      <c r="J75" s="1626"/>
      <c r="K75" s="1628"/>
      <c r="L75" s="453"/>
    </row>
    <row r="76" spans="1:12" s="433" customFormat="1" ht="14.25" thickTop="1" thickBot="1" x14ac:dyDescent="0.25">
      <c r="A76" s="2223" t="s">
        <v>437</v>
      </c>
      <c r="B76" s="2224"/>
      <c r="C76" s="1624">
        <f t="shared" ref="C76:K76" si="7">SUM(C47:C75)</f>
        <v>510909</v>
      </c>
      <c r="D76" s="1624">
        <f t="shared" si="7"/>
        <v>0</v>
      </c>
      <c r="E76" s="1624">
        <f t="shared" si="7"/>
        <v>2833805</v>
      </c>
      <c r="F76" s="1624">
        <f t="shared" si="7"/>
        <v>0</v>
      </c>
      <c r="G76" s="1624">
        <f t="shared" si="7"/>
        <v>0</v>
      </c>
      <c r="H76" s="1624">
        <f t="shared" si="7"/>
        <v>0</v>
      </c>
      <c r="I76" s="1624">
        <f t="shared" si="7"/>
        <v>402909</v>
      </c>
      <c r="J76" s="1624">
        <f t="shared" si="7"/>
        <v>0</v>
      </c>
      <c r="K76" s="1624">
        <f t="shared" si="7"/>
        <v>0</v>
      </c>
      <c r="L76" s="453"/>
    </row>
    <row r="77" spans="1:12" ht="14.25" thickTop="1" thickBot="1" x14ac:dyDescent="0.25">
      <c r="A77" s="2225" t="s">
        <v>1169</v>
      </c>
      <c r="B77" s="2226"/>
      <c r="C77" s="1624">
        <f t="shared" ref="C77:K77" si="8">C44-C76</f>
        <v>-108000</v>
      </c>
      <c r="D77" s="1624">
        <f t="shared" si="8"/>
        <v>0</v>
      </c>
      <c r="E77" s="1624">
        <f t="shared" si="8"/>
        <v>128014</v>
      </c>
      <c r="F77" s="1624">
        <f t="shared" si="8"/>
        <v>107000</v>
      </c>
      <c r="G77" s="1624">
        <f t="shared" si="8"/>
        <v>0</v>
      </c>
      <c r="H77" s="1624">
        <f t="shared" si="8"/>
        <v>403909</v>
      </c>
      <c r="I77" s="1624">
        <f t="shared" si="8"/>
        <v>-5204</v>
      </c>
      <c r="J77" s="1624">
        <f t="shared" si="8"/>
        <v>0</v>
      </c>
      <c r="K77" s="1624">
        <f t="shared" si="8"/>
        <v>0</v>
      </c>
      <c r="L77" s="325"/>
    </row>
    <row r="78" spans="1:12" ht="21.75" customHeight="1" thickTop="1" thickBot="1" x14ac:dyDescent="0.25">
      <c r="A78" s="2229" t="s">
        <v>593</v>
      </c>
      <c r="B78" s="2230"/>
      <c r="C78" s="1629">
        <f t="shared" ref="C78:K78" si="9">C20+C77</f>
        <v>197495</v>
      </c>
      <c r="D78" s="1629">
        <f t="shared" si="9"/>
        <v>121162</v>
      </c>
      <c r="E78" s="1629">
        <f t="shared" si="9"/>
        <v>7106</v>
      </c>
      <c r="F78" s="1629">
        <f t="shared" si="9"/>
        <v>-2410</v>
      </c>
      <c r="G78" s="1629">
        <f t="shared" si="9"/>
        <v>-14518</v>
      </c>
      <c r="H78" s="1629">
        <f t="shared" si="9"/>
        <v>181782</v>
      </c>
      <c r="I78" s="1629">
        <f t="shared" si="9"/>
        <v>-5183</v>
      </c>
      <c r="J78" s="1629">
        <f t="shared" si="9"/>
        <v>0</v>
      </c>
      <c r="K78" s="1629">
        <f t="shared" si="9"/>
        <v>0</v>
      </c>
      <c r="L78" s="457"/>
    </row>
    <row r="79" spans="1:12" ht="13.5" thickTop="1" x14ac:dyDescent="0.2">
      <c r="A79" s="1844" t="str">
        <f>"Fund Balances - July 1, "&amp;'AFR20'!E2-1</f>
        <v>Fund Balances - July 1, 2019</v>
      </c>
      <c r="B79" s="458"/>
      <c r="C79" s="1583">
        <v>2319278</v>
      </c>
      <c r="D79" s="1630">
        <v>371223</v>
      </c>
      <c r="E79" s="1630">
        <v>139290</v>
      </c>
      <c r="F79" s="1630">
        <v>3456</v>
      </c>
      <c r="G79" s="1630">
        <v>87071</v>
      </c>
      <c r="H79" s="1630">
        <v>2100606</v>
      </c>
      <c r="I79" s="1630">
        <v>32760</v>
      </c>
      <c r="J79" s="1630"/>
      <c r="K79" s="1630"/>
      <c r="L79" s="325"/>
    </row>
    <row r="80" spans="1:12" x14ac:dyDescent="0.2">
      <c r="A80" s="2235" t="s">
        <v>1775</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2516773</v>
      </c>
      <c r="D81" s="1594">
        <f>SUM(D78:D80)</f>
        <v>492385</v>
      </c>
      <c r="E81" s="1594">
        <f t="shared" ref="E81:K81" si="10">SUM(E78:E80)</f>
        <v>146396</v>
      </c>
      <c r="F81" s="1594">
        <f t="shared" si="10"/>
        <v>1046</v>
      </c>
      <c r="G81" s="1594">
        <f t="shared" si="10"/>
        <v>72553</v>
      </c>
      <c r="H81" s="1594">
        <f t="shared" si="10"/>
        <v>2282388</v>
      </c>
      <c r="I81" s="1594">
        <f t="shared" si="10"/>
        <v>27577</v>
      </c>
      <c r="J81" s="1594">
        <f t="shared" si="10"/>
        <v>0</v>
      </c>
      <c r="K81" s="1594">
        <f t="shared" si="10"/>
        <v>0</v>
      </c>
      <c r="L81" s="325"/>
    </row>
    <row r="82" spans="1:12" ht="0.75" customHeight="1" thickTop="1" thickBot="1" x14ac:dyDescent="0.25">
      <c r="A82" s="459" t="s">
        <v>340</v>
      </c>
      <c r="B82" s="460"/>
      <c r="C82" s="461">
        <f>(C81-C79)</f>
        <v>197495</v>
      </c>
      <c r="D82" s="461">
        <f t="shared" ref="D82:K82" si="11">(D81-D79)</f>
        <v>121162</v>
      </c>
      <c r="E82" s="461">
        <f t="shared" si="11"/>
        <v>7106</v>
      </c>
      <c r="F82" s="461">
        <f t="shared" si="11"/>
        <v>-2410</v>
      </c>
      <c r="G82" s="461">
        <f t="shared" si="11"/>
        <v>-14518</v>
      </c>
      <c r="H82" s="461">
        <f t="shared" si="11"/>
        <v>181782</v>
      </c>
      <c r="I82" s="461">
        <f t="shared" si="11"/>
        <v>-5183</v>
      </c>
      <c r="J82" s="461">
        <f t="shared" si="11"/>
        <v>0</v>
      </c>
      <c r="K82" s="461">
        <f t="shared" si="11"/>
        <v>0</v>
      </c>
    </row>
    <row r="83" spans="1:12" ht="14.25" hidden="1" thickTop="1" thickBot="1" x14ac:dyDescent="0.25">
      <c r="A83" s="462" t="s">
        <v>341</v>
      </c>
      <c r="B83" s="428"/>
      <c r="C83" s="463">
        <f>C82/C81</f>
        <v>7.8471518885493446E-2</v>
      </c>
      <c r="D83" s="463">
        <f t="shared" ref="D83:K83" si="12">D82/D81</f>
        <v>0.24607167155782569</v>
      </c>
      <c r="E83" s="463">
        <f t="shared" si="12"/>
        <v>4.8539577584086994E-2</v>
      </c>
      <c r="F83" s="463">
        <f t="shared" si="12"/>
        <v>-2.3040152963671128</v>
      </c>
      <c r="G83" s="463">
        <f t="shared" si="12"/>
        <v>-0.20010199440409079</v>
      </c>
      <c r="H83" s="463">
        <f t="shared" si="12"/>
        <v>7.9645529156304712E-2</v>
      </c>
      <c r="I83" s="463">
        <f t="shared" si="12"/>
        <v>-0.18794647713674439</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REGULATORY BASIS - FOR THE YEAR ENDING JUNE 30, 2020 &amp;R&amp;8Page &amp;P</oddHeader>
    <oddFooter xml:space="preserve">&amp;L&amp;8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152" activePane="bottomLeft" state="frozen"/>
      <selection pane="bottomLeft" activeCell="F152" sqref="F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1782</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1380150</v>
      </c>
      <c r="D5" s="1586">
        <v>266106</v>
      </c>
      <c r="E5" s="1573">
        <v>266990</v>
      </c>
      <c r="F5" s="1631">
        <v>120961</v>
      </c>
      <c r="G5" s="1573">
        <v>46931</v>
      </c>
      <c r="H5" s="1573"/>
      <c r="I5" s="1573"/>
      <c r="J5" s="1574"/>
      <c r="K5" s="1573"/>
    </row>
    <row r="6" spans="1:12" ht="15" x14ac:dyDescent="0.2">
      <c r="A6" s="427" t="s">
        <v>1646</v>
      </c>
      <c r="B6" s="429">
        <v>1130</v>
      </c>
      <c r="C6" s="1573">
        <v>48408</v>
      </c>
      <c r="D6" s="1573"/>
      <c r="E6" s="1580"/>
      <c r="F6" s="1580"/>
      <c r="G6" s="1575"/>
      <c r="H6" s="1575"/>
      <c r="I6" s="1575"/>
      <c r="J6" s="1575"/>
      <c r="K6" s="1575"/>
    </row>
    <row r="7" spans="1:12" x14ac:dyDescent="0.2">
      <c r="A7" s="427" t="s">
        <v>110</v>
      </c>
      <c r="B7" s="471">
        <v>1140</v>
      </c>
      <c r="C7" s="1573">
        <v>193553</v>
      </c>
      <c r="D7" s="1573"/>
      <c r="E7" s="1575"/>
      <c r="F7" s="1574"/>
      <c r="G7" s="1574"/>
      <c r="H7" s="1574"/>
      <c r="I7" s="1575"/>
      <c r="J7" s="1575"/>
      <c r="K7" s="1575"/>
    </row>
    <row r="8" spans="1:12" x14ac:dyDescent="0.2">
      <c r="A8" s="427" t="s">
        <v>410</v>
      </c>
      <c r="B8" s="429">
        <v>1150</v>
      </c>
      <c r="C8" s="1580"/>
      <c r="D8" s="1580"/>
      <c r="E8" s="1582"/>
      <c r="F8" s="1582"/>
      <c r="G8" s="1586">
        <v>45463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1622111</v>
      </c>
      <c r="D12" s="1633">
        <f t="shared" si="0"/>
        <v>266106</v>
      </c>
      <c r="E12" s="1633">
        <f t="shared" si="0"/>
        <v>266990</v>
      </c>
      <c r="F12" s="1633">
        <f t="shared" si="0"/>
        <v>120961</v>
      </c>
      <c r="G12" s="1633">
        <f t="shared" si="0"/>
        <v>92394</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13264</v>
      </c>
      <c r="D16" s="1573">
        <v>21651</v>
      </c>
      <c r="E16" s="1573"/>
      <c r="F16" s="1573">
        <v>8942</v>
      </c>
      <c r="G16" s="1573">
        <v>21651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13264</v>
      </c>
      <c r="D18" s="1635">
        <f t="shared" ref="D18:K18" si="1">SUM(D14:D17)</f>
        <v>21651</v>
      </c>
      <c r="E18" s="1635">
        <f t="shared" si="1"/>
        <v>0</v>
      </c>
      <c r="F18" s="1635">
        <f t="shared" si="1"/>
        <v>8942</v>
      </c>
      <c r="G18" s="1635">
        <f t="shared" si="1"/>
        <v>21651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21173</v>
      </c>
      <c r="D65" s="1573">
        <v>8194</v>
      </c>
      <c r="E65" s="1573">
        <v>3405</v>
      </c>
      <c r="F65" s="1574">
        <v>117</v>
      </c>
      <c r="G65" s="1573">
        <v>2675</v>
      </c>
      <c r="H65" s="1573">
        <v>56576</v>
      </c>
      <c r="I65" s="1573">
        <v>21</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21173</v>
      </c>
      <c r="D67" s="1594">
        <f t="shared" ref="D67:K67" si="2">SUM(D65:D66)</f>
        <v>8194</v>
      </c>
      <c r="E67" s="1594">
        <f t="shared" si="2"/>
        <v>3405</v>
      </c>
      <c r="F67" s="1594">
        <f t="shared" si="2"/>
        <v>117</v>
      </c>
      <c r="G67" s="1594">
        <f t="shared" si="2"/>
        <v>2675</v>
      </c>
      <c r="H67" s="1594">
        <f t="shared" si="2"/>
        <v>56576</v>
      </c>
      <c r="I67" s="1594">
        <f t="shared" si="2"/>
        <v>21</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v>5058</v>
      </c>
      <c r="D80" s="1573"/>
      <c r="E80" s="1575"/>
      <c r="F80" s="1575"/>
      <c r="G80" s="1575"/>
      <c r="H80" s="1575"/>
      <c r="I80" s="1575"/>
      <c r="J80" s="1575"/>
      <c r="K80" s="1575"/>
    </row>
    <row r="81" spans="1:11" ht="12.75" customHeight="1" x14ac:dyDescent="0.2">
      <c r="A81" s="427" t="s">
        <v>26</v>
      </c>
      <c r="B81" s="429">
        <v>1790</v>
      </c>
      <c r="C81" s="1632">
        <v>990</v>
      </c>
      <c r="D81" s="1573"/>
      <c r="E81" s="1575"/>
      <c r="F81" s="1575"/>
      <c r="G81" s="1575"/>
      <c r="H81" s="1575"/>
      <c r="I81" s="1575"/>
      <c r="J81" s="1575"/>
      <c r="K81" s="1575"/>
    </row>
    <row r="82" spans="1:11" ht="12.75" customHeight="1" thickBot="1" x14ac:dyDescent="0.25">
      <c r="A82" s="1406" t="s">
        <v>239</v>
      </c>
      <c r="B82" s="1407"/>
      <c r="C82" s="1633">
        <f>SUM(C77:C81)</f>
        <v>6048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19630</v>
      </c>
      <c r="D92" s="1575"/>
      <c r="E92" s="1575"/>
      <c r="F92" s="1575"/>
      <c r="G92" s="1575"/>
      <c r="H92" s="1575"/>
      <c r="I92" s="1575"/>
      <c r="J92" s="1575"/>
      <c r="K92" s="1575"/>
    </row>
    <row r="93" spans="1:11" ht="12.75" customHeight="1" thickBot="1" x14ac:dyDescent="0.25">
      <c r="A93" s="1406" t="s">
        <v>241</v>
      </c>
      <c r="B93" s="1407"/>
      <c r="C93" s="1594">
        <f>SUM(C84:C92)</f>
        <v>19630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4384</v>
      </c>
      <c r="D107" s="1573">
        <v>82522</v>
      </c>
      <c r="E107" s="1573"/>
      <c r="F107" s="1573"/>
      <c r="G107" s="1573"/>
      <c r="H107" s="1573"/>
      <c r="I107" s="1573"/>
      <c r="J107" s="1574"/>
      <c r="K107" s="1573"/>
    </row>
    <row r="108" spans="1:12" ht="12.75" customHeight="1" thickBot="1" x14ac:dyDescent="0.25">
      <c r="A108" s="1406" t="s">
        <v>484</v>
      </c>
      <c r="B108" s="1408"/>
      <c r="C108" s="1633">
        <f>SUM(C95:C107)</f>
        <v>4384</v>
      </c>
      <c r="D108" s="1633">
        <f t="shared" ref="D108:K108" si="3">SUM(D95:D107)</f>
        <v>82522</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1686610</v>
      </c>
      <c r="D109" s="1641">
        <f t="shared" si="4"/>
        <v>378473</v>
      </c>
      <c r="E109" s="1641">
        <f t="shared" si="4"/>
        <v>270395</v>
      </c>
      <c r="F109" s="1641">
        <f t="shared" si="4"/>
        <v>130020</v>
      </c>
      <c r="G109" s="1641">
        <f t="shared" si="4"/>
        <v>116720</v>
      </c>
      <c r="H109" s="1641">
        <f t="shared" si="4"/>
        <v>56576</v>
      </c>
      <c r="I109" s="1641">
        <f t="shared" si="4"/>
        <v>21</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2887108</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2887108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128853</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128853</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4921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135682</v>
      </c>
      <c r="G152" s="1574"/>
      <c r="H152" s="1575"/>
      <c r="I152" s="1575"/>
      <c r="J152" s="1575"/>
      <c r="K152" s="1575"/>
    </row>
    <row r="153" spans="1:11" ht="12.75" customHeight="1" x14ac:dyDescent="0.2">
      <c r="A153" s="427" t="s">
        <v>1050</v>
      </c>
      <c r="B153" s="478">
        <v>3510</v>
      </c>
      <c r="C153" s="1632"/>
      <c r="D153" s="1573"/>
      <c r="E153" s="1640"/>
      <c r="F153" s="1573">
        <v>266085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401767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v>222600</v>
      </c>
      <c r="I168" s="1656"/>
      <c r="J168" s="1656"/>
      <c r="K168" s="1657"/>
    </row>
    <row r="169" spans="1:11" ht="12.75" customHeight="1" thickTop="1" thickBot="1" x14ac:dyDescent="0.25">
      <c r="A169" s="2251" t="s">
        <v>395</v>
      </c>
      <c r="B169" s="2252"/>
      <c r="C169" s="1658">
        <f t="shared" ref="C169:K169" si="6">SUM(C132,C141,C145,C146:C150,C155,C156:C167,C168)</f>
        <v>134524</v>
      </c>
      <c r="D169" s="1658">
        <f t="shared" si="6"/>
        <v>50000</v>
      </c>
      <c r="E169" s="1658">
        <f t="shared" si="6"/>
        <v>0</v>
      </c>
      <c r="F169" s="1658">
        <f t="shared" si="6"/>
        <v>401767</v>
      </c>
      <c r="G169" s="1658">
        <f t="shared" si="6"/>
        <v>0</v>
      </c>
      <c r="H169" s="1658">
        <f t="shared" si="6"/>
        <v>222600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3021632</v>
      </c>
      <c r="D170" s="1641">
        <f t="shared" si="7"/>
        <v>50000</v>
      </c>
      <c r="E170" s="1641">
        <f t="shared" si="7"/>
        <v>0</v>
      </c>
      <c r="F170" s="1641">
        <f t="shared" si="7"/>
        <v>401767</v>
      </c>
      <c r="G170" s="1641">
        <f t="shared" si="7"/>
        <v>0</v>
      </c>
      <c r="H170" s="1641">
        <f t="shared" si="7"/>
        <v>222600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1478</v>
      </c>
      <c r="B172" s="2254"/>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1649</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1648</v>
      </c>
      <c r="B176" s="2262"/>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1783</v>
      </c>
      <c r="B182" s="2256"/>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157017</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98311</v>
      </c>
      <c r="D193" s="1575"/>
      <c r="E193" s="1640"/>
      <c r="F193" s="1575"/>
      <c r="G193" s="1664"/>
      <c r="H193" s="1575"/>
      <c r="I193" s="1575"/>
      <c r="J193" s="1575"/>
      <c r="K193" s="1575"/>
    </row>
    <row r="194" spans="1:11" ht="12.75" customHeight="1" x14ac:dyDescent="0.2">
      <c r="A194" s="427" t="s">
        <v>1437</v>
      </c>
      <c r="B194" s="429">
        <v>4225</v>
      </c>
      <c r="C194" s="1632">
        <v>72366</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327694</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123793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123793</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9997</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9997</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78345</v>
      </c>
      <c r="D213" s="1573"/>
      <c r="E213" s="1575"/>
      <c r="F213" s="1573"/>
      <c r="G213" s="1573"/>
      <c r="H213" s="1575"/>
      <c r="I213" s="1575"/>
      <c r="J213" s="1575"/>
      <c r="K213" s="1575"/>
    </row>
    <row r="214" spans="1:11" ht="12.75" customHeight="1" x14ac:dyDescent="0.2">
      <c r="A214" s="427" t="s">
        <v>1047</v>
      </c>
      <c r="B214" s="429">
        <v>4625</v>
      </c>
      <c r="C214" s="1632">
        <v>3074</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81419</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28194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6619</v>
      </c>
      <c r="D263" s="1651"/>
      <c r="E263" s="1575"/>
      <c r="F263" s="1651"/>
      <c r="G263" s="1651"/>
      <c r="H263" s="1575"/>
      <c r="I263" s="1575"/>
      <c r="J263" s="1575"/>
      <c r="K263" s="1575"/>
    </row>
    <row r="264" spans="1:11" ht="12.75" customHeight="1" thickTop="1" thickBot="1" x14ac:dyDescent="0.25">
      <c r="A264" s="427" t="s">
        <v>374</v>
      </c>
      <c r="B264" s="429">
        <v>4992</v>
      </c>
      <c r="C264" s="1650">
        <v>36349</v>
      </c>
      <c r="D264" s="1651"/>
      <c r="E264" s="1575"/>
      <c r="F264" s="1651"/>
      <c r="G264" s="1651"/>
      <c r="H264" s="1575"/>
      <c r="I264" s="1575"/>
      <c r="J264" s="1575"/>
      <c r="K264" s="1575"/>
    </row>
    <row r="265" spans="1:11" s="489" customFormat="1" ht="12.75" customHeight="1" thickTop="1" thickBot="1" x14ac:dyDescent="0.25">
      <c r="A265" s="479" t="s">
        <v>75</v>
      </c>
      <c r="B265" s="475">
        <v>4998</v>
      </c>
      <c r="C265" s="1650">
        <v>108039</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722104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722104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5430346</v>
      </c>
      <c r="D268" s="1641">
        <f t="shared" si="12"/>
        <v>428473</v>
      </c>
      <c r="E268" s="1641">
        <f t="shared" si="12"/>
        <v>270395</v>
      </c>
      <c r="F268" s="1641">
        <f t="shared" si="12"/>
        <v>531787</v>
      </c>
      <c r="G268" s="1641">
        <f t="shared" si="12"/>
        <v>116720</v>
      </c>
      <c r="H268" s="1641">
        <f t="shared" si="12"/>
        <v>279176</v>
      </c>
      <c r="I268" s="1641">
        <f t="shared" si="12"/>
        <v>21</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 REGULATORY BASIS -
FOR THE YEAR ENDING JUNE 30, 2020&amp;R&amp;8Page &amp;P</oddHeader>
    <oddFooter xml:space="preserve">&amp;L&amp;8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90" workbookViewId="0">
      <pane ySplit="2" topLeftCell="A303" activePane="bottomLeft" state="frozen"/>
      <selection pane="bottomLeft" activeCell="D37" sqref="D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1298290</v>
      </c>
      <c r="D5" s="1573">
        <v>179955</v>
      </c>
      <c r="E5" s="1573">
        <v>14135</v>
      </c>
      <c r="F5" s="1573">
        <v>283196</v>
      </c>
      <c r="G5" s="1573">
        <v>53827</v>
      </c>
      <c r="H5" s="1573"/>
      <c r="I5" s="1574"/>
      <c r="J5" s="1574"/>
      <c r="K5" s="1672">
        <f>SUM(C5:J5)</f>
        <v>1829403</v>
      </c>
      <c r="L5" s="1573">
        <v>1753203</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416913</v>
      </c>
      <c r="D8" s="1573">
        <v>55058</v>
      </c>
      <c r="E8" s="1573">
        <v>663919</v>
      </c>
      <c r="F8" s="1573">
        <v>4426</v>
      </c>
      <c r="G8" s="1573">
        <v>1252</v>
      </c>
      <c r="H8" s="1573"/>
      <c r="I8" s="1574"/>
      <c r="J8" s="1574"/>
      <c r="K8" s="1672">
        <f t="shared" si="0"/>
        <v>1141568</v>
      </c>
      <c r="L8" s="1573">
        <v>803671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289614</v>
      </c>
      <c r="D10" s="1573">
        <v>21811</v>
      </c>
      <c r="E10" s="1573">
        <v>15500</v>
      </c>
      <c r="F10" s="1573">
        <v>11428</v>
      </c>
      <c r="G10" s="1573">
        <v>11895</v>
      </c>
      <c r="H10" s="1573"/>
      <c r="I10" s="1574"/>
      <c r="J10" s="1574"/>
      <c r="K10" s="1672">
        <f t="shared" si="0"/>
        <v>350248</v>
      </c>
      <c r="L10" s="1573">
        <v>465785</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v>87074</v>
      </c>
      <c r="D18" s="1573"/>
      <c r="E18" s="1573"/>
      <c r="F18" s="1573"/>
      <c r="G18" s="1573"/>
      <c r="H18" s="1573"/>
      <c r="I18" s="1574"/>
      <c r="J18" s="1574"/>
      <c r="K18" s="1672">
        <f t="shared" si="0"/>
        <v>87074</v>
      </c>
      <c r="L18" s="1573">
        <v>79080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2091891</v>
      </c>
      <c r="D33" s="1674">
        <f t="shared" ref="D33:L33" si="1">SUM(D5:D32)</f>
        <v>256824</v>
      </c>
      <c r="E33" s="1674">
        <f t="shared" si="1"/>
        <v>693554</v>
      </c>
      <c r="F33" s="1674">
        <f t="shared" si="1"/>
        <v>299050</v>
      </c>
      <c r="G33" s="1674">
        <f t="shared" si="1"/>
        <v>66974</v>
      </c>
      <c r="H33" s="1674">
        <f t="shared" si="1"/>
        <v>0</v>
      </c>
      <c r="I33" s="1674">
        <f t="shared" si="1"/>
        <v>0</v>
      </c>
      <c r="J33" s="1674">
        <f t="shared" si="1"/>
        <v>0</v>
      </c>
      <c r="K33" s="1674">
        <f t="shared" si="1"/>
        <v>3408293</v>
      </c>
      <c r="L33" s="1674">
        <f t="shared" si="1"/>
        <v>3101739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80452</v>
      </c>
      <c r="D36" s="1586">
        <v>9064</v>
      </c>
      <c r="E36" s="1586"/>
      <c r="F36" s="1586">
        <v>10745</v>
      </c>
      <c r="G36" s="1586"/>
      <c r="H36" s="1586"/>
      <c r="I36" s="1574"/>
      <c r="J36" s="1574"/>
      <c r="K36" s="1672">
        <f t="shared" ref="K36:K41" si="2">SUM(C36:J36)</f>
        <v>100261</v>
      </c>
      <c r="L36" s="1573">
        <v>87920</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48494</v>
      </c>
      <c r="D38" s="1573"/>
      <c r="E38" s="1573">
        <v>2549</v>
      </c>
      <c r="F38" s="1573">
        <v>3140</v>
      </c>
      <c r="G38" s="1573"/>
      <c r="H38" s="1573"/>
      <c r="I38" s="1574"/>
      <c r="J38" s="1574"/>
      <c r="K38" s="1672">
        <f t="shared" si="2"/>
        <v>54183</v>
      </c>
      <c r="L38" s="1573">
        <v>36000</v>
      </c>
    </row>
    <row r="39" spans="1:14" x14ac:dyDescent="0.2">
      <c r="A39" s="1274" t="s">
        <v>197</v>
      </c>
      <c r="B39" s="503">
        <v>2140</v>
      </c>
      <c r="C39" s="1573">
        <v>43811</v>
      </c>
      <c r="D39" s="1573"/>
      <c r="E39" s="1573"/>
      <c r="F39" s="1573"/>
      <c r="G39" s="1573"/>
      <c r="H39" s="1573"/>
      <c r="I39" s="1574"/>
      <c r="J39" s="1574"/>
      <c r="K39" s="1672">
        <f t="shared" si="2"/>
        <v>43811</v>
      </c>
      <c r="L39" s="1573">
        <v>41070</v>
      </c>
    </row>
    <row r="40" spans="1:14" x14ac:dyDescent="0.2">
      <c r="A40" s="1274" t="s">
        <v>198</v>
      </c>
      <c r="B40" s="503">
        <v>2150</v>
      </c>
      <c r="C40" s="1573">
        <v>108198</v>
      </c>
      <c r="D40" s="1573"/>
      <c r="E40" s="1573">
        <v>1800</v>
      </c>
      <c r="F40" s="1573"/>
      <c r="G40" s="1573"/>
      <c r="H40" s="1573"/>
      <c r="I40" s="1574"/>
      <c r="J40" s="1574"/>
      <c r="K40" s="1672">
        <f t="shared" si="2"/>
        <v>109998</v>
      </c>
      <c r="L40" s="1573">
        <v>109642</v>
      </c>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280955</v>
      </c>
      <c r="D42" s="1674">
        <f t="shared" ref="D42:L42" si="3">SUM(D36:D41)</f>
        <v>9064</v>
      </c>
      <c r="E42" s="1674">
        <f t="shared" si="3"/>
        <v>4349</v>
      </c>
      <c r="F42" s="1674">
        <f t="shared" si="3"/>
        <v>13885</v>
      </c>
      <c r="G42" s="1674">
        <f t="shared" si="3"/>
        <v>0</v>
      </c>
      <c r="H42" s="1674">
        <f t="shared" si="3"/>
        <v>0</v>
      </c>
      <c r="I42" s="1674">
        <f t="shared" si="3"/>
        <v>0</v>
      </c>
      <c r="J42" s="1674">
        <f t="shared" si="3"/>
        <v>0</v>
      </c>
      <c r="K42" s="1674">
        <f t="shared" si="3"/>
        <v>308253</v>
      </c>
      <c r="L42" s="1674">
        <f t="shared" si="3"/>
        <v>274632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17873</v>
      </c>
      <c r="D44" s="1586">
        <v>9100</v>
      </c>
      <c r="E44" s="1586">
        <v>20755</v>
      </c>
      <c r="F44" s="1586">
        <v>1050</v>
      </c>
      <c r="G44" s="1586"/>
      <c r="H44" s="1586"/>
      <c r="I44" s="1574"/>
      <c r="J44" s="1574"/>
      <c r="K44" s="1678">
        <f>SUM(C44:J44)</f>
        <v>48778</v>
      </c>
      <c r="L44" s="1586">
        <v>67526</v>
      </c>
    </row>
    <row r="45" spans="1:14" x14ac:dyDescent="0.2">
      <c r="A45" s="1274" t="s">
        <v>810</v>
      </c>
      <c r="B45" s="503">
        <v>2220</v>
      </c>
      <c r="C45" s="1573">
        <v>16595</v>
      </c>
      <c r="D45" s="1573"/>
      <c r="E45" s="1573">
        <v>334</v>
      </c>
      <c r="F45" s="1573">
        <v>875</v>
      </c>
      <c r="G45" s="1573"/>
      <c r="H45" s="1573"/>
      <c r="I45" s="1574"/>
      <c r="J45" s="1574"/>
      <c r="K45" s="1678">
        <f>SUM(C45:J45)</f>
        <v>17804</v>
      </c>
      <c r="L45" s="1573">
        <v>26081</v>
      </c>
    </row>
    <row r="46" spans="1:14" x14ac:dyDescent="0.2">
      <c r="A46" s="1274" t="s">
        <v>811</v>
      </c>
      <c r="B46" s="503">
        <v>2230</v>
      </c>
      <c r="C46" s="1573"/>
      <c r="D46" s="1573"/>
      <c r="E46" s="1573"/>
      <c r="F46" s="1573"/>
      <c r="G46" s="1573"/>
      <c r="H46" s="1573"/>
      <c r="I46" s="1574"/>
      <c r="J46" s="1574"/>
      <c r="K46" s="1678">
        <f>SUM(C46:J46)</f>
        <v>0</v>
      </c>
      <c r="L46" s="1573">
        <v>9460</v>
      </c>
    </row>
    <row r="47" spans="1:14" ht="12.75" customHeight="1" thickBot="1" x14ac:dyDescent="0.25">
      <c r="A47" s="1380" t="s">
        <v>557</v>
      </c>
      <c r="B47" s="1381" t="s">
        <v>32</v>
      </c>
      <c r="C47" s="1674">
        <f>SUM(C44:C46)</f>
        <v>34468</v>
      </c>
      <c r="D47" s="1674">
        <f t="shared" ref="D47:K47" si="4">SUM(D44:D46)</f>
        <v>9100</v>
      </c>
      <c r="E47" s="1674">
        <f t="shared" si="4"/>
        <v>21089</v>
      </c>
      <c r="F47" s="1674">
        <f t="shared" si="4"/>
        <v>1925</v>
      </c>
      <c r="G47" s="1674">
        <f t="shared" si="4"/>
        <v>0</v>
      </c>
      <c r="H47" s="1674">
        <f t="shared" si="4"/>
        <v>0</v>
      </c>
      <c r="I47" s="1674">
        <f t="shared" si="4"/>
        <v>0</v>
      </c>
      <c r="J47" s="1674">
        <f t="shared" si="4"/>
        <v>0</v>
      </c>
      <c r="K47" s="1674">
        <f t="shared" si="4"/>
        <v>66582</v>
      </c>
      <c r="L47" s="1674">
        <f>SUM(L44:L46)</f>
        <v>103067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6000</v>
      </c>
      <c r="D49" s="1586"/>
      <c r="E49" s="1586">
        <v>55008</v>
      </c>
      <c r="F49" s="1586"/>
      <c r="G49" s="1586"/>
      <c r="H49" s="1586">
        <v>45393</v>
      </c>
      <c r="I49" s="1574"/>
      <c r="J49" s="1574"/>
      <c r="K49" s="1678">
        <f>SUM(C49:J49)</f>
        <v>106401</v>
      </c>
      <c r="L49" s="1586">
        <v>121850</v>
      </c>
    </row>
    <row r="50" spans="1:14" x14ac:dyDescent="0.2">
      <c r="A50" s="1274" t="s">
        <v>813</v>
      </c>
      <c r="B50" s="503">
        <v>2320</v>
      </c>
      <c r="C50" s="1573">
        <v>152655</v>
      </c>
      <c r="D50" s="1573">
        <v>107</v>
      </c>
      <c r="E50" s="1573"/>
      <c r="F50" s="1573"/>
      <c r="G50" s="1573"/>
      <c r="H50" s="1573">
        <v>131</v>
      </c>
      <c r="I50" s="1574"/>
      <c r="J50" s="1574"/>
      <c r="K50" s="1678">
        <f>SUM(C50:J50)</f>
        <v>152893</v>
      </c>
      <c r="L50" s="1573">
        <v>159993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158655</v>
      </c>
      <c r="D53" s="1674">
        <f t="shared" ref="D53:L53" si="5">SUM(D49:D52)</f>
        <v>107</v>
      </c>
      <c r="E53" s="1674">
        <f t="shared" si="5"/>
        <v>55008</v>
      </c>
      <c r="F53" s="1674">
        <f t="shared" si="5"/>
        <v>0</v>
      </c>
      <c r="G53" s="1674">
        <f t="shared" si="5"/>
        <v>0</v>
      </c>
      <c r="H53" s="1674">
        <f t="shared" si="5"/>
        <v>45524</v>
      </c>
      <c r="I53" s="1674">
        <f t="shared" si="5"/>
        <v>0</v>
      </c>
      <c r="J53" s="1674">
        <f t="shared" si="5"/>
        <v>0</v>
      </c>
      <c r="K53" s="1674">
        <f t="shared" si="5"/>
        <v>259294</v>
      </c>
      <c r="L53" s="1674">
        <f t="shared" si="5"/>
        <v>281843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247703</v>
      </c>
      <c r="D55" s="1586">
        <v>40987</v>
      </c>
      <c r="E55" s="1586">
        <v>3218</v>
      </c>
      <c r="F55" s="1586">
        <v>66639</v>
      </c>
      <c r="G55" s="1586"/>
      <c r="H55" s="1586"/>
      <c r="I55" s="1574"/>
      <c r="J55" s="1574"/>
      <c r="K55" s="1678">
        <f>SUM(C55:J55)</f>
        <v>358547</v>
      </c>
      <c r="L55" s="1586">
        <v>359698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247703</v>
      </c>
      <c r="D57" s="1679">
        <f t="shared" ref="D57:K57" si="6">SUM(D55:D56)</f>
        <v>40987</v>
      </c>
      <c r="E57" s="1679">
        <f t="shared" si="6"/>
        <v>3218</v>
      </c>
      <c r="F57" s="1679">
        <f t="shared" si="6"/>
        <v>66639</v>
      </c>
      <c r="G57" s="1679">
        <f t="shared" si="6"/>
        <v>0</v>
      </c>
      <c r="H57" s="1679">
        <f t="shared" si="6"/>
        <v>0</v>
      </c>
      <c r="I57" s="1679">
        <f t="shared" si="6"/>
        <v>0</v>
      </c>
      <c r="J57" s="1679">
        <f t="shared" si="6"/>
        <v>0</v>
      </c>
      <c r="K57" s="1679">
        <f t="shared" si="6"/>
        <v>358547</v>
      </c>
      <c r="L57" s="1674">
        <f>SUM(L55:L56)</f>
        <v>359698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79726</v>
      </c>
      <c r="D60" s="1573">
        <v>12879</v>
      </c>
      <c r="E60" s="1573">
        <v>15</v>
      </c>
      <c r="F60" s="1573">
        <v>661</v>
      </c>
      <c r="G60" s="1573"/>
      <c r="H60" s="1573"/>
      <c r="I60" s="1574"/>
      <c r="J60" s="1574"/>
      <c r="K60" s="1678">
        <f t="shared" si="7"/>
        <v>93281</v>
      </c>
      <c r="L60" s="1573">
        <v>92633</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51366</v>
      </c>
      <c r="D63" s="1573"/>
      <c r="E63" s="1573"/>
      <c r="F63" s="1573">
        <v>292997</v>
      </c>
      <c r="G63" s="1573"/>
      <c r="H63" s="1573"/>
      <c r="I63" s="1574"/>
      <c r="J63" s="1574"/>
      <c r="K63" s="1678">
        <f t="shared" si="7"/>
        <v>344363</v>
      </c>
      <c r="L63" s="1573">
        <v>393966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131092</v>
      </c>
      <c r="D65" s="1674">
        <f t="shared" ref="D65:L65" si="8">SUM(D59:D64)</f>
        <v>12879</v>
      </c>
      <c r="E65" s="1674">
        <f t="shared" si="8"/>
        <v>15</v>
      </c>
      <c r="F65" s="1674">
        <f t="shared" si="8"/>
        <v>293658</v>
      </c>
      <c r="G65" s="1674">
        <f t="shared" si="8"/>
        <v>0</v>
      </c>
      <c r="H65" s="1674">
        <f t="shared" si="8"/>
        <v>0</v>
      </c>
      <c r="I65" s="1674">
        <f t="shared" si="8"/>
        <v>0</v>
      </c>
      <c r="J65" s="1674">
        <f t="shared" si="8"/>
        <v>0</v>
      </c>
      <c r="K65" s="1674">
        <f t="shared" si="8"/>
        <v>437644</v>
      </c>
      <c r="L65" s="1674">
        <f t="shared" si="8"/>
        <v>486599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852873</v>
      </c>
      <c r="D74" s="1681">
        <f t="shared" ref="D74:K74" si="10">SUM(D42,D47,D53,D57,D65,D72,D73)</f>
        <v>72137</v>
      </c>
      <c r="E74" s="1681">
        <f t="shared" si="10"/>
        <v>83679</v>
      </c>
      <c r="F74" s="1681">
        <f t="shared" si="10"/>
        <v>376107</v>
      </c>
      <c r="G74" s="1681">
        <f t="shared" si="10"/>
        <v>0</v>
      </c>
      <c r="H74" s="1681">
        <f t="shared" si="10"/>
        <v>45524</v>
      </c>
      <c r="I74" s="1681">
        <f t="shared" si="10"/>
        <v>0</v>
      </c>
      <c r="J74" s="1681">
        <f t="shared" si="10"/>
        <v>0</v>
      </c>
      <c r="K74" s="1681">
        <f t="shared" si="10"/>
        <v>1430320</v>
      </c>
      <c r="L74" s="1681">
        <f>SUM(L42,L47,L53,L57,L65,L72,L73)</f>
        <v>1505839</v>
      </c>
    </row>
    <row r="75" spans="1:14" s="254" customFormat="1" ht="15.75" customHeight="1" thickTop="1" thickBot="1" x14ac:dyDescent="0.25">
      <c r="A75" s="1348" t="s">
        <v>47</v>
      </c>
      <c r="B75" s="1349" t="s">
        <v>571</v>
      </c>
      <c r="C75" s="1649"/>
      <c r="D75" s="1649">
        <v>103</v>
      </c>
      <c r="E75" s="1649"/>
      <c r="F75" s="1649">
        <v>2111</v>
      </c>
      <c r="G75" s="1649"/>
      <c r="H75" s="1649"/>
      <c r="I75" s="1627"/>
      <c r="J75" s="1627"/>
      <c r="K75" s="1674">
        <f>SUM(C75:J75)</f>
        <v>2214</v>
      </c>
      <c r="L75" s="1651">
        <v>2369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284024</v>
      </c>
      <c r="F79" s="1673"/>
      <c r="G79" s="1673"/>
      <c r="H79" s="1573"/>
      <c r="I79" s="1582"/>
      <c r="J79" s="1582"/>
      <c r="K79" s="1672">
        <f t="shared" si="11"/>
        <v>284024</v>
      </c>
      <c r="L79" s="1573">
        <v>408576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284024</v>
      </c>
      <c r="F84" s="1673"/>
      <c r="G84" s="1673"/>
      <c r="H84" s="1674">
        <f>SUM(H78:H83)</f>
        <v>0</v>
      </c>
      <c r="I84" s="1582"/>
      <c r="J84" s="1582"/>
      <c r="K84" s="1674">
        <f>SUM(K78:K83)</f>
        <v>284024</v>
      </c>
      <c r="L84" s="1674">
        <f>SUM(L78:L83)</f>
        <v>408576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284024</v>
      </c>
      <c r="F102" s="1673"/>
      <c r="G102" s="1673"/>
      <c r="H102" s="1681">
        <f>SUM(H84,H92,H100,H101)</f>
        <v>0</v>
      </c>
      <c r="I102" s="1582"/>
      <c r="J102" s="1582"/>
      <c r="K102" s="1681">
        <f>SUM(K84,K92,K100,K101)</f>
        <v>284024</v>
      </c>
      <c r="L102" s="1681">
        <f>SUM(L84,L92,L100,L101)</f>
        <v>408576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2944764</v>
      </c>
      <c r="D114" s="1674">
        <f t="shared" ref="D114:K114" si="13">SUM(D33,D74,D75,D102,D112,D113)</f>
        <v>329064</v>
      </c>
      <c r="E114" s="1674">
        <f t="shared" si="13"/>
        <v>1061257</v>
      </c>
      <c r="F114" s="1674">
        <f t="shared" si="13"/>
        <v>677268</v>
      </c>
      <c r="G114" s="1674">
        <f t="shared" si="13"/>
        <v>66974</v>
      </c>
      <c r="H114" s="1674">
        <f>SUM(H33,H74,H75,H102,H112,H113)</f>
        <v>45524</v>
      </c>
      <c r="I114" s="1674">
        <f t="shared" si="13"/>
        <v>0</v>
      </c>
      <c r="J114" s="1674">
        <f t="shared" si="13"/>
        <v>0</v>
      </c>
      <c r="K114" s="1674">
        <f t="shared" si="13"/>
        <v>5124851</v>
      </c>
      <c r="L114" s="1674">
        <f>SUM(L33,L74,L75,L102,L112,L113)</f>
        <v>5018523</v>
      </c>
    </row>
    <row r="115" spans="1:14" ht="13.5" thickTop="1" x14ac:dyDescent="0.2">
      <c r="A115" s="2263" t="s">
        <v>989</v>
      </c>
      <c r="B115" s="2264"/>
      <c r="C115" s="1675"/>
      <c r="D115" s="1675"/>
      <c r="E115" s="1675"/>
      <c r="F115" s="1675"/>
      <c r="G115" s="1675"/>
      <c r="H115" s="1675"/>
      <c r="I115" s="1675"/>
      <c r="J115" s="1675"/>
      <c r="K115" s="1689">
        <f>'Revenues 9-14'!C268-'Expenditures 15-22'!K114</f>
        <v>305495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99424</v>
      </c>
      <c r="D124" s="1573">
        <v>9432</v>
      </c>
      <c r="E124" s="1573">
        <v>112818</v>
      </c>
      <c r="F124" s="1573">
        <v>50297</v>
      </c>
      <c r="G124" s="1573">
        <v>35340</v>
      </c>
      <c r="H124" s="1573"/>
      <c r="I124" s="1574"/>
      <c r="J124" s="1574"/>
      <c r="K124" s="1674">
        <f>SUM(C124:J124)</f>
        <v>307311</v>
      </c>
      <c r="L124" s="1573">
        <v>333933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99424</v>
      </c>
      <c r="D127" s="1674">
        <f t="shared" ref="D127:L127" si="14">SUM(D122:D126)</f>
        <v>9432</v>
      </c>
      <c r="E127" s="1674">
        <f t="shared" si="14"/>
        <v>112818</v>
      </c>
      <c r="F127" s="1674">
        <f t="shared" si="14"/>
        <v>50297</v>
      </c>
      <c r="G127" s="1674">
        <f t="shared" si="14"/>
        <v>35340</v>
      </c>
      <c r="H127" s="1674">
        <f t="shared" si="14"/>
        <v>0</v>
      </c>
      <c r="I127" s="1674">
        <f t="shared" si="14"/>
        <v>0</v>
      </c>
      <c r="J127" s="1674">
        <f t="shared" si="14"/>
        <v>0</v>
      </c>
      <c r="K127" s="1674">
        <f t="shared" si="14"/>
        <v>307311</v>
      </c>
      <c r="L127" s="1674">
        <f t="shared" si="14"/>
        <v>333933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99424</v>
      </c>
      <c r="D129" s="1681">
        <f t="shared" ref="D129:L129" si="15">SUM(D120,D127,D128)</f>
        <v>9432</v>
      </c>
      <c r="E129" s="1681">
        <f t="shared" si="15"/>
        <v>112818</v>
      </c>
      <c r="F129" s="1681">
        <f t="shared" si="15"/>
        <v>50297</v>
      </c>
      <c r="G129" s="1681">
        <f t="shared" si="15"/>
        <v>35340</v>
      </c>
      <c r="H129" s="1681">
        <f t="shared" si="15"/>
        <v>0</v>
      </c>
      <c r="I129" s="1681">
        <f t="shared" si="15"/>
        <v>0</v>
      </c>
      <c r="J129" s="1681">
        <f t="shared" si="15"/>
        <v>0</v>
      </c>
      <c r="K129" s="1681">
        <f t="shared" si="15"/>
        <v>307311</v>
      </c>
      <c r="L129" s="1681">
        <f t="shared" si="15"/>
        <v>333933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99424</v>
      </c>
      <c r="D151" s="1674">
        <f t="shared" ref="D151:K151" si="16">SUM(D129,D130,D139,D149,D150)</f>
        <v>9432</v>
      </c>
      <c r="E151" s="1674">
        <f t="shared" si="16"/>
        <v>112818</v>
      </c>
      <c r="F151" s="1674">
        <f t="shared" si="16"/>
        <v>50297</v>
      </c>
      <c r="G151" s="1674">
        <f t="shared" si="16"/>
        <v>35340</v>
      </c>
      <c r="H151" s="1674">
        <f t="shared" si="16"/>
        <v>0</v>
      </c>
      <c r="I151" s="1674">
        <f t="shared" si="16"/>
        <v>0</v>
      </c>
      <c r="J151" s="1674">
        <f t="shared" si="16"/>
        <v>0</v>
      </c>
      <c r="K151" s="1674">
        <f t="shared" si="16"/>
        <v>307311</v>
      </c>
      <c r="L151" s="1674">
        <f>SUM(L129,L130,L139,L149,L150)</f>
        <v>333933</v>
      </c>
    </row>
    <row r="152" spans="1:14" ht="12.75" customHeight="1" thickTop="1" x14ac:dyDescent="0.2">
      <c r="A152" s="2283" t="s">
        <v>1170</v>
      </c>
      <c r="B152" s="2284"/>
      <c r="C152" s="1675"/>
      <c r="D152" s="1675"/>
      <c r="E152" s="1675"/>
      <c r="F152" s="1675"/>
      <c r="G152" s="1675"/>
      <c r="H152" s="1675"/>
      <c r="I152" s="1675"/>
      <c r="J152" s="1673"/>
      <c r="K152" s="1689">
        <f>'Revenues 9-14'!D268-'Expenditures 15-22'!K151</f>
        <v>121162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138470</v>
      </c>
      <c r="I169" s="1673"/>
      <c r="J169" s="1673"/>
      <c r="K169" s="1672">
        <f>SUM(C169:H169)</f>
        <v>138470</v>
      </c>
      <c r="L169" s="1695">
        <v>62867</v>
      </c>
    </row>
    <row r="170" spans="1:14" ht="33.75" customHeight="1" x14ac:dyDescent="0.2">
      <c r="A170" s="543" t="s">
        <v>1654</v>
      </c>
      <c r="B170" s="545" t="s">
        <v>31</v>
      </c>
      <c r="C170" s="1673"/>
      <c r="D170" s="1673"/>
      <c r="E170" s="1673"/>
      <c r="F170" s="1673"/>
      <c r="G170" s="1673"/>
      <c r="H170" s="1646">
        <v>130000</v>
      </c>
      <c r="I170" s="1673"/>
      <c r="J170" s="1673"/>
      <c r="K170" s="1672">
        <f>SUM(C170:J170)</f>
        <v>130000</v>
      </c>
      <c r="L170" s="1646">
        <v>200000</v>
      </c>
    </row>
    <row r="171" spans="1:14" ht="15.75" customHeight="1" x14ac:dyDescent="0.2">
      <c r="A171" s="507" t="s">
        <v>761</v>
      </c>
      <c r="B171" s="546" t="s">
        <v>84</v>
      </c>
      <c r="C171" s="1673"/>
      <c r="D171" s="1673"/>
      <c r="E171" s="1573"/>
      <c r="F171" s="1673"/>
      <c r="G171" s="1673"/>
      <c r="H171" s="1646">
        <v>122833</v>
      </c>
      <c r="I171" s="1582"/>
      <c r="J171" s="1673"/>
      <c r="K171" s="1672">
        <f>SUM(C171:J171)</f>
        <v>122833</v>
      </c>
      <c r="L171" s="1646"/>
    </row>
    <row r="172" spans="1:14" ht="12.75" customHeight="1" thickBot="1" x14ac:dyDescent="0.25">
      <c r="A172" s="1380" t="s">
        <v>633</v>
      </c>
      <c r="B172" s="1381" t="s">
        <v>489</v>
      </c>
      <c r="C172" s="1673"/>
      <c r="D172" s="1673"/>
      <c r="E172" s="1681">
        <f>SUM(E168,E169,E170,E171)</f>
        <v>0</v>
      </c>
      <c r="F172" s="1673"/>
      <c r="G172" s="1673"/>
      <c r="H172" s="1681">
        <f>SUM(H168,H169,H170,H171)</f>
        <v>391303</v>
      </c>
      <c r="I172" s="1684"/>
      <c r="J172" s="1673"/>
      <c r="K172" s="1681">
        <f>SUM(K168,K169,K170,K171)</f>
        <v>391303</v>
      </c>
      <c r="L172" s="1681">
        <f>SUM(L168,L169,L170,L171)</f>
        <v>262867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391303</v>
      </c>
      <c r="I174" s="1684"/>
      <c r="J174" s="1673"/>
      <c r="K174" s="1681">
        <f>SUM(K160,K172,K173)</f>
        <v>391303</v>
      </c>
      <c r="L174" s="1681">
        <f>SUM(L160,L172,L173)</f>
        <v>262867</v>
      </c>
    </row>
    <row r="175" spans="1:14" ht="13.5" thickTop="1" x14ac:dyDescent="0.2">
      <c r="A175" s="2263" t="s">
        <v>989</v>
      </c>
      <c r="B175" s="2264"/>
      <c r="C175" s="1673"/>
      <c r="D175" s="1673"/>
      <c r="E175" s="1673"/>
      <c r="F175" s="1673"/>
      <c r="G175" s="1673"/>
      <c r="H175" s="1675"/>
      <c r="I175" s="1673"/>
      <c r="J175" s="1673"/>
      <c r="K175" s="1689">
        <f>'Revenues 9-14'!E268-'Expenditures 15-22'!K174</f>
        <v>-120908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18113</v>
      </c>
      <c r="D182" s="1573">
        <v>13</v>
      </c>
      <c r="E182" s="1573">
        <v>623071</v>
      </c>
      <c r="F182" s="1573"/>
      <c r="G182" s="1573"/>
      <c r="H182" s="1573"/>
      <c r="I182" s="1574"/>
      <c r="J182" s="1574"/>
      <c r="K182" s="1672">
        <f>SUM(C182:J182)</f>
        <v>641197</v>
      </c>
      <c r="L182" s="1573">
        <v>615015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18113</v>
      </c>
      <c r="D184" s="1681">
        <f t="shared" ref="D184:J184" si="17">SUM(D180,D182,D183)</f>
        <v>13</v>
      </c>
      <c r="E184" s="1681">
        <f t="shared" si="17"/>
        <v>623071</v>
      </c>
      <c r="F184" s="1681">
        <f t="shared" si="17"/>
        <v>0</v>
      </c>
      <c r="G184" s="1681">
        <f t="shared" si="17"/>
        <v>0</v>
      </c>
      <c r="H184" s="1681">
        <f t="shared" si="17"/>
        <v>0</v>
      </c>
      <c r="I184" s="1681">
        <f t="shared" si="17"/>
        <v>0</v>
      </c>
      <c r="J184" s="1681">
        <f t="shared" si="17"/>
        <v>0</v>
      </c>
      <c r="K184" s="1681">
        <f>SUM(K180,K182,K183)</f>
        <v>641197</v>
      </c>
      <c r="L184" s="1681">
        <f>SUM(L180, L182:L183)</f>
        <v>615015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18113</v>
      </c>
      <c r="D210" s="1674">
        <f>SUM(D184,D185)</f>
        <v>13</v>
      </c>
      <c r="E210" s="1674">
        <f>SUM(E184,E185,E196)</f>
        <v>623071</v>
      </c>
      <c r="F210" s="1674">
        <f>SUM(F184,F185)</f>
        <v>0</v>
      </c>
      <c r="G210" s="1674">
        <f>SUM(G184,G185)</f>
        <v>0</v>
      </c>
      <c r="H210" s="1674">
        <f>SUM(H184,H185,H196,H208,H209)</f>
        <v>0</v>
      </c>
      <c r="I210" s="1674">
        <f>SUM(I184,I185)</f>
        <v>0</v>
      </c>
      <c r="J210" s="1674">
        <f>SUM(J184,J185)</f>
        <v>0</v>
      </c>
      <c r="K210" s="1672">
        <f>SUM(K184,K185,K196,K208,K209)</f>
        <v>641197</v>
      </c>
      <c r="L210" s="1674">
        <f>SUM(L184,L185,L196,L208,L209)</f>
        <v>615015</v>
      </c>
    </row>
    <row r="211" spans="1:14" ht="13.5" thickTop="1" x14ac:dyDescent="0.2">
      <c r="A211" s="2263" t="s">
        <v>989</v>
      </c>
      <c r="B211" s="2264"/>
      <c r="C211" s="1675"/>
      <c r="D211" s="1675"/>
      <c r="E211" s="1675"/>
      <c r="F211" s="1675"/>
      <c r="G211" s="1675"/>
      <c r="H211" s="1675"/>
      <c r="I211" s="1673"/>
      <c r="J211" s="1673"/>
      <c r="K211" s="1689">
        <f>'Revenues 9-14'!F268-'Expenditures 15-22'!K210</f>
        <v>-109410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20485</v>
      </c>
      <c r="E215" s="1673"/>
      <c r="F215" s="1673"/>
      <c r="G215" s="1673"/>
      <c r="H215" s="1673"/>
      <c r="I215" s="1673"/>
      <c r="J215" s="1673"/>
      <c r="K215" s="1672">
        <f>D215</f>
        <v>20485</v>
      </c>
      <c r="L215" s="1573">
        <v>30050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19259</v>
      </c>
      <c r="E217" s="1673"/>
      <c r="F217" s="1673"/>
      <c r="G217" s="1673"/>
      <c r="H217" s="1673"/>
      <c r="I217" s="1673"/>
      <c r="J217" s="1673"/>
      <c r="K217" s="1672">
        <f t="shared" si="19"/>
        <v>19259</v>
      </c>
      <c r="L217" s="1573">
        <v>10150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2219</v>
      </c>
      <c r="E219" s="1673"/>
      <c r="F219" s="1673"/>
      <c r="G219" s="1673"/>
      <c r="H219" s="1673"/>
      <c r="I219" s="1673"/>
      <c r="J219" s="1673"/>
      <c r="K219" s="1672">
        <f t="shared" si="19"/>
        <v>2219</v>
      </c>
      <c r="L219" s="1573">
        <v>5000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v>1666</v>
      </c>
      <c r="E227" s="1673"/>
      <c r="F227" s="1673"/>
      <c r="G227" s="1673"/>
      <c r="H227" s="1673"/>
      <c r="I227" s="1673"/>
      <c r="J227" s="1673"/>
      <c r="K227" s="1672">
        <f t="shared" si="19"/>
        <v>1666</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43629</v>
      </c>
      <c r="E229" s="1673"/>
      <c r="F229" s="1673"/>
      <c r="G229" s="1673"/>
      <c r="H229" s="1673"/>
      <c r="I229" s="1673"/>
      <c r="J229" s="1673"/>
      <c r="K229" s="1674">
        <f>SUM(K215:K228)</f>
        <v>43629</v>
      </c>
      <c r="L229" s="1674">
        <f>SUM(L215:L228)</f>
        <v>45200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1167</v>
      </c>
      <c r="E232" s="1673"/>
      <c r="F232" s="1673"/>
      <c r="G232" s="1673"/>
      <c r="H232" s="1673"/>
      <c r="I232" s="1673"/>
      <c r="J232" s="1673"/>
      <c r="K232" s="1672">
        <f t="shared" ref="K232:K237" si="20">D232</f>
        <v>1167</v>
      </c>
      <c r="L232" s="1573">
        <v>1100</v>
      </c>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7988</v>
      </c>
      <c r="E234" s="1673"/>
      <c r="F234" s="1673"/>
      <c r="G234" s="1673"/>
      <c r="H234" s="1673"/>
      <c r="I234" s="1673"/>
      <c r="J234" s="1673"/>
      <c r="K234" s="1672">
        <f t="shared" si="20"/>
        <v>7988</v>
      </c>
      <c r="L234" s="1573">
        <v>7000</v>
      </c>
    </row>
    <row r="235" spans="1:12" x14ac:dyDescent="0.2">
      <c r="A235" s="1274" t="s">
        <v>197</v>
      </c>
      <c r="B235" s="503">
        <v>2140</v>
      </c>
      <c r="C235" s="1673"/>
      <c r="D235" s="1573">
        <v>635</v>
      </c>
      <c r="E235" s="1673"/>
      <c r="F235" s="1673"/>
      <c r="G235" s="1673"/>
      <c r="H235" s="1673"/>
      <c r="I235" s="1673"/>
      <c r="J235" s="1673"/>
      <c r="K235" s="1672">
        <f t="shared" si="20"/>
        <v>635</v>
      </c>
      <c r="L235" s="1573">
        <v>700</v>
      </c>
    </row>
    <row r="236" spans="1:12" x14ac:dyDescent="0.2">
      <c r="A236" s="1274" t="s">
        <v>198</v>
      </c>
      <c r="B236" s="503">
        <v>2150</v>
      </c>
      <c r="C236" s="1673"/>
      <c r="D236" s="1573">
        <v>1569</v>
      </c>
      <c r="E236" s="1673"/>
      <c r="F236" s="1673"/>
      <c r="G236" s="1673"/>
      <c r="H236" s="1673"/>
      <c r="I236" s="1673"/>
      <c r="J236" s="1673"/>
      <c r="K236" s="1672">
        <f t="shared" si="20"/>
        <v>1569</v>
      </c>
      <c r="L236" s="1573">
        <v>1500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11359</v>
      </c>
      <c r="E238" s="1673"/>
      <c r="F238" s="1673"/>
      <c r="G238" s="1673"/>
      <c r="H238" s="1673"/>
      <c r="I238" s="1673"/>
      <c r="J238" s="1673"/>
      <c r="K238" s="1674">
        <f>SUM(K232:K237)</f>
        <v>11359</v>
      </c>
      <c r="L238" s="1674">
        <f>SUM(L232:L237)</f>
        <v>10300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126</v>
      </c>
      <c r="E240" s="1673"/>
      <c r="F240" s="1673"/>
      <c r="G240" s="1673"/>
      <c r="H240" s="1673"/>
      <c r="I240" s="1673"/>
      <c r="J240" s="1673"/>
      <c r="K240" s="1678">
        <f>D240</f>
        <v>126</v>
      </c>
      <c r="L240" s="1586">
        <v>50</v>
      </c>
    </row>
    <row r="241" spans="1:12" x14ac:dyDescent="0.2">
      <c r="A241" s="1274" t="s">
        <v>810</v>
      </c>
      <c r="B241" s="503">
        <v>2220</v>
      </c>
      <c r="C241" s="1673"/>
      <c r="D241" s="1573">
        <v>3971</v>
      </c>
      <c r="E241" s="1673"/>
      <c r="F241" s="1673"/>
      <c r="G241" s="1673"/>
      <c r="H241" s="1673"/>
      <c r="I241" s="1673"/>
      <c r="J241" s="1673"/>
      <c r="K241" s="1678">
        <f>D241</f>
        <v>3971</v>
      </c>
      <c r="L241" s="1573">
        <v>4400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4097</v>
      </c>
      <c r="E243" s="1673"/>
      <c r="F243" s="1673"/>
      <c r="G243" s="1673"/>
      <c r="H243" s="1673"/>
      <c r="I243" s="1673"/>
      <c r="J243" s="1673"/>
      <c r="K243" s="1674">
        <f>SUM(K240:K242)</f>
        <v>4097</v>
      </c>
      <c r="L243" s="1674">
        <f>SUM(L240:L242)</f>
        <v>4450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1436</v>
      </c>
      <c r="E245" s="1673"/>
      <c r="F245" s="1673"/>
      <c r="G245" s="1673"/>
      <c r="H245" s="1673"/>
      <c r="I245" s="1673"/>
      <c r="J245" s="1673"/>
      <c r="K245" s="1678">
        <f>D245</f>
        <v>1436</v>
      </c>
      <c r="L245" s="1586">
        <v>1150</v>
      </c>
    </row>
    <row r="246" spans="1:12" x14ac:dyDescent="0.2">
      <c r="A246" s="1274" t="s">
        <v>813</v>
      </c>
      <c r="B246" s="503">
        <v>2320</v>
      </c>
      <c r="C246" s="1673"/>
      <c r="D246" s="1573">
        <v>2476</v>
      </c>
      <c r="E246" s="1673"/>
      <c r="F246" s="1673"/>
      <c r="G246" s="1673"/>
      <c r="H246" s="1673"/>
      <c r="I246" s="1673"/>
      <c r="J246" s="1673"/>
      <c r="K246" s="1678">
        <f t="shared" ref="K246:K256" si="21">D246</f>
        <v>2476</v>
      </c>
      <c r="L246" s="1573">
        <v>2500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3912</v>
      </c>
      <c r="E257" s="1673"/>
      <c r="F257" s="1673"/>
      <c r="G257" s="1673"/>
      <c r="H257" s="1673"/>
      <c r="I257" s="1673"/>
      <c r="J257" s="1673"/>
      <c r="K257" s="1674">
        <f>SUM(K245:K256)</f>
        <v>3912</v>
      </c>
      <c r="L257" s="1674">
        <f>SUM(L245:L256)</f>
        <v>3650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17111</v>
      </c>
      <c r="E259" s="1673"/>
      <c r="F259" s="1673"/>
      <c r="G259" s="1673"/>
      <c r="H259" s="1673"/>
      <c r="I259" s="1673"/>
      <c r="J259" s="1673"/>
      <c r="K259" s="1678">
        <f>D259</f>
        <v>17111</v>
      </c>
      <c r="L259" s="1586">
        <v>15931</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17111</v>
      </c>
      <c r="E261" s="1673"/>
      <c r="F261" s="1673"/>
      <c r="G261" s="1673"/>
      <c r="H261" s="1673"/>
      <c r="I261" s="1673"/>
      <c r="J261" s="1673"/>
      <c r="K261" s="1674">
        <f>SUM(K259:K260)</f>
        <v>17111</v>
      </c>
      <c r="L261" s="1674">
        <f>SUM(L259:L260)</f>
        <v>15931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19059</v>
      </c>
      <c r="E264" s="1673"/>
      <c r="F264" s="1673"/>
      <c r="G264" s="1673"/>
      <c r="H264" s="1673"/>
      <c r="I264" s="1673"/>
      <c r="J264" s="1673"/>
      <c r="K264" s="1678">
        <f t="shared" ref="K264:K269" si="22">D264</f>
        <v>19059</v>
      </c>
      <c r="L264" s="1573">
        <v>17600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23299</v>
      </c>
      <c r="E266" s="1673"/>
      <c r="F266" s="1673"/>
      <c r="G266" s="1673"/>
      <c r="H266" s="1673"/>
      <c r="I266" s="1673"/>
      <c r="J266" s="1673"/>
      <c r="K266" s="1678">
        <f t="shared" si="22"/>
        <v>23299</v>
      </c>
      <c r="L266" s="1573">
        <v>18500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8772</v>
      </c>
      <c r="E268" s="1673"/>
      <c r="F268" s="1673"/>
      <c r="G268" s="1673"/>
      <c r="H268" s="1673"/>
      <c r="I268" s="1673"/>
      <c r="J268" s="1673"/>
      <c r="K268" s="1678">
        <f t="shared" si="22"/>
        <v>8772</v>
      </c>
      <c r="L268" s="1573">
        <v>7800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51130</v>
      </c>
      <c r="E270" s="1673"/>
      <c r="F270" s="1673"/>
      <c r="G270" s="1673"/>
      <c r="H270" s="1673"/>
      <c r="I270" s="1673"/>
      <c r="J270" s="1673"/>
      <c r="K270" s="1674">
        <f>SUM(K263:K269)</f>
        <v>51130</v>
      </c>
      <c r="L270" s="1674">
        <f>SUM(L263:L269)</f>
        <v>43900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87609</v>
      </c>
      <c r="E279" s="1673"/>
      <c r="F279" s="1673"/>
      <c r="G279" s="1673"/>
      <c r="H279" s="1673"/>
      <c r="I279" s="1673"/>
      <c r="J279" s="1673"/>
      <c r="K279" s="1681">
        <f>SUM(K238,K243,K257,K261,K270,K277,K278)</f>
        <v>87609</v>
      </c>
      <c r="L279" s="1681">
        <f>SUM(L238,L243,L257,L261,L270,L277,L278)</f>
        <v>78231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131238</v>
      </c>
      <c r="E295" s="1673"/>
      <c r="F295" s="1673"/>
      <c r="G295" s="1673"/>
      <c r="H295" s="1674">
        <f>H293</f>
        <v>0</v>
      </c>
      <c r="I295" s="1673"/>
      <c r="J295" s="1673"/>
      <c r="K295" s="1674">
        <f>SUM(K229,K279,K280,K285,K293,K294)</f>
        <v>131238</v>
      </c>
      <c r="L295" s="1674">
        <f>SUM(L229,L279,L280,L285,L293,L294)</f>
        <v>123431</v>
      </c>
    </row>
    <row r="296" spans="1:14" ht="13.5" thickTop="1" x14ac:dyDescent="0.2">
      <c r="A296" s="2263" t="s">
        <v>989</v>
      </c>
      <c r="B296" s="2264"/>
      <c r="C296" s="1673"/>
      <c r="D296" s="1675"/>
      <c r="E296" s="1673"/>
      <c r="F296" s="1673"/>
      <c r="G296" s="1673"/>
      <c r="H296" s="1707"/>
      <c r="I296" s="1673"/>
      <c r="J296" s="1673"/>
      <c r="K296" s="1689">
        <f>'Revenues 9-14'!G268-'Expenditures 15-22'!K295</f>
        <v>-14518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501303</v>
      </c>
      <c r="H301" s="1573"/>
      <c r="I301" s="1574"/>
      <c r="J301" s="1574"/>
      <c r="K301" s="1672">
        <f>SUM(C301:J301)</f>
        <v>501303</v>
      </c>
      <c r="L301" s="1574">
        <v>1000000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501303</v>
      </c>
      <c r="H303" s="1681">
        <f t="shared" si="23"/>
        <v>0</v>
      </c>
      <c r="I303" s="1681">
        <f t="shared" si="23"/>
        <v>0</v>
      </c>
      <c r="J303" s="1681">
        <f t="shared" si="23"/>
        <v>0</v>
      </c>
      <c r="K303" s="1681">
        <f t="shared" si="23"/>
        <v>501303</v>
      </c>
      <c r="L303" s="1681">
        <f t="shared" si="23"/>
        <v>1000000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501303</v>
      </c>
      <c r="H312" s="1674">
        <f>SUM(H303,H310)</f>
        <v>0</v>
      </c>
      <c r="I312" s="1674">
        <f>SUM(I303)</f>
        <v>0</v>
      </c>
      <c r="J312" s="1674">
        <f>SUM(J303)</f>
        <v>0</v>
      </c>
      <c r="K312" s="1674">
        <f>SUM(K303,K310,K311)</f>
        <v>501303</v>
      </c>
      <c r="L312" s="1674">
        <f>SUM(L303,L310,L311)</f>
        <v>1000000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-222127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 BUDGET TO ACTUAL - REGULATORY BASIS -
FOR THE YEAR ENDING JUNE 30, 2020&amp;R&amp;8Page &amp;P</oddHeader>
    <oddFooter xml:space="preserve">&amp;L&amp;8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terms/"/>
    <ds:schemaRef ds:uri="http://www.w3.org/XML/1998/namespace"/>
    <ds:schemaRef ds:uri="http://schemas.microsoft.com/sharepoint/v3"/>
    <ds:schemaRef ds:uri="http://schemas.microsoft.com/office/2006/metadata/properties"/>
    <ds:schemaRef ds:uri="http://schemas.microsoft.com/office/infopath/2007/PartnerControls"/>
    <ds:schemaRef ds:uri="4d435f69-8686-490b-bd6d-b153bf22ab50"/>
    <ds:schemaRef ds:uri="6ce3111e-7420-4802-b50a-75d4e9a0b980"/>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2020-10-09T15:20:27Z</cp:lastPrinted>
  <dcterms:created xsi:type="dcterms:W3CDTF">2003-10-29T19:06:34Z</dcterms:created>
  <dcterms:modified xsi:type="dcterms:W3CDTF">2020-10-20T21:49:54Z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