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F75ABBD-5EDD-4A54-9601-C00699FE39F6}" xr6:coauthVersionLast="36" xr6:coauthVersionMax="36" xr10:uidLastSave="{00000000-0000-0000-0000-000000000000}"/>
  <bookViews>
    <workbookView xWindow="19095" yWindow="-105" windowWidth="19425" windowHeight="105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Short-Term Long-Term Debt 2 (2)" sheetId="185"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2)" sheetId="189" r:id="rId30"/>
    <sheet name="SEFA(3)" sheetId="188" r:id="rId31"/>
    <sheet name="SEFA(4)" sheetId="187" r:id="rId32"/>
    <sheet name="SEFA(5)" sheetId="190" r:id="rId33"/>
    <sheet name="SEFA(6)" sheetId="186" r:id="rId34"/>
    <sheet name="SEFA NOTES" sheetId="173" r:id="rId35"/>
    <sheet name="SF&amp;QC Sec-1" sheetId="174" r:id="rId36"/>
    <sheet name="SF&amp;QC Sec-2" sheetId="175" r:id="rId37"/>
    <sheet name="SF&amp;QC Sec-2 (2)" sheetId="191" r:id="rId38"/>
    <sheet name="SF&amp;QC Sec-2 (3)" sheetId="192" r:id="rId39"/>
    <sheet name="SF&amp;QC Sec-3" sheetId="176" r:id="rId40"/>
    <sheet name="SSPAF" sheetId="177" r:id="rId41"/>
  </sheets>
  <definedNames>
    <definedName name="_xlnm._FilterDatabase" localSheetId="24" hidden="1">'AFR20'!$A$1:$F$7884</definedName>
    <definedName name="_xlnm.Print_Area" localSheetId="28">' SEFA'!$B$1:$M$46</definedName>
    <definedName name="_xlnm.Print_Area" localSheetId="19">'Itemization 34'!$A$1:$B$31</definedName>
    <definedName name="_xlnm.Print_Area" localSheetId="34">'SEFA NOTES'!$A$1:$F$52</definedName>
    <definedName name="_xlnm.Print_Area" localSheetId="27">'SEFA Reconcile'!$A$1:$E$49</definedName>
    <definedName name="_xlnm.Print_Area" localSheetId="35">'SF&amp;QC Sec-1'!$A$1:$J$63</definedName>
    <definedName name="_xlnm.Print_Area" localSheetId="39">'SF&amp;QC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8">'Expenditures 15-22'!$A:$B,'Expenditures 15-22'!$1:$2</definedName>
    <definedName name="_xlnm.Print_Titles" localSheetId="14">'PCTC-OEPP 27-28'!$1:$5</definedName>
    <definedName name="_xlnm.Print_Titles" localSheetId="7">'Revenues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34">#REF!</definedName>
    <definedName name="SCHADDRS" localSheetId="27">#REF!</definedName>
    <definedName name="SCHADDRS" localSheetId="35">#REF!</definedName>
    <definedName name="SCHADDRS" localSheetId="36">#REF!</definedName>
    <definedName name="SCHADDRS" localSheetId="37">#REF!</definedName>
    <definedName name="SCHADDRS" localSheetId="38">#REF!</definedName>
    <definedName name="SCHADDRS" localSheetId="39">#REF!</definedName>
    <definedName name="SCHADDRS" localSheetId="26">#REF!</definedName>
    <definedName name="SCHADDRS" localSheetId="25">#REF!</definedName>
    <definedName name="SCHADDRS" localSheetId="40">#REF!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34">#REF!</definedName>
    <definedName name="SCHCTY" localSheetId="27">#REF!</definedName>
    <definedName name="SCHCTY" localSheetId="35">#REF!</definedName>
    <definedName name="SCHCTY" localSheetId="36">#REF!</definedName>
    <definedName name="SCHCTY" localSheetId="37">#REF!</definedName>
    <definedName name="SCHCTY" localSheetId="38">#REF!</definedName>
    <definedName name="SCHCTY" localSheetId="39">#REF!</definedName>
    <definedName name="SCHCTY" localSheetId="26">#REF!</definedName>
    <definedName name="SCHCTY" localSheetId="25">#REF!</definedName>
    <definedName name="SCHCTY" localSheetId="40">#REF!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34">#REF!</definedName>
    <definedName name="SCHNMBR" localSheetId="27">#REF!</definedName>
    <definedName name="SCHNMBR" localSheetId="35">#REF!</definedName>
    <definedName name="SCHNMBR" localSheetId="36">#REF!</definedName>
    <definedName name="SCHNMBR" localSheetId="37">#REF!</definedName>
    <definedName name="SCHNMBR" localSheetId="38">#REF!</definedName>
    <definedName name="SCHNMBR" localSheetId="39">#REF!</definedName>
    <definedName name="SCHNMBR" localSheetId="26">#REF!</definedName>
    <definedName name="SCHNMBR" localSheetId="25">#REF!</definedName>
    <definedName name="SCHNMBR" localSheetId="40">#REF!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34">#REF!</definedName>
    <definedName name="SCHNME" localSheetId="27">#REF!</definedName>
    <definedName name="SCHNME" localSheetId="35">#REF!</definedName>
    <definedName name="SCHNME" localSheetId="36">#REF!</definedName>
    <definedName name="SCHNME" localSheetId="37">#REF!</definedName>
    <definedName name="SCHNME" localSheetId="38">#REF!</definedName>
    <definedName name="SCHNME" localSheetId="39">#REF!</definedName>
    <definedName name="SCHNME" localSheetId="26">#REF!</definedName>
    <definedName name="SCHNME" localSheetId="25">#REF!</definedName>
    <definedName name="SCHNME" localSheetId="40">#REF!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34">#REF!</definedName>
    <definedName name="SUPT" localSheetId="27">#REF!</definedName>
    <definedName name="SUPT" localSheetId="35">#REF!</definedName>
    <definedName name="SUPT" localSheetId="36">#REF!</definedName>
    <definedName name="SUPT" localSheetId="37">#REF!</definedName>
    <definedName name="SUPT" localSheetId="38">#REF!</definedName>
    <definedName name="SUPT" localSheetId="39">#REF!</definedName>
    <definedName name="SUPT" localSheetId="26">#REF!</definedName>
    <definedName name="SUPT" localSheetId="25">#REF!</definedName>
    <definedName name="SUPT" localSheetId="40">#REF!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0" i="189" l="1"/>
  <c r="L19" i="189"/>
  <c r="C168" i="5" l="1"/>
  <c r="C32" i="3" l="1"/>
  <c r="F18" i="188" l="1"/>
  <c r="F14" i="188"/>
  <c r="D40" i="171" l="1"/>
  <c r="D14" i="171"/>
  <c r="C265" i="5"/>
  <c r="C10" i="192" l="1"/>
  <c r="C10" i="191"/>
  <c r="D24" i="171" l="1"/>
  <c r="I14" i="190"/>
  <c r="F26" i="190"/>
  <c r="I26" i="190"/>
  <c r="I22" i="190"/>
  <c r="F22" i="190"/>
  <c r="L24" i="190"/>
  <c r="L25" i="190"/>
  <c r="L21" i="190"/>
  <c r="L20" i="190"/>
  <c r="L17" i="190"/>
  <c r="L16" i="190"/>
  <c r="I18" i="190"/>
  <c r="F18" i="190"/>
  <c r="L13" i="190"/>
  <c r="L12" i="190"/>
  <c r="F14" i="190"/>
  <c r="I9" i="190"/>
  <c r="G9" i="190"/>
  <c r="F9" i="190"/>
  <c r="E9" i="190"/>
  <c r="J8" i="190"/>
  <c r="H8" i="190"/>
  <c r="I27" i="187"/>
  <c r="L26" i="187"/>
  <c r="L25" i="187"/>
  <c r="F27" i="187"/>
  <c r="L22" i="187"/>
  <c r="L21" i="187"/>
  <c r="I23" i="187"/>
  <c r="F23" i="187"/>
  <c r="I19" i="187"/>
  <c r="I17" i="186"/>
  <c r="L17" i="186" s="1"/>
  <c r="F17" i="186"/>
  <c r="I13" i="186"/>
  <c r="F13" i="186"/>
  <c r="L15" i="186"/>
  <c r="L16" i="186"/>
  <c r="L12" i="186"/>
  <c r="L11" i="186"/>
  <c r="I15" i="187"/>
  <c r="F19" i="187"/>
  <c r="F15" i="187"/>
  <c r="F22" i="186" l="1"/>
  <c r="I22" i="186"/>
  <c r="I19" i="186"/>
  <c r="F19" i="186"/>
  <c r="I19" i="188"/>
  <c r="F19" i="188"/>
  <c r="I15" i="188" l="1"/>
  <c r="I21" i="188" s="1"/>
  <c r="F15" i="188"/>
  <c r="F21" i="188" s="1"/>
  <c r="I23" i="179"/>
  <c r="F23" i="179"/>
  <c r="I19" i="179"/>
  <c r="F19" i="179"/>
  <c r="I15" i="179"/>
  <c r="F15" i="179"/>
  <c r="L14" i="189"/>
  <c r="L12" i="189"/>
  <c r="I9" i="189"/>
  <c r="G9" i="189"/>
  <c r="F9" i="189"/>
  <c r="E9" i="189"/>
  <c r="J8" i="189"/>
  <c r="H8" i="189"/>
  <c r="L19" i="188"/>
  <c r="L18" i="188"/>
  <c r="L17" i="188"/>
  <c r="L14" i="188"/>
  <c r="L13" i="188"/>
  <c r="I9" i="188"/>
  <c r="G9" i="188"/>
  <c r="F9" i="188"/>
  <c r="E9" i="188"/>
  <c r="J8" i="188"/>
  <c r="H8" i="188"/>
  <c r="L18" i="187"/>
  <c r="L17" i="187"/>
  <c r="L14" i="187"/>
  <c r="L13" i="187"/>
  <c r="I9" i="187"/>
  <c r="G9" i="187"/>
  <c r="F9" i="187"/>
  <c r="E9" i="187"/>
  <c r="J8" i="187"/>
  <c r="H8" i="187"/>
  <c r="I9" i="186"/>
  <c r="G9" i="186"/>
  <c r="F9" i="186"/>
  <c r="E9" i="186"/>
  <c r="J8" i="186"/>
  <c r="H8" i="186"/>
  <c r="F16" i="189" l="1"/>
  <c r="F23" i="189" s="1"/>
  <c r="I16" i="189"/>
  <c r="I23" i="189" s="1"/>
  <c r="I27" i="186" l="1"/>
  <c r="I24" i="186"/>
  <c r="F27" i="186"/>
  <c r="F24" i="186"/>
  <c r="D35" i="171"/>
  <c r="D45" i="174"/>
  <c r="M17" i="3"/>
  <c r="K9" i="12" l="1"/>
  <c r="K7" i="12"/>
  <c r="H5" i="12"/>
  <c r="J49" i="185"/>
  <c r="H49" i="185"/>
  <c r="G49" i="185"/>
  <c r="F49" i="185"/>
  <c r="E49" i="185"/>
  <c r="C49" i="185"/>
  <c r="I48" i="185"/>
  <c r="I47" i="185"/>
  <c r="I46" i="185"/>
  <c r="I45" i="185"/>
  <c r="I44" i="185"/>
  <c r="I43" i="185"/>
  <c r="I42" i="185"/>
  <c r="I41" i="185"/>
  <c r="I40" i="185"/>
  <c r="I39" i="185"/>
  <c r="I38" i="185"/>
  <c r="I37" i="185"/>
  <c r="I36" i="185"/>
  <c r="I35" i="185"/>
  <c r="I34" i="185"/>
  <c r="I33" i="185"/>
  <c r="I32" i="185"/>
  <c r="I31" i="185"/>
  <c r="I30" i="185"/>
  <c r="H30" i="185"/>
  <c r="F30" i="185"/>
  <c r="E30" i="185"/>
  <c r="F27" i="185"/>
  <c r="F25" i="185"/>
  <c r="F23" i="185"/>
  <c r="E21" i="185"/>
  <c r="D21" i="185"/>
  <c r="C21" i="185"/>
  <c r="F20" i="185"/>
  <c r="F19" i="185"/>
  <c r="F18" i="185"/>
  <c r="F17" i="185"/>
  <c r="E15" i="185"/>
  <c r="D15" i="185"/>
  <c r="C15" i="185"/>
  <c r="F14" i="185"/>
  <c r="F13" i="185"/>
  <c r="F12" i="185"/>
  <c r="F11" i="185"/>
  <c r="F10" i="185"/>
  <c r="F9" i="185"/>
  <c r="F8" i="185"/>
  <c r="F7" i="185"/>
  <c r="F6" i="185"/>
  <c r="F4" i="185"/>
  <c r="F2" i="185"/>
  <c r="E2" i="185"/>
  <c r="D2" i="185"/>
  <c r="C2" i="185"/>
  <c r="F21" i="185" l="1"/>
  <c r="F15" i="185"/>
  <c r="I49" i="185"/>
  <c r="L19" i="29" l="1"/>
  <c r="I45" i="29" l="1"/>
  <c r="C38" i="3"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5" i="183" l="1"/>
  <c r="F144" i="183"/>
  <c r="F143" i="183"/>
  <c r="F142" i="183"/>
  <c r="F141" i="183"/>
  <c r="F140" i="183"/>
  <c r="F139" i="183"/>
  <c r="F138" i="183"/>
  <c r="F137" i="183"/>
  <c r="F136" i="183"/>
  <c r="F135" i="183"/>
  <c r="F134" i="183"/>
  <c r="F133" i="183"/>
  <c r="F132" i="183"/>
  <c r="F131" i="183"/>
  <c r="F130" i="183"/>
  <c r="F129" i="183"/>
  <c r="F128"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4" i="183"/>
  <c r="F33" i="183"/>
  <c r="F32" i="183"/>
  <c r="F31" i="183"/>
  <c r="F30" i="183"/>
  <c r="F29" i="183"/>
  <c r="F28" i="183"/>
  <c r="F27" i="183"/>
  <c r="F26" i="183"/>
  <c r="F25" i="183"/>
  <c r="F24" i="183"/>
  <c r="F23" i="183"/>
  <c r="F22" i="183"/>
  <c r="F21" i="183"/>
  <c r="F20" i="183"/>
  <c r="F19" i="183"/>
  <c r="E145" i="183"/>
  <c r="E144" i="183"/>
  <c r="E143" i="183"/>
  <c r="E142" i="183"/>
  <c r="E141" i="183"/>
  <c r="E140" i="183"/>
  <c r="E139" i="183"/>
  <c r="E138" i="183"/>
  <c r="E137" i="183"/>
  <c r="E136" i="183"/>
  <c r="E135" i="183"/>
  <c r="E134" i="183"/>
  <c r="E133" i="183"/>
  <c r="E132" i="183"/>
  <c r="E131" i="183"/>
  <c r="E130" i="183"/>
  <c r="E129" i="183"/>
  <c r="E128"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4" i="183"/>
  <c r="E33" i="183"/>
  <c r="E32" i="183"/>
  <c r="E31" i="183"/>
  <c r="E30" i="183"/>
  <c r="E29" i="183"/>
  <c r="E28" i="183"/>
  <c r="E27" i="183"/>
  <c r="E26" i="183"/>
  <c r="E25" i="183"/>
  <c r="E24" i="183"/>
  <c r="E23" i="183"/>
  <c r="E22" i="183"/>
  <c r="E21" i="183"/>
  <c r="E20" i="183"/>
  <c r="E19" i="183"/>
  <c r="B7885" i="106" l="1"/>
  <c r="D7885" i="106" s="1"/>
  <c r="B7884" i="106"/>
  <c r="D7884" i="106" s="1"/>
  <c r="B7883" i="106"/>
  <c r="D7883" i="106" s="1"/>
  <c r="B7882" i="106"/>
  <c r="D7882" i="106" s="1"/>
  <c r="B11" i="7" l="1"/>
  <c r="D7836" i="106" l="1"/>
  <c r="J88" i="28" l="1"/>
  <c r="J85" i="28"/>
  <c r="J90" i="28" l="1"/>
  <c r="B7819" i="106"/>
  <c r="D7819" i="106" s="1"/>
  <c r="B7818" i="106"/>
  <c r="D7818" i="106" s="1"/>
  <c r="D146" i="183" l="1"/>
  <c r="A15" i="183"/>
  <c r="D82" i="36" l="1"/>
  <c r="F146" i="183"/>
  <c r="E14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92" l="1"/>
  <c r="B4" i="191"/>
  <c r="B4" i="190"/>
  <c r="B4" i="188"/>
  <c r="B4" i="187"/>
  <c r="B4" i="189"/>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2" i="179" l="1"/>
  <c r="L21" i="179"/>
  <c r="L19" i="179"/>
  <c r="L18" i="179"/>
  <c r="L17" i="179"/>
  <c r="L14" i="179"/>
  <c r="L13" i="179"/>
  <c r="D12"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2" l="1"/>
  <c r="B1" i="191"/>
  <c r="B2" i="192"/>
  <c r="B2" i="191"/>
  <c r="B1" i="190"/>
  <c r="B1" i="188"/>
  <c r="B1" i="186"/>
  <c r="B1" i="187"/>
  <c r="B1" i="189"/>
  <c r="B2" i="179"/>
  <c r="B2" i="190"/>
  <c r="B2" i="186"/>
  <c r="B2" i="188"/>
  <c r="B2" i="187"/>
  <c r="B2" i="189"/>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B7719" i="106" s="1"/>
  <c r="D7719"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77" i="127"/>
  <c r="B78" i="127"/>
  <c r="E27" i="108"/>
  <c r="G27" i="108"/>
  <c r="F36" i="108"/>
  <c r="G28"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G39" i="108" l="1"/>
  <c r="F71" i="34"/>
  <c r="F67" i="34"/>
  <c r="G26" i="108"/>
  <c r="F37" i="34"/>
  <c r="B7829" i="106" s="1"/>
  <c r="D7829" i="106" s="1"/>
  <c r="B7047" i="106"/>
  <c r="D7047" i="106" s="1"/>
  <c r="F42" i="34"/>
  <c r="B7076" i="106"/>
  <c r="D7076" i="106" s="1"/>
  <c r="F36" i="34"/>
  <c r="B7828" i="106" s="1"/>
  <c r="D7828" i="106" s="1"/>
  <c r="B2724" i="106"/>
  <c r="D2724" i="106" s="1"/>
  <c r="J49" i="8"/>
  <c r="B4172" i="106" s="1"/>
  <c r="D4172" i="106" s="1"/>
  <c r="E34" i="108"/>
  <c r="F70" i="34"/>
  <c r="B6289" i="106"/>
  <c r="D6289" i="106" s="1"/>
  <c r="F69" i="34"/>
  <c r="B6995" i="106"/>
  <c r="D6995" i="106" s="1"/>
  <c r="B6871" i="106"/>
  <c r="D6871" i="106" s="1"/>
  <c r="K14" i="12"/>
  <c r="D24" i="37"/>
  <c r="B4270" i="106" s="1"/>
  <c r="D4270" i="106" s="1"/>
  <c r="D69" i="36"/>
  <c r="D68" i="36"/>
  <c r="G30" i="108"/>
  <c r="H365" i="29"/>
  <c r="B7242" i="106" s="1"/>
  <c r="D7242" i="106" s="1"/>
  <c r="L22" i="37"/>
  <c r="F34" i="34"/>
  <c r="B7826" i="106" s="1"/>
  <c r="D7826" i="106" s="1"/>
  <c r="F77" i="4"/>
  <c r="B3255" i="106" s="1"/>
  <c r="D3255" i="106" s="1"/>
  <c r="J129" i="29"/>
  <c r="B7038" i="106" s="1"/>
  <c r="D7038" i="106" s="1"/>
  <c r="I129" i="29"/>
  <c r="B7037" i="106" s="1"/>
  <c r="D7037" i="106" s="1"/>
  <c r="H342" i="29"/>
  <c r="B7221" i="106" s="1"/>
  <c r="D7221" i="106" s="1"/>
  <c r="H15" i="184"/>
  <c r="H28" i="118"/>
  <c r="B7198" i="106"/>
  <c r="D7198" i="106" s="1"/>
  <c r="E65" i="184"/>
  <c r="N65" i="184" s="1"/>
  <c r="B7162" i="106"/>
  <c r="D7162" i="106" s="1"/>
  <c r="E61" i="184"/>
  <c r="N61" i="184" s="1"/>
  <c r="B7126" i="106"/>
  <c r="D7126" i="106" s="1"/>
  <c r="E57" i="184"/>
  <c r="H12" i="184"/>
  <c r="B7189" i="106"/>
  <c r="D7189" i="106" s="1"/>
  <c r="E64" i="184"/>
  <c r="N64" i="184" s="1"/>
  <c r="B7153" i="106"/>
  <c r="D7153" i="106" s="1"/>
  <c r="E60" i="184"/>
  <c r="N60" i="184" s="1"/>
  <c r="B7705" i="106"/>
  <c r="D7705" i="106" s="1"/>
  <c r="E67" i="184"/>
  <c r="N67" i="184" s="1"/>
  <c r="B7180" i="106"/>
  <c r="D7180" i="106" s="1"/>
  <c r="E63" i="184"/>
  <c r="N63" i="184" s="1"/>
  <c r="I210" i="29"/>
  <c r="B7071" i="106" s="1"/>
  <c r="D7071" i="106" s="1"/>
  <c r="D31" i="108"/>
  <c r="E16" i="184"/>
  <c r="H16" i="184" s="1"/>
  <c r="B7696" i="106"/>
  <c r="D7696" i="106" s="1"/>
  <c r="E66" i="184"/>
  <c r="N66" i="184" s="1"/>
  <c r="B7171" i="106"/>
  <c r="D7171" i="106" s="1"/>
  <c r="E62" i="184"/>
  <c r="N62" i="184" s="1"/>
  <c r="B7135" i="106"/>
  <c r="D7135" i="106" s="1"/>
  <c r="E58" i="184"/>
  <c r="N58" i="184" s="1"/>
  <c r="G33" i="108"/>
  <c r="E17" i="184"/>
  <c r="H17" i="184" s="1"/>
  <c r="D22" i="37"/>
  <c r="C342" i="29"/>
  <c r="B7216" i="106" s="1"/>
  <c r="D7216" i="106" s="1"/>
  <c r="J210" i="29"/>
  <c r="B7072" i="106" s="1"/>
  <c r="D7072" i="106" s="1"/>
  <c r="C129" i="29"/>
  <c r="C151" i="29" s="1"/>
  <c r="B1226" i="106" s="1"/>
  <c r="D1226" i="106" s="1"/>
  <c r="C352" i="29"/>
  <c r="C367" i="29" s="1"/>
  <c r="B3622" i="106" s="1"/>
  <c r="D3622" i="106" s="1"/>
  <c r="H76" i="4"/>
  <c r="B3298" i="106" s="1"/>
  <c r="D3298" i="106" s="1"/>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81" i="106" l="1"/>
  <c r="D1381" i="106" s="1"/>
  <c r="N22" i="3"/>
  <c r="B283" i="106" s="1"/>
  <c r="D283" i="106" s="1"/>
  <c r="K77" i="4"/>
  <c r="B3587" i="106" s="1"/>
  <c r="D3587" i="106" s="1"/>
  <c r="B7235" i="106"/>
  <c r="D7235" i="106" s="1"/>
  <c r="K23" i="12"/>
  <c r="B7721" i="106"/>
  <c r="D7721" i="106" s="1"/>
  <c r="K365" i="29"/>
  <c r="K16" i="4" s="1"/>
  <c r="J151" i="29"/>
  <c r="B7052" i="106" s="1"/>
  <c r="D7052" i="106" s="1"/>
  <c r="B1225" i="106"/>
  <c r="D1225" i="106" s="1"/>
  <c r="I151" i="29"/>
  <c r="F59" i="34" s="1"/>
  <c r="B7215" i="106"/>
  <c r="D7215" i="106" s="1"/>
  <c r="B5527" i="106"/>
  <c r="D5527" i="106" s="1"/>
  <c r="I7" i="4"/>
  <c r="B4444" i="106" s="1"/>
  <c r="D4444" i="106" s="1"/>
  <c r="L16" i="11"/>
  <c r="B2061" i="106" s="1"/>
  <c r="D2061" i="106" s="1"/>
  <c r="B1266" i="106"/>
  <c r="D1266" i="106" s="1"/>
  <c r="B3621" i="106"/>
  <c r="D3621" i="106" s="1"/>
  <c r="D44" i="36"/>
  <c r="B1328" i="106"/>
  <c r="D1328" i="106" s="1"/>
  <c r="H77" i="4"/>
  <c r="B3299" i="106" s="1"/>
  <c r="D3299" i="106" s="1"/>
  <c r="F66" i="34"/>
  <c r="K28" i="118"/>
  <c r="O27" i="118" s="1"/>
  <c r="O29" i="118" s="1"/>
  <c r="F41" i="108"/>
  <c r="G43" i="108" s="1"/>
  <c r="E19" i="184"/>
  <c r="H19" i="184"/>
  <c r="L20" i="184" s="1"/>
  <c r="B7220" i="106"/>
  <c r="D7220" i="106" s="1"/>
  <c r="F75" i="34"/>
  <c r="B7886" i="106" s="1"/>
  <c r="D7886" i="106" s="1"/>
  <c r="N57" i="184"/>
  <c r="N68" i="184" s="1"/>
  <c r="E68" i="184"/>
  <c r="E367" i="29"/>
  <c r="B3636" i="106" s="1"/>
  <c r="D3636" i="106" s="1"/>
  <c r="B3635" i="106"/>
  <c r="D3635" i="106" s="1"/>
  <c r="B7222" i="106"/>
  <c r="D7222" i="106" s="1"/>
  <c r="F76" i="34"/>
  <c r="B7887" i="106" s="1"/>
  <c r="D7887" i="106" s="1"/>
  <c r="G170" i="5"/>
  <c r="B5778" i="106" s="1"/>
  <c r="D5778" i="106" s="1"/>
  <c r="K342" i="29"/>
  <c r="F13" i="34" s="1"/>
  <c r="L114" i="29"/>
  <c r="B6216" i="106"/>
  <c r="D6216" i="106" s="1"/>
  <c r="N23" i="3"/>
  <c r="B284" i="106" s="1"/>
  <c r="D284"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K367" i="29"/>
  <c r="B3678" i="106" s="1"/>
  <c r="D3678" i="106" s="1"/>
  <c r="B7243" i="106"/>
  <c r="D7243" i="106" s="1"/>
  <c r="B7800" i="106"/>
  <c r="D7800" i="106" s="1"/>
  <c r="K24" i="12"/>
  <c r="B7224" i="106"/>
  <c r="D7224" i="106" s="1"/>
  <c r="B1145" i="106"/>
  <c r="D1145" i="106" s="1"/>
  <c r="G6" i="4"/>
  <c r="B2604" i="106" s="1"/>
  <c r="D260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F8" i="4"/>
  <c r="F10" i="4" s="1"/>
  <c r="B4125" i="106" s="1"/>
  <c r="D4125" i="106" s="1"/>
  <c r="K17" i="4"/>
  <c r="K20" i="4" s="1"/>
  <c r="K26" i="12"/>
  <c r="B7743" i="106" s="1"/>
  <c r="D7743" i="106" s="1"/>
  <c r="B7733" i="106"/>
  <c r="D7733" i="106" s="1"/>
  <c r="B6223" i="106"/>
  <c r="D6223" i="106" s="1"/>
  <c r="J20" i="4"/>
  <c r="B6230" i="106" s="1"/>
  <c r="D6230" i="106" s="1"/>
  <c r="F77" i="34"/>
  <c r="B7834" i="106" s="1"/>
  <c r="D7834"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D8" i="146"/>
  <c r="B2595" i="106"/>
  <c r="D2595" i="106" s="1"/>
  <c r="J78" i="4"/>
  <c r="J81"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8" i="146" l="1"/>
  <c r="D10" i="146"/>
  <c r="B6263" i="106"/>
  <c r="D6263"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<sst xmlns="http://schemas.openxmlformats.org/spreadsheetml/2006/main" count="5670" uniqueCount="2207">
  <si>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</si>
  <si>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</si>
  <si>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</si>
  <si>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</si>
  <si>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</si>
  <si>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</si>
  <si>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</si>
  <si>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</si>
  <si>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</si>
  <si>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</si>
  <si>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</si>
  <si>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</si>
  <si>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</si>
  <si>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</si>
  <si>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</si>
  <si>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</si>
  <si>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</si>
  <si>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</si>
  <si>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</si>
  <si>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</si>
  <si>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</si>
  <si>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</si>
  <si>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</si>
  <si>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</si>
  <si>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</si>
  <si>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</si>
  <si>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</si>
  <si>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</si>
  <si>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</si>
  <si>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</si>
  <si>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</si>
  <si>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</si>
  <si>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</si>
  <si>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</si>
  <si>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</si>
  <si>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</si>
  <si>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</si>
  <si>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</si>
  <si>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</si>
  <si>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</si>
  <si>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</si>
  <si>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</si>
  <si>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</si>
  <si>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</si>
  <si>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</si>
  <si>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</si>
  <si>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</si>
  <si>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</si>
  <si>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</si>
  <si>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</si>
  <si>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</si>
  <si>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</si>
  <si>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</si>
  <si>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</si>
  <si>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</si>
  <si>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</si>
  <si>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</si>
  <si>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</si>
  <si>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</si>
  <si>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</si>
  <si>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</si>
  <si>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</si>
  <si>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</si>
  <si>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</si>
  <si>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</si>
  <si>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</si>
  <si>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</si>
  <si>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</si>
  <si>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</si>
  <si>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</si>
  <si>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</si>
  <si>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</si>
  <si>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</si>
  <si>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</si>
  <si>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</si>
  <si>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</si>
  <si>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</si>
  <si>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</si>
  <si>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</si>
  <si>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</si>
  <si>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</si>
  <si>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</si>
  <si>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</si>
  <si>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</si>
  <si>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</si>
  <si>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</si>
  <si>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</si>
  <si>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</si>
  <si>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</si>
  <si>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</si>
  <si>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</si>
  <si>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</si>
  <si>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</si>
  <si>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</si>
  <si>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</si>
  <si>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</si>
  <si>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</si>
  <si>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</si>
  <si>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</si>
  <si>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</si>
  <si>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</si>
  <si>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</si>
  <si>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</si>
  <si>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</si>
  <si>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</si>
  <si>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</si>
  <si>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</si>
  <si>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</si>
  <si>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</si>
  <si>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</si>
  <si>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</si>
  <si>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</si>
  <si>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</si>
  <si>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</si>
  <si>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</si>
  <si>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</si>
  <si>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</si>
  <si>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</si>
  <si>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</si>
  <si>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</si>
  <si>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</si>
  <si>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</si>
  <si>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</si>
  <si>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</si>
  <si>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</si>
  <si>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</si>
  <si>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</si>
  <si>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</si>
  <si>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</si>
  <si>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</si>
  <si>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</si>
  <si>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</si>
  <si>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</si>
  <si>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</si>
  <si>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</si>
  <si>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</si>
  <si>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</si>
  <si>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</si>
  <si>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</si>
  <si>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</si>
  <si>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</si>
  <si>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</si>
  <si>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</si>
  <si>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</si>
  <si>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</si>
  <si>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</si>
  <si>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</si>
  <si>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</si>
  <si>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</si>
  <si>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</si>
  <si>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</si>
  <si>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</si>
  <si>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</si>
  <si>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</si>
  <si>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</si>
  <si>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</si>
  <si>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</si>
  <si>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</si>
  <si>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</si>
  <si>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</si>
  <si>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</si>
  <si>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</si>
  <si>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</si>
  <si>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</si>
  <si>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</si>
  <si>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</si>
  <si>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</si>
  <si>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</si>
  <si>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</si>
  <si>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</si>
  <si>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</si>
  <si>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</si>
  <si>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</si>
  <si>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</si>
  <si>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</si>
  <si>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</si>
  <si>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</si>
  <si>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</si>
  <si>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</si>
  <si>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</si>
  <si>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</si>
  <si>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</si>
  <si>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</si>
  <si>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</si>
  <si>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</si>
  <si>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</si>
  <si>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</si>
  <si>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</si>
  <si>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</si>
  <si>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</si>
  <si>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</si>
  <si>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</si>
  <si>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</si>
  <si>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</si>
  <si>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</si>
  <si>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</si>
  <si>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</si>
  <si>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</si>
  <si>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</si>
  <si>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</si>
  <si>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</si>
  <si>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</si>
  <si>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</si>
  <si>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</si>
  <si>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</si>
  <si>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</si>
  <si>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</si>
  <si>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</si>
  <si>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</si>
  <si>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</si>
  <si>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</si>
  <si>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</si>
  <si>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</si>
  <si>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</si>
  <si>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</si>
  <si>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</si>
  <si>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</si>
  <si>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</si>
  <si>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</si>
  <si>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</si>
  <si>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</si>
  <si>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</si>
  <si>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</si>
  <si>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</si>
  <si>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</si>
  <si>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</si>
  <si>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</si>
  <si>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</si>
  <si>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</si>
  <si>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</si>
  <si>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</si>
  <si>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</si>
  <si>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</si>
  <si>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</si>
  <si>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</si>
  <si>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</si>
  <si>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</si>
  <si>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</si>
  <si>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</si>
  <si>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</si>
  <si>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</si>
  <si>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</si>
  <si>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</si>
  <si>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</si>
  <si>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</si>
  <si>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</si>
  <si>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</si>
  <si>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</si>
  <si>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</si>
  <si>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</si>
  <si>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</si>
  <si>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</si>
  <si>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</si>
  <si>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</si>
  <si>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</si>
  <si>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</si>
  <si>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</si>
  <si>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</si>
  <si>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</si>
  <si>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</si>
  <si>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</si>
  <si>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</si>
  <si>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</si>
  <si>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</si>
  <si>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</si>
  <si>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</si>
  <si>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</si>
  <si>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</si>
  <si>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</si>
  <si>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</si>
  <si>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</si>
  <si>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</si>
  <si>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</si>
  <si>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</si>
  <si>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</si>
  <si>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</si>
  <si>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</si>
  <si>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</si>
  <si>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</si>
  <si>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</si>
  <si>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</si>
  <si>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</si>
  <si>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</si>
  <si>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</si>
  <si>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</si>
  <si>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</si>
  <si>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</si>
  <si>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</si>
  <si>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</si>
  <si>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</si>
  <si>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</si>
  <si>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</si>
  <si>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</si>
  <si>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</si>
  <si>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</si>
  <si>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</si>
  <si>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</si>
  <si>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</si>
  <si>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</si>
  <si>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</si>
  <si>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</si>
  <si>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</si>
  <si>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</si>
  <si>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</si>
  <si>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</si>
  <si>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</si>
  <si>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</si>
  <si>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</si>
  <si>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</si>
  <si>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</si>
  <si>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</si>
  <si>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</si>
  <si>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</si>
  <si>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</si>
  <si>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</si>
  <si>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</si>
  <si>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</si>
  <si>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</si>
  <si>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</si>
  <si>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</si>
  <si>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</si>
  <si>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</si>
  <si>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</si>
  <si>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</si>
  <si>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</si>
  <si>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</si>
  <si>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</si>
  <si>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</si>
  <si>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</si>
  <si>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</si>
  <si>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</si>
  <si>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</si>
  <si>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</si>
  <si>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</si>
  <si>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</si>
  <si>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</si>
  <si>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</si>
  <si>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</si>
  <si>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</si>
  <si>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</si>
  <si>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</si>
  <si>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</si>
  <si>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</si>
  <si>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</si>
  <si>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</si>
  <si>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</si>
  <si>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</si>
  <si>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</si>
  <si>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</si>
  <si>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</si>
  <si>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</si>
  <si>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</si>
  <si>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</si>
  <si>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</si>
  <si>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</si>
  <si>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</si>
  <si>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</si>
  <si>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</si>
  <si>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</si>
  <si>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</si>
  <si>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</si>
  <si>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</si>
  <si>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</si>
  <si>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</si>
  <si>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</si>
  <si>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</si>
  <si>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</si>
  <si>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</si>
  <si>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</si>
  <si>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</si>
  <si>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</si>
  <si>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</si>
  <si>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</si>
  <si>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</si>
  <si>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</si>
  <si>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</si>
  <si>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</si>
  <si>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</si>
  <si>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</si>
  <si>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</si>
  <si>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</si>
  <si>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</si>
  <si>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</si>
  <si>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</si>
  <si>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</si>
  <si>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</si>
  <si>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</si>
  <si>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</si>
  <si>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</si>
  <si>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</si>
  <si>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</si>
  <si>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</si>
  <si>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</si>
  <si>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</si>
  <si>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</si>
  <si>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</si>
  <si>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</si>
  <si>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</si>
  <si>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</si>
  <si>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</si>
  <si>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</si>
  <si>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</si>
  <si>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</si>
  <si>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</si>
  <si>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</si>
  <si>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</si>
  <si>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</si>
  <si>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</si>
  <si>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</si>
  <si>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</si>
  <si>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</si>
  <si>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</si>
  <si>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</si>
  <si>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</si>
  <si>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</si>
  <si>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</si>
  <si>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</si>
  <si>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</si>
  <si>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</si>
  <si>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</si>
  <si>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</si>
  <si>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</si>
  <si>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</si>
  <si>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</si>
  <si>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</si>
  <si>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</si>
  <si>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</si>
  <si>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</si>
  <si>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</si>
  <si>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</si>
  <si>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</si>
  <si>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</si>
  <si>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</si>
  <si>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</si>
  <si>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</si>
  <si>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</si>
  <si>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</si>
  <si>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</si>
  <si>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</si>
  <si>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</si>
  <si>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</si>
  <si>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</si>
  <si>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</si>
  <si>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</si>
  <si>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</si>
  <si>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</si>
  <si>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</si>
  <si>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</si>
  <si>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</si>
  <si>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</si>
  <si>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</si>
  <si>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</si>
  <si>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</si>
  <si>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</si>
  <si>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</si>
  <si>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</si>
  <si>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</si>
  <si>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</si>
  <si>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</si>
  <si>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</si>
  <si>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</si>
  <si>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</si>
  <si>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</si>
  <si>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</si>
  <si>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</si>
  <si>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</si>
  <si>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</si>
  <si>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</si>
  <si>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</si>
  <si>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</si>
  <si>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</si>
  <si>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</si>
  <si>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</si>
  <si>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</si>
  <si>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</si>
  <si>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</si>
  <si>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</si>
  <si>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</si>
  <si>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</si>
  <si>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</si>
  <si>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</si>
  <si>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</si>
  <si>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</si>
  <si>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</si>
  <si>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</si>
  <si>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</si>
  <si>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</si>
  <si>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</si>
  <si>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</si>
  <si>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</si>
  <si>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</si>
  <si>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</si>
  <si>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</si>
  <si>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</si>
  <si>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</si>
  <si>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</si>
  <si>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</si>
  <si>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</si>
  <si>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</si>
  <si>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</si>
  <si>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</si>
  <si>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</si>
  <si>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</si>
  <si>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</si>
  <si>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</si>
  <si>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</si>
  <si>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</si>
  <si>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</si>
  <si>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</si>
  <si>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</si>
  <si>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</si>
  <si>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</si>
  <si>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</si>
  <si>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</si>
  <si>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</si>
  <si>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</si>
  <si>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</si>
  <si>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</si>
  <si>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</si>
  <si>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</si>
  <si>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</si>
  <si>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</si>
  <si>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</si>
  <si>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</si>
  <si>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</si>
  <si>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</si>
  <si>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</si>
  <si>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</si>
  <si>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</si>
  <si>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</si>
  <si>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</si>
  <si>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</si>
  <si>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</si>
  <si>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</si>
  <si>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</si>
  <si>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</si>
  <si>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</si>
  <si>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</si>
  <si>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</si>
  <si>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</si>
  <si>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</si>
  <si>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</si>
  <si>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</si>
  <si>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</si>
  <si>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</si>
  <si>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</si>
  <si>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</si>
  <si>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</si>
  <si>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</si>
  <si>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</si>
  <si>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</si>
  <si>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</si>
  <si>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</si>
  <si>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</si>
  <si>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</si>
  <si>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</si>
  <si>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</si>
  <si>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</si>
  <si>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</si>
  <si>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</si>
  <si>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</si>
  <si>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</si>
  <si>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</si>
  <si>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</si>
  <si>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</si>
  <si>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</si>
  <si>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</si>
  <si>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</si>
  <si>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</si>
  <si>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</si>
  <si>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</si>
  <si>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</si>
  <si>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</si>
  <si>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</si>
  <si>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</si>
  <si>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</si>
  <si>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</si>
  <si>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</si>
  <si>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</si>
  <si>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</si>
  <si>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</si>
  <si>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</si>
  <si>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</si>
  <si>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</si>
  <si>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</si>
  <si>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</si>
  <si>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</si>
  <si>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</si>
  <si>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</si>
  <si>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</si>
  <si>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</si>
  <si>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</si>
  <si>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</si>
  <si>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</si>
  <si>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</si>
  <si>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</si>
  <si>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</si>
  <si>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</si>
  <si>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</si>
  <si>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</si>
  <si>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</si>
  <si>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</si>
  <si>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</si>
  <si>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</si>
  <si>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</si>
  <si>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</si>
  <si>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</si>
  <si>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</si>
  <si>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</si>
  <si>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</si>
  <si>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</si>
  <si>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</si>
  <si>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</si>
  <si>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</si>
  <si>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</si>
  <si>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</si>
  <si>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</si>
  <si>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</si>
  <si>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</si>
  <si>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</si>
  <si>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</si>
  <si>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</si>
  <si>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</si>
  <si>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</si>
  <si>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</si>
  <si>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</si>
  <si>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</si>
  <si>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</si>
  <si>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</si>
  <si>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</si>
  <si>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</si>
  <si>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</si>
  <si>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</si>
  <si>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</si>
  <si>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</si>
  <si>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</si>
  <si>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</si>
  <si>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</si>
  <si>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</si>
  <si>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</si>
  <si>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</si>
  <si>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</si>
  <si>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</si>
  <si>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</si>
  <si>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</si>
  <si>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</si>
  <si>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</si>
  <si>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</si>
  <si>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</si>
  <si>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</si>
  <si>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</si>
  <si>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</si>
  <si>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</si>
  <si>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</si>
  <si>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</si>
  <si>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</si>
  <si>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</si>
  <si>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</si>
  <si>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</si>
  <si>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</si>
  <si>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</si>
  <si>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</si>
  <si>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</si>
  <si>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</si>
  <si>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</si>
  <si>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</si>
  <si>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</si>
  <si>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</si>
  <si>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</si>
  <si>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</si>
  <si>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</si>
  <si>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</si>
  <si>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</si>
  <si>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</si>
  <si>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</si>
  <si>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</si>
  <si>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</si>
  <si>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</si>
  <si>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</si>
  <si>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</si>
  <si>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</si>
  <si>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</si>
  <si>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</si>
  <si>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</si>
  <si>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</si>
  <si>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</si>
  <si>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</si>
  <si>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</si>
  <si>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</si>
  <si>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</si>
  <si>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</si>
  <si>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</si>
  <si>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</si>
  <si>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</si>
  <si>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</si>
  <si>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</si>
  <si>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</si>
  <si>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</si>
  <si>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</si>
  <si>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</si>
  <si>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</si>
  <si>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</si>
  <si>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</si>
  <si>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</si>
  <si>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</si>
  <si>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</si>
  <si>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</si>
  <si>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</si>
  <si>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</si>
  <si>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</si>
  <si>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</si>
  <si>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</si>
  <si>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</si>
  <si>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</si>
  <si>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</si>
  <si>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</si>
  <si>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</si>
  <si>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</si>
  <si>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</si>
  <si>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</si>
  <si>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</si>
  <si>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</si>
  <si>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</si>
  <si>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</si>
  <si>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</si>
  <si>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</si>
  <si>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</si>
  <si>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</si>
  <si>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</si>
  <si>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</si>
  <si>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</si>
  <si>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</si>
  <si>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</si>
  <si>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</si>
  <si>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</si>
  <si>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</si>
  <si>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</si>
  <si>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</si>
  <si>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</si>
  <si>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</si>
  <si>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</si>
  <si>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</si>
  <si>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</si>
  <si>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</si>
  <si>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</si>
  <si>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</si>
  <si>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</si>
  <si>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</si>
  <si>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</si>
  <si>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</si>
  <si>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</si>
  <si>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</si>
  <si>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</si>
  <si>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</si>
  <si>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</si>
  <si>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</si>
  <si>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</si>
  <si>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</si>
  <si>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</si>
  <si>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</si>
  <si>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</si>
  <si>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</si>
  <si>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</si>
  <si>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</si>
  <si>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</si>
  <si>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</si>
  <si>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</si>
  <si>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</si>
  <si>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</si>
  <si>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</si>
  <si>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</si>
  <si>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</si>
  <si>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</si>
  <si>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</si>
  <si>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</si>
  <si>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</si>
  <si>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</si>
  <si>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</si>
  <si>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</si>
  <si>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</si>
  <si>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</si>
  <si>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</si>
  <si>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</si>
  <si>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</si>
  <si>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</si>
  <si>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</si>
  <si>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</si>
  <si>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</si>
  <si>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</si>
  <si>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</si>
  <si>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</si>
  <si>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</si>
  <si>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</si>
  <si>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</si>
  <si>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</si>
  <si>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</si>
  <si>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</si>
  <si>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</si>
  <si>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</si>
  <si>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</si>
  <si>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</si>
  <si>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</si>
  <si>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</si>
  <si>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</si>
  <si>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</si>
  <si>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</si>
  <si>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</si>
  <si>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</si>
  <si>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</si>
  <si>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</si>
  <si>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</si>
  <si>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</si>
  <si>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</si>
  <si>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</si>
  <si>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</si>
  <si>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</si>
  <si>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</si>
  <si>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</si>
  <si>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</si>
  <si>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</si>
  <si>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</si>
  <si>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</si>
  <si>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</si>
  <si>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</si>
  <si>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</si>
  <si>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</si>
  <si>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</si>
  <si>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</si>
  <si>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</si>
  <si>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</si>
  <si>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</si>
  <si>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</si>
  <si>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</si>
  <si>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</si>
  <si>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</si>
  <si>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</si>
  <si>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</si>
  <si>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</si>
  <si>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</si>
  <si>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</si>
  <si>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</si>
  <si>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</si>
  <si>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</si>
  <si>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</si>
  <si>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</si>
  <si>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</si>
  <si>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</si>
  <si>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</si>
  <si>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</si>
  <si>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</si>
  <si>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</si>
  <si>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</si>
  <si>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</si>
  <si>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</si>
  <si>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</si>
  <si>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</si>
  <si>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</si>
  <si>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</si>
  <si>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</si>
  <si>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</si>
  <si>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</si>
  <si>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</si>
  <si>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</si>
  <si>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</si>
  <si>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</si>
  <si>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</si>
  <si>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</si>
  <si>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</si>
  <si>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</si>
  <si>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</si>
  <si>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</si>
  <si>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</si>
  <si>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</si>
  <si>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</si>
  <si>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</si>
  <si>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</si>
  <si>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</si>
  <si>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</si>
  <si>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</si>
  <si>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</si>
  <si>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</si>
  <si>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</si>
  <si>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</si>
  <si>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</si>
  <si>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</si>
  <si>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</si>
  <si>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</si>
  <si>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</si>
  <si>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</si>
  <si>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</si>
  <si>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</si>
  <si>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</si>
  <si>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</si>
  <si>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</si>
  <si>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</si>
  <si>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</si>
  <si>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</si>
  <si>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</si>
  <si>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</si>
  <si>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</si>
  <si>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</si>
  <si>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</si>
  <si>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</si>
  <si>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</si>
  <si>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</si>
  <si>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</si>
  <si>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</si>
  <si>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</si>
  <si>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</si>
  <si>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</si>
  <si>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</si>
  <si>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</si>
  <si>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</si>
  <si>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</si>
  <si>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</si>
  <si>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</si>
  <si>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</si>
  <si>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</si>
  <si>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</si>
  <si>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</si>
  <si>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</si>
  <si>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</si>
  <si>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</si>
  <si>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</si>
  <si>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</si>
  <si>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</si>
  <si>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</si>
  <si>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</si>
  <si>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</si>
  <si>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</si>
  <si>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</si>
  <si>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</si>
  <si>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</si>
  <si>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</si>
  <si>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</si>
  <si>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</si>
  <si>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</si>
  <si>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</si>
  <si>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</si>
  <si>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</si>
  <si>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</si>
  <si>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</si>
  <si>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</si>
  <si>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</si>
  <si>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</si>
  <si>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</si>
  <si>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</si>
  <si>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</si>
  <si>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</si>
  <si>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</si>
  <si>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</si>
  <si>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</si>
  <si>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</si>
  <si>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</si>
  <si>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</si>
  <si>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</si>
  <si>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</si>
  <si>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</si>
  <si>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</si>
  <si>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</si>
  <si>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</si>
  <si>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</si>
  <si>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</si>
  <si>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</si>
  <si>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</si>
  <si>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</si>
  <si>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</si>
  <si>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</si>
  <si>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</si>
  <si>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</si>
  <si>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</si>
  <si>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</si>
  <si>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</si>
  <si>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</si>
  <si>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</si>
  <si>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</si>
  <si>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</si>
  <si>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</si>
  <si>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</si>
  <si>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</si>
  <si>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</si>
  <si>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</si>
  <si>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</si>
  <si>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</si>
  <si>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</si>
  <si>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</si>
  <si>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</si>
  <si>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</si>
  <si>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</si>
  <si>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</si>
  <si>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</si>
  <si>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</si>
  <si>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</si>
  <si>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</si>
  <si>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</si>
  <si>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</si>
  <si>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</si>
  <si>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</si>
  <si>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</si>
  <si>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</si>
  <si>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</si>
  <si>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</si>
  <si>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</si>
  <si>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</si>
  <si>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</si>
  <si>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</si>
  <si>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</si>
  <si>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</si>
  <si>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</si>
  <si>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</si>
  <si>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</si>
  <si>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</si>
  <si>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</si>
  <si>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</si>
  <si>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</si>
  <si>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</si>
  <si>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</si>
  <si>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</si>
  <si>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</si>
  <si>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</si>
  <si>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</si>
  <si>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</si>
  <si>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</si>
  <si>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</si>
  <si>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</si>
  <si>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</si>
  <si>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</si>
  <si>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</si>
  <si>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</si>
  <si>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</si>
  <si>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</si>
  <si>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</si>
  <si>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</si>
  <si>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</si>
  <si>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</si>
  <si>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</si>
  <si>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</si>
  <si>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</si>
  <si>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</si>
  <si>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</si>
  <si>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</si>
  <si>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</si>
  <si>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</si>
  <si>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</si>
  <si>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</si>
  <si>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</si>
  <si>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</si>
  <si>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</si>
  <si>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</si>
  <si>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</si>
  <si>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</si>
  <si>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</si>
  <si>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</si>
  <si>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</si>
  <si>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</si>
  <si>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</si>
  <si>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</si>
  <si>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</si>
  <si>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</si>
  <si>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</si>
  <si>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</si>
  <si>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</si>
  <si>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</si>
  <si>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</si>
  <si>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</si>
  <si>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</si>
  <si>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</si>
  <si>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</si>
  <si>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</si>
  <si>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</si>
  <si>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</si>
  <si>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</si>
  <si>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</si>
  <si>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</si>
  <si>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</si>
  <si>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</si>
  <si>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</si>
  <si>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</si>
  <si>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</si>
  <si>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</si>
  <si>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</si>
  <si>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</si>
  <si>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</si>
  <si>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</si>
  <si>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</si>
  <si>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</si>
  <si>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</si>
  <si>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</si>
  <si>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</si>
  <si>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</si>
  <si>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</si>
  <si>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</si>
  <si>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</si>
  <si>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</si>
  <si>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</si>
  <si>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</si>
  <si>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</si>
  <si>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</si>
  <si>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</si>
  <si>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</si>
  <si>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</si>
  <si>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</si>
  <si>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</si>
  <si>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</si>
  <si>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</si>
  <si>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</si>
  <si>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</si>
  <si>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</si>
  <si>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</si>
  <si>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</si>
  <si>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</si>
  <si>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</si>
  <si>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</si>
  <si>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</si>
  <si>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</si>
  <si>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</si>
  <si>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</si>
  <si>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</si>
  <si>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</si>
  <si>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</si>
  <si>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</si>
  <si>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</si>
  <si>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</si>
  <si>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</si>
  <si>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</si>
  <si>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</si>
  <si>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</si>
  <si>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</si>
  <si>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</si>
  <si>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</si>
  <si>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</si>
  <si>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</si>
  <si>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</si>
  <si>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</si>
  <si>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</si>
  <si>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</si>
  <si>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</si>
  <si>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</si>
  <si>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</si>
  <si>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</si>
  <si>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</si>
  <si>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</si>
  <si>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</si>
  <si>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</si>
  <si>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</si>
  <si>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</si>
  <si>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</si>
  <si>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</si>
  <si>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</si>
  <si>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</si>
  <si>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</si>
  <si>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</si>
  <si>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</si>
  <si>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</si>
  <si>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</si>
  <si>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</si>
  <si>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</si>
  <si>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</si>
  <si>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</si>
  <si>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</si>
  <si>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</si>
  <si>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</si>
  <si>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</si>
  <si>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</si>
  <si>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</si>
  <si>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</si>
  <si>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</si>
  <si>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</si>
  <si>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</si>
  <si>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</si>
  <si>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</si>
  <si>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</si>
  <si>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</si>
  <si>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</si>
  <si>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</si>
  <si>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</si>
  <si>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</si>
  <si>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</si>
  <si>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</si>
  <si>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</si>
  <si>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</si>
  <si>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</si>
  <si>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</si>
  <si>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</si>
  <si>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</si>
  <si>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</si>
  <si>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</si>
  <si>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</si>
  <si>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</si>
  <si>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</si>
  <si>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</si>
  <si>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</si>
  <si>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</si>
  <si>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</si>
  <si>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</si>
  <si>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</si>
  <si>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</si>
  <si>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</si>
  <si>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</si>
  <si>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</si>
  <si>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</si>
  <si>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</si>
  <si>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</si>
  <si>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</si>
  <si>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</si>
  <si>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</si>
  <si>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</si>
  <si>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</si>
  <si>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</si>
  <si>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</si>
  <si>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</si>
  <si>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</si>
  <si>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</si>
  <si>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</si>
  <si>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</si>
  <si>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</si>
  <si>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</si>
  <si>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</si>
  <si>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</si>
  <si>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</si>
  <si>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</si>
  <si>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</si>
  <si>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</si>
  <si>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</si>
  <si>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</si>
  <si>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</si>
  <si>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</si>
  <si>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</si>
  <si>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</si>
  <si>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</si>
  <si>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</si>
  <si>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</si>
  <si>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</si>
  <si>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</si>
  <si>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</si>
  <si>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</si>
  <si>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</si>
  <si>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</si>
  <si>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</si>
  <si>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</si>
  <si>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</si>
  <si>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</si>
  <si>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</si>
  <si>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</si>
  <si>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</si>
  <si>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</si>
  <si>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</si>
  <si>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</si>
  <si>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</si>
  <si>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</si>
  <si>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</si>
  <si>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</si>
  <si>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</si>
  <si>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</si>
  <si>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</si>
  <si>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</si>
  <si>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</si>
  <si>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</si>
  <si>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</si>
  <si>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</si>
  <si>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</si>
  <si>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</si>
  <si>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</si>
  <si>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</si>
  <si>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</si>
  <si>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</si>
  <si>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</si>
  <si>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</si>
  <si>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</si>
  <si>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</si>
  <si>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</si>
  <si>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</si>
  <si>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</si>
  <si>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</si>
  <si>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</si>
  <si>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</si>
  <si>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</si>
  <si>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</si>
  <si>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</si>
  <si>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</si>
  <si>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</si>
  <si>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</si>
  <si>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</si>
  <si>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</si>
  <si>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</si>
  <si>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</si>
  <si>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</si>
  <si>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</si>
  <si>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</si>
  <si>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</si>
  <si>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</si>
  <si>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</si>
  <si>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</si>
  <si>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</si>
  <si>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</si>
  <si>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</si>
  <si>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</si>
  <si>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</si>
  <si>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</si>
  <si>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</si>
  <si>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</si>
  <si>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</si>
  <si>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</si>
  <si>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</si>
  <si>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</si>
  <si>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</si>
  <si>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</si>
  <si>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</si>
  <si>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</si>
  <si>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</si>
  <si>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</si>
  <si>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</si>
  <si>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</si>
  <si>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</si>
  <si>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</si>
  <si>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</si>
  <si>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</si>
  <si>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</si>
  <si>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</si>
  <si>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</si>
  <si>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</si>
  <si>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</si>
  <si>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</si>
  <si>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</si>
  <si>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</si>
  <si>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</si>
  <si>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</si>
  <si>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</si>
  <si>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</si>
  <si>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</si>
  <si>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</si>
  <si>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</si>
  <si>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</si>
  <si>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</si>
  <si>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</si>
  <si>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</si>
  <si>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</si>
  <si>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</si>
  <si>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</si>
  <si>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</si>
  <si>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</si>
  <si>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</si>
  <si>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</si>
  <si>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</si>
  <si>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</si>
  <si>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</si>
  <si>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</si>
  <si>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</si>
  <si>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</si>
  <si>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</si>
  <si>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</si>
  <si>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</si>
  <si>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</si>
  <si>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</si>
  <si>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</si>
  <si>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</si>
  <si>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</si>
  <si>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</si>
  <si>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</si>
  <si>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</si>
  <si>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</si>
  <si>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</si>
  <si>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</si>
  <si>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</si>
  <si>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</si>
  <si>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</si>
  <si>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</si>
  <si>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</si>
  <si>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</si>
  <si>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</si>
  <si>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</si>
  <si>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</si>
  <si>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</si>
  <si>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</si>
  <si>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</si>
  <si>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</si>
  <si>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</si>
  <si>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</si>
  <si>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</si>
  <si>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</si>
  <si>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</si>
  <si>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</si>
  <si>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</si>
  <si>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</si>
  <si>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</si>
  <si>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</si>
  <si>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</si>
  <si>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</si>
  <si>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</si>
  <si>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</si>
  <si>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</si>
  <si>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</si>
  <si>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</si>
  <si>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</si>
  <si>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</si>
  <si>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</si>
  <si>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</si>
  <si>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</si>
  <si>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</si>
  <si>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</si>
  <si>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</si>
  <si>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</si>
  <si>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</si>
  <si>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</si>
  <si>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</si>
  <si>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</si>
  <si>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</si>
  <si>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</si>
  <si>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</si>
  <si>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</si>
  <si>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</si>
  <si>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</si>
  <si>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</si>
  <si>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</si>
  <si>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</si>
  <si>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</si>
  <si>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</si>
  <si>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</si>
  <si>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</si>
  <si>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</si>
  <si>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</si>
  <si>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</si>
  <si>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</si>
  <si>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</si>
  <si>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</si>
  <si>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</si>
  <si>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</si>
  <si>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</si>
  <si>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</si>
  <si>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</si>
  <si>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</si>
  <si>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</si>
  <si>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</si>
  <si>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</si>
  <si>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</si>
  <si>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</si>
  <si>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</si>
  <si>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</si>
  <si>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</si>
  <si>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</si>
  <si>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</si>
  <si>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</si>
  <si>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</si>
  <si>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</si>
  <si>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</si>
  <si>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</si>
  <si>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</si>
  <si>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</si>
  <si>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</si>
  <si>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</si>
  <si>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</si>
  <si>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</si>
  <si>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</si>
  <si>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</si>
  <si>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</si>
  <si>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</si>
  <si>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</si>
  <si>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</si>
  <si>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</si>
  <si>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</si>
  <si>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</si>
  <si>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</si>
  <si>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</si>
  <si>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</si>
  <si>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</si>
  <si>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</si>
  <si>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</si>
  <si>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</si>
  <si>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</si>
  <si>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</si>
  <si>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</si>
  <si>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</si>
  <si>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</si>
  <si>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</si>
  <si>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</si>
  <si>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</si>
  <si>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</si>
  <si>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</si>
  <si>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</si>
  <si>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</si>
  <si>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</si>
  <si>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</si>
  <si>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</si>
  <si>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</si>
  <si>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</si>
  <si>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</si>
  <si>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</si>
  <si>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</si>
  <si>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</si>
  <si>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</si>
  <si>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</si>
  <si>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</si>
  <si>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</si>
  <si>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</si>
  <si>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</si>
  <si>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</si>
  <si>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</si>
  <si>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</si>
  <si>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</si>
  <si>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</si>
  <si>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</si>
  <si>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</si>
  <si>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</si>
  <si>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</si>
  <si>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</si>
  <si>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</si>
  <si>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</si>
  <si>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</si>
  <si>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</si>
  <si>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</si>
  <si>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</si>
  <si>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</si>
  <si>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</si>
  <si>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</si>
  <si>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</si>
  <si>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</si>
  <si>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</si>
  <si>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</si>
  <si>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</si>
  <si>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</si>
  <si>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</si>
  <si>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</si>
  <si>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</si>
  <si>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</si>
  <si>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</si>
  <si>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</si>
  <si>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</si>
  <si>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</si>
  <si>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</si>
  <si>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</si>
  <si>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</si>
  <si>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</si>
  <si>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</si>
  <si>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</si>
  <si>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</si>
  <si>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</si>
  <si>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</si>
  <si>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</si>
  <si>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</si>
  <si>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</si>
  <si>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</si>
  <si>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</si>
  <si>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</si>
  <si>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</si>
  <si>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</si>
  <si>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</si>
  <si>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</si>
  <si>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</si>
  <si>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</si>
  <si>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</si>
  <si>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</si>
  <si>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</si>
  <si>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</si>
  <si>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</si>
  <si>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</si>
  <si>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</si>
  <si>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</si>
  <si>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</si>
  <si>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</si>
  <si>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</si>
  <si>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</si>
  <si>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</si>
  <si>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</si>
  <si>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</si>
  <si>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</si>
  <si>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</si>
  <si>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</si>
  <si>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</si>
  <si>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</si>
  <si>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</si>
  <si>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</si>
  <si>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</si>
  <si>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</si>
  <si>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</si>
  <si>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</si>
  <si>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</si>
  <si>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</si>
  <si>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</si>
  <si>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</si>
  <si>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</si>
  <si>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</si>
  <si>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</si>
  <si>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</si>
  <si>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</si>
  <si>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</si>
  <si>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</si>
  <si>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</si>
  <si>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</si>
  <si>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</si>
  <si>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</si>
  <si>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</si>
  <si>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</si>
  <si>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</si>
  <si>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</si>
  <si>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</si>
  <si>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</si>
  <si>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</si>
  <si>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</si>
  <si>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</si>
  <si>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</si>
  <si>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</si>
  <si>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</si>
  <si>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</si>
  <si>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</si>
  <si>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</si>
  <si>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</si>
  <si>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</si>
  <si>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</si>
  <si>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</si>
  <si>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</si>
  <si>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</si>
  <si>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</si>
  <si>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</si>
  <si>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</si>
  <si>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</si>
  <si>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</si>
  <si>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</si>
  <si>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</si>
  <si>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</si>
  <si>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</si>
  <si>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</si>
  <si>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</si>
  <si>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</si>
  <si>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</si>
  <si>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</si>
  <si>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</si>
  <si>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</si>
  <si>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</si>
  <si>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</si>
  <si>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</si>
  <si>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</si>
  <si>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</si>
  <si>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</si>
  <si>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</si>
  <si>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</si>
  <si>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</si>
  <si>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</si>
  <si>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</si>
  <si>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</si>
  <si>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</si>
  <si>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</si>
  <si>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</si>
  <si>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</si>
  <si>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</si>
  <si>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</si>
  <si>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</si>
  <si>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</si>
  <si>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</si>
  <si>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</si>
  <si>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</si>
  <si>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</si>
  <si>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</si>
  <si>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</si>
  <si>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</si>
  <si>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</si>
  <si>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</si>
  <si>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</si>
  <si>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</si>
  <si>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</si>
  <si>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</si>
  <si>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</si>
  <si>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</si>
  <si>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</si>
  <si>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</si>
  <si>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</si>
  <si>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</si>
  <si>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</si>
  <si>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</si>
  <si>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</si>
  <si>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</si>
  <si>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</si>
  <si>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</si>
  <si>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</si>
  <si>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</si>
  <si>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</si>
  <si>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</si>
  <si>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</si>
  <si>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</si>
  <si>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</si>
  <si>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</si>
  <si>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</si>
  <si>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</si>
  <si>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</si>
  <si>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</si>
  <si>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</si>
  <si>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</si>
  <si>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</si>
  <si>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</si>
  <si>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</si>
  <si>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</si>
  <si>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</si>
  <si>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</si>
  <si>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</si>
  <si>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</si>
  <si>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</si>
  <si>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</si>
  <si>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</si>
  <si>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</si>
  <si>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</si>
  <si>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</si>
  <si>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</si>
  <si>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</si>
  <si>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</si>
  <si>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</si>
  <si>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</si>
  <si>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</si>
  <si>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</si>
  <si>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</si>
  <si>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</si>
  <si>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</si>
  <si>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</si>
  <si>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</si>
  <si>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</si>
  <si>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</si>
  <si>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</si>
  <si>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</si>
  <si>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</si>
  <si>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</si>
  <si>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</si>
  <si>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</si>
  <si>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</si>
  <si>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</si>
  <si>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</si>
  <si>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</si>
  <si>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</si>
  <si>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</si>
  <si>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</si>
  <si>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</si>
  <si>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</si>
  <si>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</si>
  <si>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</si>
  <si>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</si>
  <si>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</si>
  <si>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</si>
  <si>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</si>
  <si>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</si>
  <si>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</si>
  <si>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</si>
  <si>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</si>
  <si>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</si>
  <si>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</si>
  <si>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</si>
  <si>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</si>
  <si>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</si>
  <si>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</si>
  <si>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</si>
  <si>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</si>
  <si>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</si>
  <si>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</si>
  <si>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</si>
  <si>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</si>
  <si>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</si>
  <si>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</si>
  <si>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</si>
  <si>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</si>
  <si>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</si>
  <si>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</si>
  <si>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</si>
  <si>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</si>
  <si>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</si>
  <si>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</si>
  <si>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</si>
  <si>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</si>
  <si>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</si>
  <si>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</si>
  <si>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</si>
  <si>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</si>
  <si>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</si>
  <si>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</si>
  <si>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</si>
  <si>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</si>
  <si>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</si>
  <si>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</si>
  <si>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</si>
  <si>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</si>
  <si>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</si>
  <si>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</si>
  <si>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</si>
  <si>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</si>
  <si>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</si>
  <si>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</si>
  <si>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</si>
  <si>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</si>
  <si>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</si>
  <si>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</si>
  <si>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</si>
  <si>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</si>
  <si>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</si>
  <si>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</si>
  <si>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</si>
  <si>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</si>
  <si>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</si>
  <si>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</si>
  <si>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Contracts Paid in CY over the allowed amount for ICR calculation (from page 29)</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</si>
  <si>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</si>
  <si>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</si>
  <si>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</si>
  <si>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</si>
  <si>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</si>
  <si>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</si>
  <si>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</si>
  <si>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</si>
  <si>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</si>
  <si>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</si>
  <si>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</si>
  <si>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</si>
  <si>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</si>
  <si>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</si>
  <si>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</si>
  <si>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</si>
  <si>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</si>
  <si>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</si>
  <si>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</si>
  <si>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</si>
  <si>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</si>
  <si>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</si>
  <si>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</si>
  <si>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</si>
  <si>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</si>
  <si>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</si>
  <si>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</si>
  <si>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</si>
  <si>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</si>
  <si>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</si>
  <si>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</si>
  <si>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</si>
  <si>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</si>
  <si>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</si>
  <si>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</si>
  <si>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</si>
  <si>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</si>
  <si>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</si>
  <si>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</si>
  <si>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</si>
  <si>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</si>
  <si>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</si>
  <si>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</si>
  <si>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</si>
  <si>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</si>
  <si>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</si>
  <si>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</si>
  <si>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</si>
  <si>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</si>
  <si>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</si>
  <si>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</si>
  <si>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</si>
  <si>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</si>
  <si>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</si>
  <si>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</si>
  <si>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</si>
  <si>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</si>
  <si>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</si>
  <si>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</si>
  <si>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</si>
  <si>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</si>
  <si>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</si>
  <si>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</si>
  <si>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</si>
  <si>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</si>
  <si>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</si>
  <si>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</si>
  <si>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</si>
  <si>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</si>
  <si>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</si>
  <si>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</si>
  <si>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</si>
  <si>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</si>
  <si>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</si>
  <si>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</si>
  <si>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</si>
  <si>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</si>
  <si>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</si>
  <si>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</si>
  <si>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</si>
  <si>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</si>
  <si>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</si>
  <si>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</si>
  <si>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</si>
  <si>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</si>
  <si>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</si>
  <si>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</si>
  <si>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</si>
  <si>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</si>
  <si>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</si>
  <si>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</si>
  <si>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</si>
  <si>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</si>
  <si>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</si>
  <si>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</si>
  <si>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</si>
  <si>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</si>
  <si>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</si>
  <si>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</si>
  <si>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</si>
  <si>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</si>
  <si>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</si>
  <si>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</si>
  <si>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</si>
  <si>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</si>
  <si>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</si>
  <si>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</si>
  <si>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</si>
  <si>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</si>
  <si>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</si>
  <si>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</si>
  <si>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</si>
  <si>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</si>
  <si>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</si>
  <si>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</si>
  <si>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</si>
  <si>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</si>
  <si>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</si>
  <si>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</si>
  <si>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</si>
  <si>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</si>
  <si>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</si>
  <si>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</si>
  <si>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</si>
  <si>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</si>
  <si>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</si>
  <si>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</si>
  <si>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</si>
  <si>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</si>
  <si>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</si>
  <si>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</si>
  <si>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</si>
  <si>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</si>
  <si>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</si>
  <si>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</si>
  <si>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</si>
  <si>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</si>
  <si>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</si>
  <si>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</si>
  <si>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</si>
  <si>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</si>
  <si>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</si>
  <si>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</si>
  <si>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</si>
  <si>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</si>
  <si>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</si>
  <si>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</si>
  <si>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</si>
  <si>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</si>
  <si>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</si>
  <si>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</si>
  <si>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</si>
  <si>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</si>
  <si>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</si>
  <si>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</si>
  <si>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</si>
  <si>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</si>
  <si>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</si>
  <si>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</si>
  <si>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</si>
  <si>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</si>
  <si>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</si>
  <si>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</si>
  <si>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</si>
  <si>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</si>
  <si>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</si>
  <si>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</si>
  <si>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</si>
  <si>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</si>
  <si>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</si>
  <si>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</si>
  <si>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</si>
  <si>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</si>
  <si>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</si>
  <si>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</si>
  <si>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</si>
  <si>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</si>
  <si>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</si>
  <si>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</si>
  <si>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</si>
  <si>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</si>
  <si>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</si>
  <si>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</si>
  <si>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</si>
  <si>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</si>
  <si>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</si>
  <si>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</si>
  <si>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</si>
  <si>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</si>
  <si>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</si>
  <si>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</si>
  <si>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</si>
  <si>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</si>
  <si>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</si>
  <si>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</si>
  <si>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</si>
  <si>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</si>
  <si>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</si>
  <si>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</si>
  <si>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</si>
  <si>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</si>
  <si>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</si>
  <si>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</si>
  <si>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</si>
  <si>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</si>
  <si>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</si>
  <si>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</si>
  <si>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</si>
  <si>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</si>
  <si>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</si>
  <si>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</si>
  <si>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</si>
  <si>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</si>
  <si>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</si>
  <si>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</si>
  <si>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</si>
  <si>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</si>
  <si>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</si>
  <si>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</si>
  <si>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</si>
  <si>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</si>
  <si>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</si>
  <si>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</si>
  <si>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</si>
  <si>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</si>
  <si>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</si>
  <si>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</si>
  <si>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</si>
  <si>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</si>
  <si>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</si>
  <si>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</si>
  <si>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</si>
  <si>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</si>
  <si>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</si>
  <si>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</si>
  <si>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</si>
  <si>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</si>
  <si>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</si>
  <si>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</si>
  <si>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</si>
  <si>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</si>
  <si>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</si>
  <si>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</si>
  <si>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</si>
  <si>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</si>
  <si>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</si>
  <si>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</si>
  <si>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</si>
  <si>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</si>
  <si>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</si>
  <si>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Vermilion</t>
  </si>
  <si>
    <t>115 E. Williams</t>
  </si>
  <si>
    <t>Danville</t>
  </si>
  <si>
    <t>GeddisA@danville118.org</t>
  </si>
  <si>
    <t>Dr. Alicia Geddis</t>
  </si>
  <si>
    <t>217-444-1002</t>
  </si>
  <si>
    <t>217-444-1006</t>
  </si>
  <si>
    <t>CliftonLarsonAllen LLP</t>
  </si>
  <si>
    <t>Hope Wheeler</t>
  </si>
  <si>
    <t>2 East Main Street, Suite 120</t>
  </si>
  <si>
    <t>IL</t>
  </si>
  <si>
    <t>217-442-1643</t>
  </si>
  <si>
    <t>066-004450</t>
  </si>
  <si>
    <t>hope.wheeler@claconnect.com</t>
  </si>
  <si>
    <t>General Obligation Issue - 2011A</t>
  </si>
  <si>
    <t>General Obligation Issue - 2011B QZAB</t>
  </si>
  <si>
    <t>General Obligation Issue - 2012BQ</t>
  </si>
  <si>
    <t>General Obligation Issue - 2012QZAB</t>
  </si>
  <si>
    <t>General Obligation Issue - 2016A</t>
  </si>
  <si>
    <t>Computers Lease</t>
  </si>
  <si>
    <t>Additional computers leases (see next tab)</t>
  </si>
  <si>
    <t>1,4</t>
  </si>
  <si>
    <t>Capital Lease</t>
  </si>
  <si>
    <t>Vermilion Association for Special Education</t>
  </si>
  <si>
    <t>Audit Checklist, Line 68 - The debt issued on the Schedule of Long-Term Debt does not equal the proceeds of bonds issued because</t>
  </si>
  <si>
    <t>of the proceeds of capital lease issuance being reported as Other Sources Not Classified Elsewhere.</t>
  </si>
  <si>
    <t>Page 10, Line 74 - Educational Fund - Other Food Service - Miscellaneous food revenues - $62,370</t>
  </si>
  <si>
    <t>Page 10, Line 91 - Educational Fund - Sales - Other - Textbook sales - $645</t>
  </si>
  <si>
    <t>Page 11, Line 106 - Educational Fund - Other Local Fees - Miscellaneous fees - $241</t>
  </si>
  <si>
    <t>Page 11, Line 107 - Educational Fund - Other Local Revenues - Miscellaneous revenues - $69,988</t>
  </si>
  <si>
    <t>Page 11, Line 107 - Capital Projects Fund - Other Local Revenues -Miscellaneous revenues - $9,125</t>
  </si>
  <si>
    <t xml:space="preserve">Page 12, Line 168 - Educational Fund - Other Restricted Revenue from State Sources - Orphanage Tuition $472,844; Lowest Performing </t>
  </si>
  <si>
    <t xml:space="preserve">Page 12, Line 168 - Transportation Fund - Other Restricted Revenue from State Sources - Healthy Community $92,988 </t>
  </si>
  <si>
    <t>Page 12, Line 180 - Other Restricted Grants-In-Aid Received Directly from the Federal Govt - MIECHV - $132,105</t>
  </si>
  <si>
    <t>Relief Fund $104,428</t>
  </si>
  <si>
    <t>Page 15, Line 41 - Educational Fund - Other Support Services - Medicaid - $20,451</t>
  </si>
  <si>
    <t>Page 16, Line 73 - Educational Fund - Other Support Services - Jackson Building for IDEA Part B - $2,041</t>
  </si>
  <si>
    <t>Page 16, Line 73 - Educational Fund - Other Support Services - Special Education Education Support - $19,875; Miscellaneous - $224</t>
  </si>
  <si>
    <t>Page 16, Line 73 - Educational Fund - Other Support Services - Testing Materials Headphones - $148</t>
  </si>
  <si>
    <t>Page 18, Line 171 - Debt Services Fund - Debt Services - Other - Fees for General Obligation Bonds - $1,400</t>
  </si>
  <si>
    <t>Page 16, Line 73 - Educational Fund - Other Support Services - Miscellaneous - $2,125</t>
  </si>
  <si>
    <t>Page 10, Line 72 - Educational Fund - Sales to Pupils - Other - Vending machine revenue $8,789</t>
  </si>
  <si>
    <t>Page 11, Line 107 - Operations &amp; Maintenance Fund - Other Local Revenues - Insurance payment for roof repairs - $1,284,814</t>
  </si>
  <si>
    <t>Page 11, Line 107 - Tort Fund - Other Local Revenues - Miscellaenous revenues - $44</t>
  </si>
  <si>
    <t>Page 14, Line 265 - Educational Fund - Other Restricted Revenue from Federal Sources - Elementary and Secondary School Emergency</t>
  </si>
  <si>
    <t>Page 14, Line 265 - Educational Fund - Other Restricted Revenue from Federal Sources -Education Stablization (CARES) funding</t>
  </si>
  <si>
    <t>Page 20, Line 278 - Municipal Retirement/SS Fund- Other - $351</t>
  </si>
  <si>
    <t>NO CONTRACTS</t>
  </si>
  <si>
    <t>U.S. Department of Agriculture</t>
  </si>
  <si>
    <t>19-4210-00</t>
  </si>
  <si>
    <t>20-4210-00</t>
  </si>
  <si>
    <t>19-4220-00</t>
  </si>
  <si>
    <t>20-4220-00</t>
  </si>
  <si>
    <t xml:space="preserve">   Summer Food Service Program</t>
  </si>
  <si>
    <t>19-4225-00</t>
  </si>
  <si>
    <t>20-4225-00</t>
  </si>
  <si>
    <t>Unmodified</t>
  </si>
  <si>
    <t xml:space="preserve">  Child &amp; Adult Care Food Program</t>
  </si>
  <si>
    <t>19-4226-00</t>
  </si>
  <si>
    <t>20-4226-00</t>
  </si>
  <si>
    <t>n/a</t>
  </si>
  <si>
    <t>N/A</t>
  </si>
  <si>
    <t>U.S. Department of Agriculture (Continued)</t>
  </si>
  <si>
    <t>Total U. S. Department of Agriculture</t>
  </si>
  <si>
    <t>Child Nutrition Cluster Total</t>
  </si>
  <si>
    <t>U.S. Department of Health and Human Services</t>
  </si>
  <si>
    <t xml:space="preserve">   Medicaid Administrative Outreach</t>
  </si>
  <si>
    <t>Total U. S. Department of Health and Human Services</t>
  </si>
  <si>
    <t>US Department of Education</t>
  </si>
  <si>
    <t xml:space="preserve">   Title I - Low Income (M)</t>
  </si>
  <si>
    <t xml:space="preserve">   Title I - Low Income - Delinquent Private (M)</t>
  </si>
  <si>
    <t xml:space="preserve">   IDEA Part B Flow Through</t>
  </si>
  <si>
    <t xml:space="preserve">   IDEA Part B Pre-School Flow Through</t>
  </si>
  <si>
    <t>Special Education Cluster (IDEA) Total</t>
  </si>
  <si>
    <t xml:space="preserve">   Title I - School Improvement Grant</t>
  </si>
  <si>
    <t>19-4331-00</t>
  </si>
  <si>
    <t>20-4331-00</t>
  </si>
  <si>
    <t>19-4300-00</t>
  </si>
  <si>
    <t>20-4300-00</t>
  </si>
  <si>
    <t>19-4306-00</t>
  </si>
  <si>
    <t>20-4306-00</t>
  </si>
  <si>
    <t>19-4620-00</t>
  </si>
  <si>
    <t>20-4620-00</t>
  </si>
  <si>
    <t>19-4600-00</t>
  </si>
  <si>
    <t>20-4600-00</t>
  </si>
  <si>
    <t>19-4932-00</t>
  </si>
  <si>
    <t>20-4932-00</t>
  </si>
  <si>
    <t xml:space="preserve">   Title III - Immigrant Education Program (IEP)</t>
  </si>
  <si>
    <t>84.365A</t>
  </si>
  <si>
    <t>19-4905-00</t>
  </si>
  <si>
    <t>20-4905-00</t>
  </si>
  <si>
    <t xml:space="preserve">   Title III - Lang Inst Prog-Limited Eng LIPLEP</t>
  </si>
  <si>
    <t>19-4909-00</t>
  </si>
  <si>
    <t>20-4909-00</t>
  </si>
  <si>
    <t xml:space="preserve">   Title IVA Student Support &amp; Academic Enrich</t>
  </si>
  <si>
    <t>84.424A</t>
  </si>
  <si>
    <t>19-4400-00</t>
  </si>
  <si>
    <t>20-4400-00</t>
  </si>
  <si>
    <t xml:space="preserve">  Education Stabilization Fund</t>
  </si>
  <si>
    <t>19-4998-00</t>
  </si>
  <si>
    <t>20-4998-00</t>
  </si>
  <si>
    <t>Total Expenditure of Federal Awards</t>
  </si>
  <si>
    <t>Total US Department of Education</t>
  </si>
  <si>
    <t>Qualified Zone Academy Bond Credits</t>
  </si>
  <si>
    <t>Value of Commodities included in Revenue on page 9-14</t>
  </si>
  <si>
    <t>None.</t>
  </si>
  <si>
    <t>no</t>
  </si>
  <si>
    <t xml:space="preserve">   National School Lunch Program</t>
  </si>
  <si>
    <t xml:space="preserve">   School Breakfast Program</t>
  </si>
  <si>
    <t>Food Commodities</t>
  </si>
  <si>
    <t>Dept of Defense Fresh Fruits and Vegetables</t>
  </si>
  <si>
    <t xml:space="preserve">   Title II - Teacher Quality (M)</t>
  </si>
  <si>
    <t>Title I - Low Income -Delinquent Private</t>
  </si>
  <si>
    <t>In an ideal control setting, the District would prepare its financial statements in accordance with generally accepted accounting principles for governments, including preparation of the adjustments from cash to modified accrual and full accrual basis of accounting.</t>
  </si>
  <si>
    <t>It is possible that a misstatement of the District's financial statements could occur and not be prevented or detected by the District's internal control over financial reporting.</t>
  </si>
  <si>
    <t xml:space="preserve">The District engages the external auditors to </t>
  </si>
  <si>
    <t xml:space="preserve">assist in preparing its financial statements and </t>
  </si>
  <si>
    <t>2019-001</t>
  </si>
  <si>
    <t>2019-002</t>
  </si>
  <si>
    <t>In our testing, we noted the District recorded a journal entry to accrue for all open purchase orders as of the end of the fiscal year. However, the entry duplicated the accrual of outstanding payables as of June 30th, resulting in an overstatement of expenditures.</t>
  </si>
  <si>
    <t>Repeated as finding 2020-001.</t>
  </si>
  <si>
    <t>Finding not repeated in fiscal year 2020</t>
  </si>
  <si>
    <t>We recommend the District strengthen the procedures around bank reconciliation preparation and review.</t>
  </si>
  <si>
    <t>Good internal control procedures include proper oversight relating to bank and investment reconciliations.</t>
  </si>
  <si>
    <t>NONE</t>
  </si>
  <si>
    <t>Errors and irregularities can go undetected on a timely basis.</t>
  </si>
  <si>
    <t>Passed through Illinois State Board of Education (ISBE)</t>
  </si>
  <si>
    <t>Passed through Illinois Department of Healthcare and Family Services</t>
  </si>
  <si>
    <t xml:space="preserve">   Maternal, Infant, and Early Childhood Home      Visiting Program</t>
  </si>
  <si>
    <t>Total passed through Illinois State Board of Education</t>
  </si>
  <si>
    <t>Page 29</t>
  </si>
  <si>
    <t>Page 29a</t>
  </si>
  <si>
    <t xml:space="preserve">                                                                                                                                                            Illinois State Board of Education</t>
  </si>
  <si>
    <t>Page 29b</t>
  </si>
  <si>
    <t>Page 29c</t>
  </si>
  <si>
    <t>Of the federal expenditures presented in the schedule, Danville Community Consolidated School District #118 provided federal awards to subrecipients as follows:</t>
  </si>
  <si>
    <t>The accompanying Schedule of Expenditures of Federal Awards includes the federal grant activity of Danville Community Consolidated School District # 118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</si>
  <si>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Danville Community Consolidated School District #118 and </t>
    </r>
    <r>
      <rPr>
        <b/>
        <sz val="9"/>
        <rFont val="Calibri"/>
        <family val="2"/>
        <scheme val="minor"/>
      </rPr>
      <t>should be</t>
    </r>
    <r>
      <rPr>
        <sz val="9"/>
        <rFont val="Calibri"/>
        <family val="2"/>
        <scheme val="minor"/>
      </rPr>
      <t xml:space="preserve"> included in the Schedule of Expenditures of Federal Awards:</t>
    </r>
  </si>
  <si>
    <t xml:space="preserve">The Board of Education and management share the ultimate responsibility for the District's internal control system. While it is acceptable to outsource various accounting functions, the responsibilities for internal control cannot be outsourced to the external auditors and still be considered part of the on-going internal control of the organization. The District engages the external auditors to assist in preparing its financial statements and accompanying disclosures, and assist with modified accrual and full-accrual adjustments. However, as independent auditors, external auditors cannot be considered part of the District's internal control system. </t>
  </si>
  <si>
    <t>The Board of Education and management share the ultimate responsibility for the District's internal control system. While it is acceptable to outsource various accounting functions, the responsibilities for internal control cannot be outsourced to the external auditors and still be considered part of the on-going internal control of the organization. The District engages the external auditors to assist in preparing its financial statements and accompanying disclosures, and assist with cash to accrual adjustments. However, as independent auditors, external auditors cannot be considered part of the District's internal control system.</t>
  </si>
  <si>
    <t>The District has not made it a practice to record modified accrual based entries historically, but has assisted with them from time to time. This year the auditors proposed all of these.  The District still relies on the external auditor to propose government-wide adjusting entries that do not get carried to the general ledger. The District has limited staffing to address the above circumstances, and was even more limited this year with unusual circumstances.</t>
  </si>
  <si>
    <t>We make no recommendation as to whether management should or should not invest in training or additional personnel to acquire the capacity to prepare the financial statements, including the necessary government-wide full accrual adjustments, and required disclosures.  We recommend the District work to assist with certain entries in the future, and reduce the correcting entries needed.</t>
  </si>
  <si>
    <t>In the past and with many school districts, we have relied on the auditors to prepare the final financial statements and AFR.  We give them all of the reporting necessary to complete the documents.  We provide them with Trial Balances, General Ledgers, Journal Entries, and Balance Sheets where they can pull data out and review it if they would like.  We provide them with copies of POs or any other documentation when it is requested.  We give them all of the information in order to plug it into the AFR.  Management and the Board of Education will continue to make improvements to the internal controls of the District, with the biggest control of making sure that we have segregation of duties in order to have the necessary checks and balances.  There will still be certain accruals that cannot be completed before the audit starts because of the timing of when information is available.</t>
  </si>
  <si>
    <t>These four items were noted in the review of year end bank and investment reconciliations.  The lack of review of the bank reconciliation occurred in March through June.</t>
  </si>
  <si>
    <t>It is possible that a lack of review of bank reconciliations can result in errors or discrepancies in cash and investment balances going undetected on a timely basis. Additionally, lack of proper recording of transfers and adjustments needed for reconciling items can lead to errors in balances.</t>
  </si>
  <si>
    <t>In an ideal control setting, the District would have adequate segregation of duties over financial information, including bank account access, general ledger access, the bank reconciliation process and review process, and preparation and approval of journal entries.</t>
  </si>
  <si>
    <t>During the last quarter of the fiscal year, after turnover of key financial personnel, one individual had bank account and general ledger access, prepared bank reconciliations, and prepared  journal entries.  We noted there were no documented reviews over the bank reconciliations or the journal entries.</t>
  </si>
  <si>
    <t>These items were noted in the review of certain bank reconciliations and  all journal entries tested.</t>
  </si>
  <si>
    <t>Turnover in the finance department along with unusual circumstances due to COVID allowed for duties not being adjusted on a timely basis to properly segregate them.</t>
  </si>
  <si>
    <t>We recommend implementing the segregation of duties over financial transactions again and documented reviews of all  bank reconciliations and journal entries.</t>
  </si>
  <si>
    <t xml:space="preserve">accompanying disclosures, including certain </t>
  </si>
  <si>
    <t xml:space="preserve">adjusting/correcting entries and </t>
  </si>
  <si>
    <t>government-wide entries.</t>
  </si>
  <si>
    <t xml:space="preserve">Page 13, Line 197 - Educational Fund - Food Service Other - Food Commodities </t>
  </si>
  <si>
    <t>Page 18, Line 180 - Transportation Fund - Transportation Salaries - $63,299; Transportation Benefits - $1,418</t>
  </si>
  <si>
    <t>Part C - #20 - See findings at pages 44a, 44b, and 44c</t>
  </si>
  <si>
    <t>Page 13, Line 203 - Educational Fund - School Improvement Grant</t>
  </si>
  <si>
    <t>$34,243</t>
  </si>
  <si>
    <t>During the last quarter of the year, we had a change in personnel and were shut down due to the pandemic, causing a lapse in processes that were originally in place.  Since then, we have changed the procedures for journal entries, receipt entries and school activity account review. We are working on training to segregate the bank reconciliation process going forward.</t>
  </si>
  <si>
    <t>Reconciling items were noted but not adjusted in the general ledger.  Limited staffing resulted in lack of bank reconciliation review.</t>
  </si>
  <si>
    <t xml:space="preserve">In our testing of the bank and investment reconciliations we noted the following four items. 1. Two deposits cleared the bank prior to year end but were not recorded on the general ledger until later the following month. 2. The District showed a reconciling item on its bank reconciliation as of June 30, 2020 for outstanding wire transfers out. These transfers should have been included in an liability rather a reduction of cash as the funds had not yet been wired out as they weren't due until later the following month.  3. Transfers from certain investment accounts to the operating bank account requested on June 30, 2020 did not occur on either side until July, 2020 but was recorded in the general ledger.  4. Reconciling items on the bank reconciliation at June 30, 2020 for accelerated payrolls ran in June were listed, however these items were not paid out so should not have impacted cash at June 30, 2020.                                                                                                                            We also noted that bank reconciliations were not reviewed in the last quarter of the fiscal year. </t>
  </si>
  <si>
    <t>1) Due to the pandemic, some entries to the ledger were not made at the time of the wired deposit. We were working from home and on a scattered schedule and some items may have been entered later than usual. We do not anticipate this happening in the future and are working on processes to ensure the entries are recorded in a timely manner. 2) The outstanding wires listed on the bank reconciliation are payroll liabilities noted until funds are disbursed.  This has been the process in the past. 3) The wire transfer was requested at the end of June to cover an early July payroll.  The entry was recorded at the time of the request even though the funds were not deposited until the next day. 4) The outstanding transfers noted on the reconciliation as of June 30, 2020 are attributed to accelerated payrolls processed in June.  In the future, we will process them as a liability until the funds are disbursed. In March 2020, right at the beginning of the pandemic, we had a change in staffing. The person who would have reviewed the reconciliations left the district and we were not able to train a replacement at the time. We are currently working on procedures to make sure we have a review process for bank reconciliations.</t>
  </si>
  <si>
    <t xml:space="preserve">   Danville CCSD 118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</si>
</sst>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Courier"/>
      <family val="3"/>
    </font>
    <font>
      <sz val="8"/>
      <color indexed="10"/>
      <name val="Arial"/>
      <family val="2"/>
    </font>
    <font>
      <sz val="8"/>
      <color theme="1"/>
      <name val="Arial"/>
      <family val="2"/>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6" tint="0.79998168889431442"/>
        <bgColor indexed="64"/>
      </patternFill>
    </fill>
    <fill>
      <patternFill patternType="solid">
        <fgColor theme="0"/>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tint="0.34998626667073579"/>
      </left>
      <right style="thin">
        <color theme="1" tint="0.34998626667073579"/>
      </right>
      <top/>
      <bottom style="thin">
        <color theme="1" tint="0.34998626667073579"/>
      </bottom>
      <diagonal/>
    </border>
  </borders>
  <cellStyleXfs count="76">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37" fontId="143"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45" fillId="0" borderId="0" applyFont="0" applyFill="0" applyBorder="0" applyAlignment="0" applyProtection="0"/>
    <xf numFmtId="0" fontId="2" fillId="0" borderId="0"/>
    <xf numFmtId="0" fontId="2" fillId="0" borderId="0"/>
    <xf numFmtId="0" fontId="2" fillId="0" borderId="0"/>
    <xf numFmtId="0" fontId="2" fillId="0" borderId="0"/>
    <xf numFmtId="0" fontId="10" fillId="0" borderId="0"/>
  </cellStyleXfs>
  <cellXfs count="271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7" fillId="27" borderId="0" xfId="0" applyFont="1" applyFill="1"/>
    <xf numFmtId="6" fontId="57" fillId="27" borderId="0" xfId="0" quotePrefix="1" applyNumberFormat="1" applyFont="1" applyFill="1"/>
    <xf numFmtId="164" fontId="57" fillId="0" borderId="0" xfId="0" applyNumberFormat="1" applyFont="1" applyFill="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 fontId="62" fillId="0" borderId="22" xfId="3" applyNumberFormat="1" applyFont="1" applyBorder="1" applyAlignment="1" applyProtection="1">
      <alignment shrinkToFit="1"/>
      <protection locked="0"/>
    </xf>
    <xf numFmtId="3" fontId="62" fillId="0" borderId="22" xfId="3" applyNumberFormat="1" applyFont="1" applyBorder="1" applyAlignment="1" applyProtection="1">
      <alignment vertical="center" wrapText="1"/>
      <protection locked="0"/>
    </xf>
    <xf numFmtId="3" fontId="11" fillId="0" borderId="22" xfId="0" applyNumberFormat="1" applyFont="1" applyFill="1" applyBorder="1" applyAlignment="1" applyProtection="1">
      <alignment horizontal="left" vertical="center" wrapText="1"/>
      <protection locked="0"/>
    </xf>
    <xf numFmtId="169" fontId="11" fillId="0" borderId="22" xfId="0" applyNumberFormat="1" applyFont="1" applyFill="1" applyBorder="1" applyAlignment="1" applyProtection="1">
      <alignment horizontal="center"/>
      <protection locked="0"/>
    </xf>
    <xf numFmtId="1" fontId="11" fillId="0" borderId="22" xfId="0" applyNumberFormat="1" applyFont="1" applyFill="1" applyBorder="1" applyAlignment="1" applyProtection="1">
      <alignment horizontal="center"/>
      <protection locked="0"/>
    </xf>
    <xf numFmtId="3" fontId="12" fillId="0" borderId="22" xfId="0" applyNumberFormat="1" applyFont="1" applyFill="1" applyBorder="1" applyAlignment="1" applyProtection="1">
      <alignment horizontal="left" vertical="center" wrapText="1"/>
      <protection locked="0"/>
    </xf>
    <xf numFmtId="3" fontId="11" fillId="0" borderId="22" xfId="0" applyNumberFormat="1" applyFont="1" applyFill="1" applyBorder="1" applyAlignment="1" applyProtection="1">
      <alignment horizontal="left" vertical="center" wrapText="1"/>
      <protection locked="0"/>
    </xf>
    <xf numFmtId="169" fontId="11" fillId="0" borderId="22" xfId="0" applyNumberFormat="1" applyFont="1" applyFill="1" applyBorder="1" applyAlignment="1" applyProtection="1">
      <alignment horizontal="center"/>
      <protection locked="0"/>
    </xf>
    <xf numFmtId="1" fontId="11" fillId="0" borderId="22" xfId="0" applyNumberFormat="1" applyFont="1" applyFill="1" applyBorder="1" applyAlignment="1" applyProtection="1">
      <alignment horizontal="center"/>
      <protection locked="0"/>
    </xf>
    <xf numFmtId="3" fontId="11" fillId="0" borderId="22" xfId="0" applyNumberFormat="1" applyFont="1" applyFill="1" applyBorder="1" applyAlignment="1" applyProtection="1">
      <alignment horizontal="center"/>
      <protection locked="0"/>
    </xf>
    <xf numFmtId="3" fontId="11" fillId="0" borderId="22" xfId="0" applyNumberFormat="1" applyFont="1" applyFill="1" applyBorder="1" applyAlignment="1" applyProtection="1">
      <alignment horizontal="center"/>
      <protection locked="0"/>
    </xf>
    <xf numFmtId="3" fontId="11" fillId="0" borderId="22" xfId="0" applyNumberFormat="1" applyFont="1" applyFill="1" applyBorder="1" applyAlignment="1" applyProtection="1">
      <alignment horizontal="left" vertical="center" wrapText="1"/>
      <protection locked="0"/>
    </xf>
    <xf numFmtId="169" fontId="11" fillId="0" borderId="22" xfId="0" applyNumberFormat="1" applyFont="1" applyFill="1" applyBorder="1" applyAlignment="1" applyProtection="1">
      <alignment horizontal="center"/>
      <protection locked="0"/>
    </xf>
    <xf numFmtId="1" fontId="11" fillId="0" borderId="22" xfId="0" applyNumberFormat="1" applyFont="1" applyFill="1" applyBorder="1" applyAlignment="1" applyProtection="1">
      <alignment horizontal="center"/>
      <protection locked="0"/>
    </xf>
    <xf numFmtId="3" fontId="11" fillId="0" borderId="22" xfId="0" applyNumberFormat="1" applyFont="1" applyFill="1" applyBorder="1" applyAlignment="1" applyProtection="1">
      <alignment horizontal="center"/>
      <protection locked="0"/>
    </xf>
    <xf numFmtId="3" fontId="144" fillId="0" borderId="22" xfId="0" applyNumberFormat="1" applyFont="1" applyFill="1" applyBorder="1" applyAlignment="1" applyProtection="1">
      <alignment horizontal="center"/>
      <protection locked="0"/>
    </xf>
    <xf numFmtId="3" fontId="11" fillId="0" borderId="22" xfId="0" applyNumberFormat="1" applyFont="1" applyFill="1" applyBorder="1" applyAlignment="1" applyProtection="1">
      <alignment horizontal="left" vertical="center" wrapText="1"/>
      <protection locked="0"/>
    </xf>
    <xf numFmtId="169" fontId="11" fillId="0" borderId="22" xfId="0" applyNumberFormat="1" applyFont="1" applyFill="1" applyBorder="1" applyAlignment="1" applyProtection="1">
      <alignment horizontal="center"/>
      <protection locked="0"/>
    </xf>
    <xf numFmtId="1" fontId="11" fillId="0" borderId="22" xfId="0" applyNumberFormat="1" applyFont="1" applyFill="1" applyBorder="1" applyAlignment="1" applyProtection="1">
      <alignment horizontal="center"/>
      <protection locked="0"/>
    </xf>
    <xf numFmtId="3" fontId="12" fillId="0" borderId="22" xfId="0" applyNumberFormat="1" applyFont="1" applyFill="1" applyBorder="1" applyAlignment="1" applyProtection="1">
      <alignment horizontal="left" vertical="center" wrapText="1"/>
      <protection locked="0"/>
    </xf>
    <xf numFmtId="3" fontId="11" fillId="0" borderId="22" xfId="0" applyNumberFormat="1" applyFont="1" applyFill="1" applyBorder="1" applyAlignment="1" applyProtection="1">
      <alignment horizontal="left" vertical="center" wrapText="1"/>
      <protection locked="0"/>
    </xf>
    <xf numFmtId="3" fontId="12" fillId="0" borderId="22" xfId="0" applyNumberFormat="1" applyFont="1" applyFill="1" applyBorder="1" applyAlignment="1" applyProtection="1">
      <alignment horizontal="left" vertical="center" wrapText="1"/>
      <protection locked="0"/>
    </xf>
    <xf numFmtId="3" fontId="11" fillId="0" borderId="22" xfId="0" applyNumberFormat="1" applyFont="1" applyFill="1" applyBorder="1" applyAlignment="1" applyProtection="1">
      <alignment horizontal="left" vertical="center" wrapText="1"/>
      <protection locked="0"/>
    </xf>
    <xf numFmtId="3" fontId="11" fillId="0" borderId="22" xfId="0" applyNumberFormat="1" applyFont="1" applyFill="1" applyBorder="1" applyAlignment="1" applyProtection="1">
      <alignment horizontal="left" vertical="center" wrapText="1"/>
      <protection locked="0"/>
    </xf>
    <xf numFmtId="169" fontId="11" fillId="0" borderId="22" xfId="0" applyNumberFormat="1" applyFont="1" applyFill="1" applyBorder="1" applyAlignment="1" applyProtection="1">
      <alignment horizontal="center"/>
      <protection locked="0"/>
    </xf>
    <xf numFmtId="1" fontId="11" fillId="0" borderId="22" xfId="0" applyNumberFormat="1" applyFont="1" applyFill="1" applyBorder="1" applyAlignment="1" applyProtection="1">
      <alignment horizontal="center"/>
      <protection locked="0"/>
    </xf>
    <xf numFmtId="3" fontId="12" fillId="0" borderId="22" xfId="0" applyNumberFormat="1" applyFont="1" applyFill="1" applyBorder="1" applyAlignment="1" applyProtection="1">
      <alignment horizontal="left" vertical="center" wrapText="1"/>
      <protection locked="0"/>
    </xf>
    <xf numFmtId="3" fontId="11" fillId="0" borderId="22" xfId="0" applyNumberFormat="1" applyFont="1" applyFill="1" applyBorder="1" applyAlignment="1" applyProtection="1">
      <alignment horizontal="left" vertical="center" wrapText="1"/>
      <protection locked="0"/>
    </xf>
    <xf numFmtId="3" fontId="12" fillId="0" borderId="22" xfId="0" applyNumberFormat="1" applyFont="1" applyFill="1" applyBorder="1" applyAlignment="1" applyProtection="1">
      <alignment horizontal="left" vertical="center" wrapText="1"/>
      <protection locked="0"/>
    </xf>
    <xf numFmtId="0" fontId="54" fillId="0" borderId="0" xfId="3" applyFont="1" applyAlignment="1" applyProtection="1">
      <alignment horizontal="center" vertical="center"/>
    </xf>
    <xf numFmtId="3" fontId="57" fillId="0" borderId="0" xfId="3" applyNumberFormat="1" applyFont="1" applyProtection="1"/>
    <xf numFmtId="3" fontId="11" fillId="0" borderId="22" xfId="0" applyNumberFormat="1" applyFont="1" applyFill="1" applyBorder="1" applyAlignment="1" applyProtection="1">
      <alignment horizontal="left" vertical="center" wrapText="1"/>
      <protection locked="0"/>
    </xf>
    <xf numFmtId="169" fontId="11" fillId="0" borderId="22" xfId="0" applyNumberFormat="1" applyFont="1" applyFill="1" applyBorder="1" applyAlignment="1" applyProtection="1">
      <alignment horizontal="center"/>
      <protection locked="0"/>
    </xf>
    <xf numFmtId="1" fontId="11" fillId="0" borderId="22" xfId="0" applyNumberFormat="1" applyFont="1" applyFill="1" applyBorder="1" applyAlignment="1" applyProtection="1">
      <alignment horizontal="center"/>
      <protection locked="0"/>
    </xf>
    <xf numFmtId="3" fontId="11" fillId="0" borderId="22" xfId="0" applyNumberFormat="1" applyFont="1" applyFill="1" applyBorder="1" applyAlignment="1" applyProtection="1">
      <alignment horizontal="center"/>
      <protection locked="0"/>
    </xf>
    <xf numFmtId="169" fontId="11" fillId="0" borderId="22" xfId="0" applyNumberFormat="1" applyFont="1" applyFill="1" applyBorder="1" applyAlignment="1" applyProtection="1">
      <alignment horizontal="center"/>
      <protection locked="0"/>
    </xf>
    <xf numFmtId="1" fontId="11" fillId="0" borderId="22" xfId="0" applyNumberFormat="1" applyFont="1" applyFill="1" applyBorder="1" applyAlignment="1" applyProtection="1">
      <alignment horizontal="center"/>
      <protection locked="0"/>
    </xf>
    <xf numFmtId="3" fontId="11" fillId="0" borderId="22" xfId="0" applyNumberFormat="1" applyFont="1" applyFill="1" applyBorder="1" applyAlignment="1" applyProtection="1">
      <alignment horizontal="left" vertical="center" wrapText="1"/>
      <protection locked="0"/>
    </xf>
    <xf numFmtId="169" fontId="11" fillId="0" borderId="22" xfId="0" applyNumberFormat="1" applyFont="1" applyFill="1" applyBorder="1" applyAlignment="1" applyProtection="1">
      <alignment horizontal="center"/>
      <protection locked="0"/>
    </xf>
    <xf numFmtId="1" fontId="11" fillId="0" borderId="22" xfId="0" applyNumberFormat="1" applyFont="1" applyFill="1" applyBorder="1" applyAlignment="1" applyProtection="1">
      <alignment horizontal="center"/>
      <protection locked="0"/>
    </xf>
    <xf numFmtId="3" fontId="11" fillId="0" borderId="22" xfId="0" applyNumberFormat="1" applyFont="1" applyFill="1" applyBorder="1" applyAlignment="1" applyProtection="1">
      <alignment horizontal="left" vertical="center" wrapText="1"/>
      <protection locked="0"/>
    </xf>
    <xf numFmtId="169" fontId="11" fillId="0" borderId="22" xfId="0" applyNumberFormat="1" applyFont="1" applyFill="1" applyBorder="1" applyAlignment="1" applyProtection="1">
      <alignment horizontal="center"/>
      <protection locked="0"/>
    </xf>
    <xf numFmtId="1" fontId="11" fillId="0" borderId="22" xfId="0" applyNumberFormat="1" applyFont="1" applyFill="1" applyBorder="1" applyAlignment="1" applyProtection="1">
      <alignment horizontal="center"/>
      <protection locked="0"/>
    </xf>
    <xf numFmtId="3" fontId="11" fillId="0" borderId="22" xfId="0" applyNumberFormat="1" applyFont="1" applyFill="1" applyBorder="1" applyAlignment="1" applyProtection="1">
      <alignment horizontal="left" vertical="center" wrapText="1"/>
      <protection locked="0"/>
    </xf>
    <xf numFmtId="169" fontId="11" fillId="0" borderId="22" xfId="0" applyNumberFormat="1" applyFont="1" applyFill="1" applyBorder="1" applyAlignment="1" applyProtection="1">
      <alignment horizontal="center"/>
      <protection locked="0"/>
    </xf>
    <xf numFmtId="1" fontId="11" fillId="0" borderId="22" xfId="0" applyNumberFormat="1" applyFont="1" applyFill="1" applyBorder="1" applyAlignment="1" applyProtection="1">
      <alignment horizontal="center"/>
      <protection locked="0"/>
    </xf>
    <xf numFmtId="3" fontId="11" fillId="0" borderId="22" xfId="0" applyNumberFormat="1" applyFont="1" applyFill="1" applyBorder="1" applyAlignment="1" applyProtection="1">
      <alignment horizontal="left" vertical="center" wrapText="1"/>
      <protection locked="0"/>
    </xf>
    <xf numFmtId="3" fontId="11" fillId="0" borderId="22" xfId="0" applyNumberFormat="1" applyFont="1" applyFill="1" applyBorder="1" applyAlignment="1" applyProtection="1">
      <alignment horizontal="left" vertical="center" wrapText="1"/>
      <protection locked="0"/>
    </xf>
    <xf numFmtId="169" fontId="11" fillId="0" borderId="22" xfId="0" applyNumberFormat="1" applyFont="1" applyFill="1" applyBorder="1" applyAlignment="1" applyProtection="1">
      <alignment horizontal="center"/>
      <protection locked="0"/>
    </xf>
    <xf numFmtId="1" fontId="11" fillId="0" borderId="22" xfId="0" applyNumberFormat="1" applyFont="1" applyFill="1" applyBorder="1" applyAlignment="1" applyProtection="1">
      <alignment horizontal="center"/>
      <protection locked="0"/>
    </xf>
    <xf numFmtId="3" fontId="11" fillId="0" borderId="22" xfId="0" applyNumberFormat="1" applyFont="1" applyFill="1" applyBorder="1" applyAlignment="1" applyProtection="1">
      <alignment horizontal="center"/>
      <protection locked="0"/>
    </xf>
    <xf numFmtId="3" fontId="11" fillId="0" borderId="22" xfId="0" applyNumberFormat="1" applyFont="1" applyFill="1" applyBorder="1" applyAlignment="1" applyProtection="1">
      <alignment horizontal="left" vertical="center" wrapText="1"/>
      <protection locked="0"/>
    </xf>
    <xf numFmtId="169" fontId="11" fillId="0" borderId="22" xfId="0" applyNumberFormat="1" applyFont="1" applyFill="1" applyBorder="1" applyAlignment="1" applyProtection="1">
      <alignment horizontal="center"/>
      <protection locked="0"/>
    </xf>
    <xf numFmtId="1" fontId="11" fillId="0" borderId="22" xfId="0" applyNumberFormat="1" applyFont="1" applyFill="1" applyBorder="1" applyAlignment="1" applyProtection="1">
      <alignment horizontal="center"/>
      <protection locked="0"/>
    </xf>
    <xf numFmtId="3" fontId="11" fillId="0" borderId="22" xfId="0" applyNumberFormat="1" applyFont="1" applyFill="1" applyBorder="1" applyAlignment="1" applyProtection="1">
      <alignment horizontal="left" vertical="center" wrapText="1"/>
      <protection locked="0"/>
    </xf>
    <xf numFmtId="169" fontId="11" fillId="0" borderId="22" xfId="0" applyNumberFormat="1" applyFont="1" applyFill="1" applyBorder="1" applyAlignment="1" applyProtection="1">
      <alignment horizontal="center"/>
      <protection locked="0"/>
    </xf>
    <xf numFmtId="1" fontId="11" fillId="0" borderId="22" xfId="0" applyNumberFormat="1" applyFont="1" applyFill="1" applyBorder="1" applyAlignment="1" applyProtection="1">
      <alignment horizontal="center"/>
      <protection locked="0"/>
    </xf>
    <xf numFmtId="3" fontId="11" fillId="0" borderId="22" xfId="0" applyNumberFormat="1" applyFont="1" applyFill="1" applyBorder="1" applyAlignment="1" applyProtection="1">
      <alignment horizontal="center"/>
      <protection locked="0"/>
    </xf>
    <xf numFmtId="3" fontId="11" fillId="0" borderId="22" xfId="0" applyNumberFormat="1" applyFont="1" applyFill="1" applyBorder="1" applyAlignment="1" applyProtection="1">
      <alignment horizontal="left" vertical="center" wrapText="1"/>
      <protection locked="0"/>
    </xf>
    <xf numFmtId="169" fontId="11" fillId="0" borderId="22" xfId="0" applyNumberFormat="1" applyFont="1" applyFill="1" applyBorder="1" applyAlignment="1" applyProtection="1">
      <alignment horizontal="center"/>
      <protection locked="0"/>
    </xf>
    <xf numFmtId="1" fontId="11" fillId="0" borderId="22" xfId="0" applyNumberFormat="1" applyFont="1" applyFill="1" applyBorder="1" applyAlignment="1" applyProtection="1">
      <alignment horizontal="center"/>
      <protection locked="0"/>
    </xf>
    <xf numFmtId="3" fontId="11" fillId="0" borderId="22" xfId="0" applyNumberFormat="1" applyFont="1" applyFill="1" applyBorder="1" applyAlignment="1" applyProtection="1">
      <alignment horizontal="center"/>
      <protection locked="0"/>
    </xf>
    <xf numFmtId="3" fontId="11" fillId="0" borderId="22" xfId="0" applyNumberFormat="1" applyFont="1" applyFill="1" applyBorder="1" applyAlignment="1" applyProtection="1">
      <alignment horizontal="left" vertical="center" wrapText="1"/>
      <protection locked="0"/>
    </xf>
    <xf numFmtId="169" fontId="11" fillId="0" borderId="22" xfId="0" applyNumberFormat="1" applyFont="1" applyFill="1" applyBorder="1" applyAlignment="1" applyProtection="1">
      <alignment horizontal="center"/>
      <protection locked="0"/>
    </xf>
    <xf numFmtId="1" fontId="11" fillId="0" borderId="22" xfId="0" applyNumberFormat="1" applyFont="1" applyFill="1" applyBorder="1" applyAlignment="1" applyProtection="1">
      <alignment horizontal="center"/>
      <protection locked="0"/>
    </xf>
    <xf numFmtId="3" fontId="11" fillId="0" borderId="22" xfId="0" applyNumberFormat="1" applyFont="1" applyFill="1" applyBorder="1" applyAlignment="1" applyProtection="1">
      <alignment horizontal="center"/>
      <protection locked="0"/>
    </xf>
    <xf numFmtId="3" fontId="11" fillId="0" borderId="22" xfId="0" applyNumberFormat="1" applyFont="1" applyFill="1" applyBorder="1" applyAlignment="1" applyProtection="1">
      <alignment horizontal="left" vertical="center" wrapText="1"/>
      <protection locked="0"/>
    </xf>
    <xf numFmtId="169" fontId="11" fillId="0" borderId="22" xfId="0" applyNumberFormat="1" applyFont="1" applyFill="1" applyBorder="1" applyAlignment="1" applyProtection="1">
      <alignment horizontal="center"/>
      <protection locked="0"/>
    </xf>
    <xf numFmtId="1" fontId="11" fillId="0" borderId="22" xfId="0" applyNumberFormat="1" applyFont="1" applyFill="1" applyBorder="1" applyAlignment="1" applyProtection="1">
      <alignment horizontal="center"/>
      <protection locked="0"/>
    </xf>
    <xf numFmtId="3" fontId="11" fillId="0" borderId="22" xfId="0" applyNumberFormat="1" applyFont="1" applyFill="1" applyBorder="1" applyAlignment="1" applyProtection="1">
      <alignment horizontal="center"/>
      <protection locked="0"/>
    </xf>
    <xf numFmtId="3" fontId="11" fillId="0" borderId="22" xfId="0" applyNumberFormat="1" applyFont="1" applyFill="1" applyBorder="1" applyAlignment="1" applyProtection="1">
      <alignment horizontal="left" vertical="center" wrapText="1"/>
      <protection locked="0"/>
    </xf>
    <xf numFmtId="169" fontId="11" fillId="0" borderId="22" xfId="0" applyNumberFormat="1" applyFont="1" applyFill="1" applyBorder="1" applyAlignment="1" applyProtection="1">
      <alignment horizontal="center"/>
      <protection locked="0"/>
    </xf>
    <xf numFmtId="1" fontId="11" fillId="0" borderId="22" xfId="0" applyNumberFormat="1" applyFont="1" applyFill="1" applyBorder="1" applyAlignment="1" applyProtection="1">
      <alignment horizontal="center"/>
      <protection locked="0"/>
    </xf>
    <xf numFmtId="3" fontId="12" fillId="0" borderId="22" xfId="3" applyNumberFormat="1" applyFont="1" applyBorder="1" applyAlignment="1" applyProtection="1">
      <alignment horizontal="left" vertical="center" wrapText="1"/>
      <protection locked="0"/>
    </xf>
    <xf numFmtId="3" fontId="12" fillId="0" borderId="22" xfId="0" applyNumberFormat="1" applyFont="1" applyFill="1" applyBorder="1" applyAlignment="1" applyProtection="1">
      <alignment horizontal="left" vertical="center" wrapText="1"/>
      <protection locked="0"/>
    </xf>
    <xf numFmtId="3" fontId="12" fillId="0" borderId="22" xfId="0" applyNumberFormat="1" applyFont="1" applyFill="1" applyBorder="1" applyAlignment="1" applyProtection="1">
      <alignment horizontal="left" vertical="center" wrapText="1"/>
      <protection locked="0"/>
    </xf>
    <xf numFmtId="3" fontId="12" fillId="0" borderId="22" xfId="3" applyNumberFormat="1" applyFont="1" applyBorder="1" applyAlignment="1" applyProtection="1">
      <alignment horizontal="left" vertical="center" wrapText="1"/>
      <protection locked="0"/>
    </xf>
    <xf numFmtId="0" fontId="57" fillId="0" borderId="0" xfId="3" applyFont="1" applyAlignment="1" applyProtection="1">
      <alignment wrapText="1"/>
      <protection locked="0"/>
    </xf>
    <xf numFmtId="0" fontId="57" fillId="0" borderId="0" xfId="3" applyFont="1" applyProtection="1">
      <protection locked="0"/>
    </xf>
    <xf numFmtId="0" fontId="57" fillId="0" borderId="0" xfId="3" applyFont="1" applyBorder="1" applyProtection="1">
      <protection locked="0"/>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0" fontId="2" fillId="0" borderId="0" xfId="19" applyFont="1" applyAlignment="1">
      <alignment vertical="center"/>
    </xf>
    <xf numFmtId="0" fontId="2" fillId="0" borderId="0" xfId="19" applyFont="1" applyAlignment="1">
      <alignment horizontal="right" vertical="center"/>
    </xf>
    <xf numFmtId="0" fontId="5" fillId="0" borderId="196" xfId="19" applyBorder="1" applyAlignment="1" applyProtection="1">
      <alignment horizontal="left" vertical="top" wrapText="1"/>
      <protection locked="0"/>
    </xf>
    <xf numFmtId="184" fontId="5" fillId="0" borderId="196" xfId="19" applyNumberFormat="1" applyFont="1" applyBorder="1" applyAlignment="1" applyProtection="1">
      <alignment horizontal="center" vertical="top"/>
      <protection locked="0"/>
    </xf>
    <xf numFmtId="0" fontId="5" fillId="0" borderId="196" xfId="19" applyBorder="1" applyAlignment="1" applyProtection="1">
      <alignment vertical="top"/>
      <protection locked="0"/>
    </xf>
    <xf numFmtId="38" fontId="5" fillId="0" borderId="196" xfId="19" applyNumberFormat="1" applyBorder="1" applyAlignment="1" applyProtection="1">
      <alignment horizontal="right" vertical="top"/>
      <protection locked="0"/>
    </xf>
    <xf numFmtId="38" fontId="5" fillId="16" borderId="196" xfId="19" applyNumberFormat="1" applyFill="1" applyBorder="1" applyAlignment="1" applyProtection="1">
      <alignment horizontal="right" vertical="top"/>
    </xf>
    <xf numFmtId="0" fontId="5" fillId="0" borderId="0" xfId="19" applyFill="1" applyBorder="1" applyAlignment="1" applyProtection="1">
      <alignment horizontal="left" vertical="top" wrapText="1"/>
      <protection locked="0"/>
    </xf>
    <xf numFmtId="184" fontId="5" fillId="0" borderId="0" xfId="19" applyNumberFormat="1" applyFont="1" applyFill="1" applyBorder="1" applyAlignment="1" applyProtection="1">
      <alignment horizontal="center" vertical="top"/>
      <protection locked="0"/>
    </xf>
    <xf numFmtId="0" fontId="5" fillId="0" borderId="0" xfId="19" applyFill="1" applyBorder="1" applyAlignment="1" applyProtection="1">
      <alignment vertical="top"/>
      <protection locked="0"/>
    </xf>
    <xf numFmtId="38" fontId="5" fillId="0" borderId="0" xfId="19" applyNumberFormat="1" applyFill="1" applyBorder="1" applyAlignment="1" applyProtection="1">
      <alignment horizontal="right" vertical="top"/>
      <protection locked="0"/>
    </xf>
    <xf numFmtId="38" fontId="5" fillId="0" borderId="0" xfId="19" applyNumberFormat="1" applyFill="1" applyBorder="1" applyAlignment="1" applyProtection="1">
      <alignment horizontal="right" vertical="top"/>
    </xf>
    <xf numFmtId="0" fontId="5" fillId="0" borderId="0" xfId="19" applyFill="1" applyBorder="1"/>
    <xf numFmtId="38" fontId="145" fillId="0" borderId="0" xfId="19" applyNumberFormat="1" applyFont="1" applyFill="1" applyBorder="1" applyAlignment="1" applyProtection="1">
      <alignment horizontal="right" vertical="top"/>
    </xf>
    <xf numFmtId="0" fontId="131" fillId="0" borderId="140" xfId="19" applyFont="1" applyBorder="1" applyAlignment="1">
      <alignment horizontal="right" vertical="top"/>
    </xf>
    <xf numFmtId="14" fontId="57" fillId="0" borderId="0" xfId="3" applyNumberFormat="1" applyFont="1" applyBorder="1" applyProtection="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4" fillId="0" borderId="0" xfId="19" applyFont="1" applyAlignment="1">
      <alignment horizontal="center" vertic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28" borderId="0" xfId="3" applyFont="1" applyFill="1" applyBorder="1" applyAlignment="1" applyProtection="1">
      <alignment horizontal="left" vertical="top" wrapText="1"/>
      <protection locked="0"/>
    </xf>
    <xf numFmtId="0" fontId="57" fillId="28" borderId="0" xfId="3" applyFont="1" applyFill="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0" fontId="57" fillId="0" borderId="0" xfId="3" applyFont="1" applyAlignment="1" applyProtection="1">
      <alignment horizontal="left" vertical="top" wrapText="1"/>
      <protection locked="0"/>
    </xf>
    <xf numFmtId="8" fontId="57" fillId="0" borderId="0" xfId="3" applyNumberFormat="1" applyFont="1" applyAlignment="1" applyProtection="1">
      <alignment horizontal="left" vertical="top" wrapText="1"/>
      <protection locked="0"/>
    </xf>
    <xf numFmtId="0" fontId="57" fillId="0" borderId="0" xfId="3" applyFont="1" applyBorder="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76">
    <cellStyle name="Comma" xfId="1" builtinId="3"/>
    <cellStyle name="Comma 10" xfId="21" xr:uid="{19E210F9-06EF-49FF-9BDA-FB0328BC8B78}"/>
    <cellStyle name="Comma 11" xfId="22" xr:uid="{1EE8C262-70AB-430F-94AF-BE4E2B80BC7F}"/>
    <cellStyle name="Comma 12" xfId="23" xr:uid="{2C92D032-44AB-4AAC-88D3-6FBE9EEE45EE}"/>
    <cellStyle name="Comma 13" xfId="24" xr:uid="{6A25A7E8-E6BC-41A2-8300-F2745FDE412F}"/>
    <cellStyle name="Comma 14" xfId="25" xr:uid="{45C77256-322A-4CD9-A824-A51B19BA4AB3}"/>
    <cellStyle name="Comma 2" xfId="26" xr:uid="{43BC83E8-5DF8-4DD2-A159-5B560A777A88}"/>
    <cellStyle name="Comma 2 2" xfId="27" xr:uid="{59489EEC-FDEC-4F75-AD52-DDA5B0EDB38A}"/>
    <cellStyle name="Comma 2 3" xfId="28" xr:uid="{97813EF1-B14F-43AD-A9F7-C0A8287945C1}"/>
    <cellStyle name="Comma 2 4" xfId="29" xr:uid="{1987A258-27C1-4996-BC42-FF36E956E59C}"/>
    <cellStyle name="Comma 3" xfId="30" xr:uid="{C005E379-0307-4E31-90DD-603AC2C02004}"/>
    <cellStyle name="Comma 4" xfId="31" xr:uid="{DCFB27A2-DCA1-484C-AEC2-79985F612BB1}"/>
    <cellStyle name="Comma 5" xfId="32" xr:uid="{5717332C-7492-4210-A10F-31E6AF93C977}"/>
    <cellStyle name="Comma 6" xfId="33" xr:uid="{7AE30034-8D64-4E0A-B3D6-774CE472EDA6}"/>
    <cellStyle name="Comma 7" xfId="34" xr:uid="{64185F20-C398-4059-AD34-3A4E5F4260F1}"/>
    <cellStyle name="Comma 8" xfId="35" xr:uid="{BFCE31BE-ECF7-4BCC-85D1-F57A57E8549D}"/>
    <cellStyle name="Comma 9" xfId="36" xr:uid="{FBA12B08-0D25-4307-8237-D399EFAFDA8D}"/>
    <cellStyle name="Hyperlink" xfId="2" builtinId="8"/>
    <cellStyle name="Hyperlink 10" xfId="37" xr:uid="{9D6AE617-BF98-445B-847B-5509E17A8809}"/>
    <cellStyle name="Hyperlink 11" xfId="38" xr:uid="{278467F2-0F91-49E1-8B5B-08AEAE7B20D5}"/>
    <cellStyle name="Hyperlink 12" xfId="39" xr:uid="{AA09B33A-618A-4E1B-A330-E558DC553395}"/>
    <cellStyle name="Hyperlink 13" xfId="40" xr:uid="{FB8BFE90-10AC-4A94-A86A-7B4F0FD279EC}"/>
    <cellStyle name="Hyperlink 14" xfId="41" xr:uid="{76D5430F-455C-4F32-9636-E0183087374E}"/>
    <cellStyle name="Hyperlink 2" xfId="15" xr:uid="{00000000-0005-0000-0000-000002000000}"/>
    <cellStyle name="Hyperlink 2 2" xfId="42" xr:uid="{A8F80672-E72B-4351-A392-D8CFA15895A5}"/>
    <cellStyle name="Hyperlink 3" xfId="43" xr:uid="{443D6DB0-B862-4701-A49D-EE94A83CF1B3}"/>
    <cellStyle name="Hyperlink 4" xfId="44" xr:uid="{346551E4-E86F-4B7B-8B54-5882BAA63647}"/>
    <cellStyle name="Hyperlink 5" xfId="45" xr:uid="{D8CCAA04-AACE-423B-98F6-65A324C77648}"/>
    <cellStyle name="Hyperlink 6" xfId="46" xr:uid="{DD9BF5E4-7676-4C95-AF8D-041C690434F7}"/>
    <cellStyle name="Hyperlink 7" xfId="47" xr:uid="{7EEF44DF-E9F6-414E-B88F-7D0657689D2E}"/>
    <cellStyle name="Hyperlink 8" xfId="48" xr:uid="{33460F3A-9636-44FC-B67D-2743777FDD09}"/>
    <cellStyle name="Hyperlink 9" xfId="49" xr:uid="{947D8E66-30DB-430A-9245-05E8C74378FF}"/>
    <cellStyle name="Normal" xfId="0" builtinId="0"/>
    <cellStyle name="Normal 2" xfId="3" xr:uid="{00000000-0005-0000-0000-000004000000}"/>
    <cellStyle name="Normal 2 2" xfId="50" xr:uid="{E507AF09-E6E0-4519-BFE6-9C3CE9DFFC33}"/>
    <cellStyle name="Normal 3" xfId="4" xr:uid="{00000000-0005-0000-0000-000005000000}"/>
    <cellStyle name="Normal 3 2" xfId="14" xr:uid="{00000000-0005-0000-0000-000006000000}"/>
    <cellStyle name="Normal 3 2 2" xfId="18" xr:uid="{00000000-0005-0000-0000-000007000000}"/>
    <cellStyle name="Normal 3 2 2 2" xfId="74" xr:uid="{6132E227-D612-46D2-9BF8-5A80ECA4D82F}"/>
    <cellStyle name="Normal 3 2 3" xfId="52" xr:uid="{04C64686-8675-471A-8880-E8FBD43366A8}"/>
    <cellStyle name="Normal 3 2 4" xfId="71" xr:uid="{ACFD5D69-D23F-43A0-A2EC-76073113199F}"/>
    <cellStyle name="Normal 3 3" xfId="51" xr:uid="{9D2E2339-9693-4D1A-BF92-4E710F4FCD71}"/>
    <cellStyle name="Normal 4" xfId="16" xr:uid="{00000000-0005-0000-0000-000008000000}"/>
    <cellStyle name="Normal 4 2" xfId="54" xr:uid="{94C3316A-17EC-4880-ACCE-F6EF20CA63C7}"/>
    <cellStyle name="Normal 4 3" xfId="55" xr:uid="{DC28A166-755B-442E-8B84-4FAB9852410F}"/>
    <cellStyle name="Normal 4 4" xfId="56" xr:uid="{75482568-63B4-4EE6-B9C6-778EFFF984D3}"/>
    <cellStyle name="Normal 4 5" xfId="53" xr:uid="{F9F1A25E-1E11-44C7-89DA-A79D00F0958E}"/>
    <cellStyle name="Normal 4 6" xfId="72" xr:uid="{465187BB-6430-49CA-9A4E-94F16A1FA7A9}"/>
    <cellStyle name="Normal 5" xfId="17" xr:uid="{00000000-0005-0000-0000-000009000000}"/>
    <cellStyle name="Normal 5 2" xfId="19" xr:uid="{00000000-0005-0000-0000-00000A000000}"/>
    <cellStyle name="Normal 5 2 2" xfId="75" xr:uid="{1FC97BB8-D62C-4EEA-A291-27CAF014D86F}"/>
    <cellStyle name="Normal 5 3" xfId="57" xr:uid="{626A44D5-62C9-43E7-8964-937110FBF059}"/>
    <cellStyle name="Normal 5 4" xfId="73" xr:uid="{F2F13C95-01EA-449E-9B59-15B0314FD6E6}"/>
    <cellStyle name="Normal 6" xfId="20" xr:uid="{00000000-0005-0000-0000-00000B000000}"/>
    <cellStyle name="Normal 6 2" xfId="59" xr:uid="{4EE4CB9B-ACE2-4999-8671-9B5841D8FBE1}"/>
    <cellStyle name="Normal 6 3" xfId="60" xr:uid="{89CBDA8D-FEFD-4A72-B585-E2C51A0CB5D7}"/>
    <cellStyle name="Normal 6 4" xfId="61" xr:uid="{03607215-6960-432F-87DE-7AF25F3B6178}"/>
    <cellStyle name="Normal 6 5" xfId="58" xr:uid="{AD5E3761-74CE-4072-BFD9-967E8B2DEC5F}"/>
    <cellStyle name="Normal 7" xfId="62" xr:uid="{86329F35-F084-48F3-86A1-179DAD53D728}"/>
    <cellStyle name="Normal 7 2" xfId="63" xr:uid="{3FC41B58-0A6B-424A-B407-9E39F38C1F39}"/>
    <cellStyle name="Normal 7 3" xfId="64" xr:uid="{BD93402E-3C91-4435-96E7-AB4DDF2F26BA}"/>
    <cellStyle name="Normal 7 4" xfId="65" xr:uid="{A8D9AB3F-4469-4FBB-895B-2CE6090BBA70}"/>
    <cellStyle name="Normal 8 2" xfId="66" xr:uid="{62ECE05E-FD5C-44E1-B706-4E4539840F0F}"/>
    <cellStyle name="Normal 8 3" xfId="67" xr:uid="{715E48D1-B62C-45B7-A6CF-602DF8A30E02}"/>
    <cellStyle name="Normal 8 4" xfId="68" xr:uid="{05D3B452-B87F-44C0-B3AF-6D3C04727AD6}"/>
    <cellStyle name="Normal 9" xfId="69" xr:uid="{7BC15B28-F82B-4C80-BD65-6B917C845EFB}"/>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 name="Percent 2" xfId="70" xr:uid="{D19CC55B-3BF6-48F6-9706-7880573E6F3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8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768927</xdr:colOff>
          <xdr:row>5</xdr:row>
          <xdr:rowOff>41564</xdr:rowOff>
        </xdr:to>
        <xdr:sp macro="" textlink="">
          <xdr:nvSpPr>
            <xdr:cNvPr id="45064" name="Object 8" hidden="1">
              <a:extLst>
                <a:ext uri="{63B3BB69-23CF-44E3-9099-C40C66FF867C}">
                  <a14:compatExt spid="_x0000_s45064"/>
                </a:ext>
                <a:ext uri="{FF2B5EF4-FFF2-40B4-BE49-F238E27FC236}">
                  <a16:creationId xmlns:a16="http://schemas.microsoft.com/office/drawing/2014/main" id="{00000000-0008-0000-1500-000008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1092777</xdr:colOff>
          <xdr:row>1</xdr:row>
          <xdr:rowOff>40698</xdr:rowOff>
        </xdr:from>
        <xdr:to>
          <xdr:col>1</xdr:col>
          <xdr:colOff>1864302</xdr:colOff>
          <xdr:row>5</xdr:row>
          <xdr:rowOff>79664</xdr:rowOff>
        </xdr:to>
        <xdr:sp macro="" textlink="">
          <xdr:nvSpPr>
            <xdr:cNvPr id="45065" name="Object 9" hidden="1">
              <a:extLst>
                <a:ext uri="{63B3BB69-23CF-44E3-9099-C40C66FF867C}">
                  <a14:compatExt spid="_x0000_s45065"/>
                </a:ext>
                <a:ext uri="{FF2B5EF4-FFF2-40B4-BE49-F238E27FC236}">
                  <a16:creationId xmlns:a16="http://schemas.microsoft.com/office/drawing/2014/main" id="{00000000-0008-0000-1500-000009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2152650</xdr:colOff>
          <xdr:row>1</xdr:row>
          <xdr:rowOff>66675</xdr:rowOff>
        </xdr:from>
        <xdr:to>
          <xdr:col>1</xdr:col>
          <xdr:colOff>3067050</xdr:colOff>
          <xdr:row>5</xdr:row>
          <xdr:rowOff>152400</xdr:rowOff>
        </xdr:to>
        <xdr:sp macro="" textlink="">
          <xdr:nvSpPr>
            <xdr:cNvPr id="45066" name="Object 10" hidden="1">
              <a:extLst>
                <a:ext uri="{63B3BB69-23CF-44E3-9099-C40C66FF867C}">
                  <a14:compatExt spid="_x0000_s45066"/>
                </a:ext>
                <a:ext uri="{FF2B5EF4-FFF2-40B4-BE49-F238E27FC236}">
                  <a16:creationId xmlns:a16="http://schemas.microsoft.com/office/drawing/2014/main" id="{00000000-0008-0000-1500-00000A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3286125</xdr:colOff>
          <xdr:row>1</xdr:row>
          <xdr:rowOff>57150</xdr:rowOff>
        </xdr:from>
        <xdr:to>
          <xdr:col>2</xdr:col>
          <xdr:colOff>114300</xdr:colOff>
          <xdr:row>5</xdr:row>
          <xdr:rowOff>133350</xdr:rowOff>
        </xdr:to>
        <xdr:sp macro="" textlink="">
          <xdr:nvSpPr>
            <xdr:cNvPr id="45067" name="Object 11" hidden="1">
              <a:extLst>
                <a:ext uri="{63B3BB69-23CF-44E3-9099-C40C66FF867C}">
                  <a14:compatExt spid="_x0000_s45067"/>
                </a:ext>
                <a:ext uri="{FF2B5EF4-FFF2-40B4-BE49-F238E27FC236}">
                  <a16:creationId xmlns:a16="http://schemas.microsoft.com/office/drawing/2014/main" id="{00000000-0008-0000-1500-00000B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6" tint="0.59999389629810485"/>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13">
        <f>+'AFR20'!E4</f>
        <v>44119</v>
      </c>
      <c r="C1" s="2213"/>
      <c r="D1" s="2214"/>
      <c r="I1" s="2172" t="s">
        <v>402</v>
      </c>
      <c r="J1" s="2173"/>
      <c r="K1" s="2173"/>
      <c r="L1" s="2173"/>
      <c r="M1" s="2173"/>
      <c r="N1" s="2173"/>
      <c r="O1" s="2173"/>
      <c r="P1" s="2173"/>
      <c r="Q1" s="2173"/>
      <c r="R1" s="2173"/>
      <c r="S1" s="2173"/>
    </row>
    <row r="2" spans="1:32" ht="12" customHeight="1" x14ac:dyDescent="0.2">
      <c r="A2" s="1830" t="str">
        <f>"Due to ISBE on "</f>
        <v xml:space="preserve">Due to ISBE on </v>
      </c>
      <c r="B2" s="2215">
        <f>+'AFR20'!F4</f>
        <v>44151</v>
      </c>
      <c r="C2" s="2215"/>
      <c r="D2" s="2216"/>
      <c r="I2" s="2174" t="s">
        <v>1995</v>
      </c>
      <c r="J2" s="2173"/>
      <c r="K2" s="2173"/>
      <c r="L2" s="2173"/>
      <c r="M2" s="2173"/>
      <c r="N2" s="2173"/>
      <c r="O2" s="2173"/>
      <c r="P2" s="2173"/>
      <c r="Q2" s="2173"/>
      <c r="R2" s="2173"/>
      <c r="S2" s="2173"/>
    </row>
    <row r="3" spans="1:32" ht="12" customHeight="1" x14ac:dyDescent="0.2">
      <c r="A3" s="1833" t="str">
        <f>"SD/JA"&amp;MID('AFR20'!E2,3,2)</f>
        <v>SD/JA20</v>
      </c>
      <c r="B3" s="151"/>
      <c r="C3" s="151"/>
      <c r="D3" s="152"/>
      <c r="I3" s="2174" t="s">
        <v>52</v>
      </c>
      <c r="J3" s="2173"/>
      <c r="K3" s="2173"/>
      <c r="L3" s="2173"/>
      <c r="M3" s="2173"/>
      <c r="N3" s="2173"/>
      <c r="O3" s="2173"/>
      <c r="P3" s="2173"/>
      <c r="Q3" s="2173"/>
      <c r="R3" s="2173"/>
      <c r="S3" s="2173"/>
    </row>
    <row r="4" spans="1:32" ht="12" customHeight="1" x14ac:dyDescent="0.2">
      <c r="A4" s="37"/>
      <c r="I4" s="2174" t="s">
        <v>521</v>
      </c>
      <c r="J4" s="2173"/>
      <c r="K4" s="2173"/>
      <c r="L4" s="2173"/>
      <c r="M4" s="2173"/>
      <c r="N4" s="2173"/>
      <c r="O4" s="2173"/>
      <c r="P4" s="2173"/>
      <c r="Q4" s="2173"/>
      <c r="R4" s="2173"/>
      <c r="S4" s="2173"/>
    </row>
    <row r="5" spans="1:32" ht="14.1" customHeight="1" x14ac:dyDescent="0.2">
      <c r="B5" s="101" t="s">
        <v>2043</v>
      </c>
      <c r="C5" s="26" t="s">
        <v>904</v>
      </c>
      <c r="D5" s="81"/>
      <c r="E5" s="81"/>
      <c r="H5" s="38"/>
      <c r="I5" s="2182" t="s">
        <v>675</v>
      </c>
      <c r="J5" s="2181"/>
      <c r="K5" s="2181"/>
      <c r="L5" s="2181"/>
      <c r="M5" s="2181"/>
      <c r="N5" s="2181"/>
      <c r="O5" s="2181"/>
      <c r="P5" s="2181"/>
      <c r="Q5" s="2181"/>
      <c r="R5" s="2181"/>
      <c r="S5" s="2181"/>
      <c r="AF5" s="1826"/>
    </row>
    <row r="6" spans="1:32" ht="14.1" customHeight="1" x14ac:dyDescent="0.2">
      <c r="B6" s="101"/>
      <c r="C6" s="26" t="s">
        <v>905</v>
      </c>
      <c r="D6" s="81"/>
      <c r="E6" s="81"/>
      <c r="I6" s="2180" t="s">
        <v>877</v>
      </c>
      <c r="J6" s="2181"/>
      <c r="K6" s="2181"/>
      <c r="L6" s="2181"/>
      <c r="M6" s="2181"/>
      <c r="N6" s="2181"/>
      <c r="O6" s="2181"/>
      <c r="P6" s="2181"/>
      <c r="Q6" s="2181"/>
      <c r="R6" s="2181"/>
      <c r="S6" s="2181"/>
    </row>
    <row r="7" spans="1:32" ht="12.2" customHeight="1" x14ac:dyDescent="0.2">
      <c r="I7" s="2175" t="str">
        <f>"June 30, "&amp;'AFR20'!E2</f>
        <v>June 30, 2020</v>
      </c>
      <c r="J7" s="2176"/>
      <c r="K7" s="2176"/>
      <c r="L7" s="2176"/>
      <c r="M7" s="2176"/>
      <c r="N7" s="2176"/>
      <c r="O7" s="2176"/>
      <c r="P7" s="2176"/>
      <c r="Q7" s="2176"/>
      <c r="R7" s="2176"/>
      <c r="S7" s="217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77" t="s">
        <v>669</v>
      </c>
      <c r="J9" s="2178"/>
      <c r="K9" s="2178"/>
      <c r="L9" s="2178"/>
      <c r="M9" s="2178"/>
      <c r="N9" s="2178"/>
      <c r="O9" s="2178"/>
      <c r="P9" s="2178"/>
      <c r="Q9" s="2178"/>
      <c r="R9" s="2178"/>
      <c r="S9" s="2179"/>
      <c r="T9" s="2230" t="s">
        <v>530</v>
      </c>
      <c r="U9" s="2231"/>
      <c r="V9" s="2231"/>
      <c r="W9" s="2231"/>
      <c r="X9" s="2231"/>
      <c r="Y9" s="2231"/>
      <c r="Z9" s="2231"/>
      <c r="AA9" s="2232"/>
    </row>
    <row r="10" spans="1:32" ht="13.5" customHeight="1" x14ac:dyDescent="0.2">
      <c r="A10" s="2237" t="s">
        <v>670</v>
      </c>
      <c r="B10" s="2238"/>
      <c r="C10" s="2238"/>
      <c r="D10" s="2238"/>
      <c r="E10" s="2238"/>
      <c r="F10" s="2238"/>
      <c r="G10" s="2238"/>
      <c r="H10" s="2239"/>
      <c r="I10" s="29"/>
      <c r="J10" s="30"/>
      <c r="K10" s="28"/>
      <c r="R10" s="30"/>
      <c r="S10" s="30"/>
      <c r="T10" s="2233"/>
      <c r="U10" s="2181"/>
      <c r="V10" s="2181"/>
      <c r="W10" s="2181"/>
      <c r="X10" s="2181"/>
      <c r="Y10" s="2181"/>
      <c r="Z10" s="2181"/>
      <c r="AA10" s="2187"/>
    </row>
    <row r="11" spans="1:32" ht="14.25" customHeight="1" x14ac:dyDescent="0.2">
      <c r="A11" s="2240" t="s">
        <v>949</v>
      </c>
      <c r="B11" s="2241"/>
      <c r="C11" s="2241"/>
      <c r="D11" s="2241"/>
      <c r="E11" s="2241"/>
      <c r="F11" s="2241"/>
      <c r="G11" s="2241"/>
      <c r="H11" s="2242"/>
      <c r="I11" s="27"/>
      <c r="J11" s="71"/>
      <c r="K11" s="27"/>
      <c r="O11" s="144"/>
      <c r="P11" s="97" t="s">
        <v>199</v>
      </c>
      <c r="Q11" s="30"/>
      <c r="R11" s="28"/>
      <c r="S11" s="27"/>
      <c r="T11" s="2234"/>
      <c r="U11" s="2235"/>
      <c r="V11" s="2235"/>
      <c r="W11" s="2235"/>
      <c r="X11" s="2235"/>
      <c r="Y11" s="2235"/>
      <c r="Z11" s="2235"/>
      <c r="AA11" s="2236"/>
    </row>
    <row r="12" spans="1:32" ht="13.5" customHeight="1" x14ac:dyDescent="0.2">
      <c r="A12" s="82" t="s">
        <v>919</v>
      </c>
      <c r="B12" s="73"/>
      <c r="C12" s="73"/>
      <c r="D12" s="73"/>
      <c r="E12" s="73"/>
      <c r="F12" s="73"/>
      <c r="G12" s="73"/>
      <c r="H12" s="50"/>
      <c r="I12" s="29"/>
      <c r="J12" s="30"/>
      <c r="K12" s="28"/>
      <c r="O12" s="145" t="s">
        <v>2043</v>
      </c>
      <c r="P12" s="97" t="s">
        <v>200</v>
      </c>
      <c r="Q12" s="71"/>
      <c r="R12" s="30"/>
      <c r="S12" s="30"/>
      <c r="T12" s="82" t="s">
        <v>263</v>
      </c>
      <c r="U12" s="48"/>
      <c r="V12" s="48"/>
      <c r="W12" s="48"/>
      <c r="X12" s="48"/>
      <c r="Y12" s="43"/>
      <c r="Z12" s="43"/>
      <c r="AA12" s="44"/>
    </row>
    <row r="13" spans="1:32" ht="13.5" customHeight="1" x14ac:dyDescent="0.2">
      <c r="A13" s="2193">
        <v>54092118024</v>
      </c>
      <c r="B13" s="2194"/>
      <c r="C13" s="2194"/>
      <c r="D13" s="2194"/>
      <c r="E13" s="2194"/>
      <c r="F13" s="2194"/>
      <c r="G13" s="2194"/>
      <c r="H13" s="2195"/>
      <c r="I13" s="31"/>
      <c r="J13" s="30"/>
      <c r="K13" s="28"/>
      <c r="L13" s="30"/>
      <c r="M13" s="30"/>
      <c r="N13" s="30"/>
      <c r="O13" s="30"/>
      <c r="P13" s="30"/>
      <c r="Q13" s="30"/>
      <c r="R13" s="30"/>
      <c r="S13" s="30"/>
      <c r="T13" s="2199" t="s">
        <v>2051</v>
      </c>
      <c r="U13" s="2200"/>
      <c r="V13" s="2200"/>
      <c r="W13" s="2200"/>
      <c r="X13" s="2200"/>
      <c r="Y13" s="2201"/>
      <c r="Z13" s="2201"/>
      <c r="AA13" s="2202"/>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96" t="s">
        <v>2044</v>
      </c>
      <c r="B15" s="2197"/>
      <c r="C15" s="2197"/>
      <c r="D15" s="2197"/>
      <c r="E15" s="2197"/>
      <c r="F15" s="2197"/>
      <c r="G15" s="2197"/>
      <c r="H15" s="2198"/>
      <c r="T15" s="2203" t="s">
        <v>2052</v>
      </c>
      <c r="U15" s="2160"/>
      <c r="V15" s="2160"/>
      <c r="W15" s="2160"/>
      <c r="X15" s="2160"/>
      <c r="Y15" s="2204"/>
      <c r="Z15" s="2204"/>
      <c r="AA15" s="220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66" t="s">
        <v>2206</v>
      </c>
      <c r="B17" s="2167"/>
      <c r="C17" s="2167"/>
      <c r="D17" s="2167"/>
      <c r="E17" s="2167"/>
      <c r="F17" s="2167"/>
      <c r="G17" s="2167"/>
      <c r="H17" s="2192"/>
      <c r="T17" s="2210" t="s">
        <v>2053</v>
      </c>
      <c r="U17" s="2211"/>
      <c r="V17" s="2211"/>
      <c r="W17" s="2211"/>
      <c r="X17" s="2211"/>
      <c r="Y17" s="2211"/>
      <c r="Z17" s="2211"/>
      <c r="AA17" s="2212"/>
    </row>
    <row r="18" spans="1:27" ht="13.5" customHeight="1" x14ac:dyDescent="0.2">
      <c r="A18" s="82" t="s">
        <v>527</v>
      </c>
      <c r="B18" s="73"/>
      <c r="C18" s="69"/>
      <c r="D18" s="73"/>
      <c r="E18" s="73"/>
      <c r="F18" s="73"/>
      <c r="G18" s="73"/>
      <c r="H18" s="53"/>
      <c r="I18" s="2191" t="s">
        <v>671</v>
      </c>
      <c r="J18" s="2142"/>
      <c r="K18" s="2142"/>
      <c r="L18" s="2142"/>
      <c r="M18" s="2142"/>
      <c r="N18" s="2142"/>
      <c r="O18" s="2142"/>
      <c r="P18" s="2142"/>
      <c r="Q18" s="2142"/>
      <c r="R18" s="2142"/>
      <c r="S18" s="2143"/>
      <c r="T18" s="82" t="s">
        <v>706</v>
      </c>
      <c r="U18" s="48"/>
      <c r="V18" s="69"/>
      <c r="W18" s="47"/>
      <c r="X18" s="82" t="s">
        <v>264</v>
      </c>
      <c r="Y18" s="78"/>
      <c r="Z18" s="154" t="s">
        <v>672</v>
      </c>
      <c r="AA18" s="44"/>
    </row>
    <row r="19" spans="1:27" ht="13.5" customHeight="1" x14ac:dyDescent="0.2">
      <c r="A19" s="2196" t="s">
        <v>2045</v>
      </c>
      <c r="B19" s="2152"/>
      <c r="C19" s="2152"/>
      <c r="D19" s="2152"/>
      <c r="E19" s="2152"/>
      <c r="F19" s="2152"/>
      <c r="G19" s="2152"/>
      <c r="H19" s="2132"/>
      <c r="I19" s="30"/>
      <c r="J19" s="96"/>
      <c r="K19" s="40"/>
      <c r="L19" s="38"/>
      <c r="M19" s="109" t="s">
        <v>312</v>
      </c>
      <c r="P19" s="27"/>
      <c r="Q19" s="27"/>
      <c r="R19" s="27"/>
      <c r="S19" s="31"/>
      <c r="T19" s="2196" t="s">
        <v>2046</v>
      </c>
      <c r="U19" s="2131"/>
      <c r="V19" s="2131"/>
      <c r="W19" s="2132"/>
      <c r="X19" s="2208" t="s">
        <v>2054</v>
      </c>
      <c r="Y19" s="2209"/>
      <c r="Z19" s="2206">
        <v>61832</v>
      </c>
      <c r="AA19" s="220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30" t="s">
        <v>2046</v>
      </c>
      <c r="B21" s="2131"/>
      <c r="C21" s="2131"/>
      <c r="D21" s="2131"/>
      <c r="E21" s="2131"/>
      <c r="F21" s="2131"/>
      <c r="G21" s="2131"/>
      <c r="H21" s="2132"/>
      <c r="I21" s="2186" t="s">
        <v>673</v>
      </c>
      <c r="J21" s="2181"/>
      <c r="K21" s="2181"/>
      <c r="L21" s="2181"/>
      <c r="M21" s="2181"/>
      <c r="N21" s="2181"/>
      <c r="O21" s="2181"/>
      <c r="P21" s="2181"/>
      <c r="Q21" s="2181"/>
      <c r="R21" s="2181"/>
      <c r="S21" s="2187"/>
      <c r="T21" s="2221" t="s">
        <v>2055</v>
      </c>
      <c r="U21" s="2222"/>
      <c r="V21" s="2222"/>
      <c r="W21" s="2222"/>
      <c r="X21" s="2227"/>
      <c r="Y21" s="2228"/>
      <c r="Z21" s="2228"/>
      <c r="AA21" s="2229"/>
    </row>
    <row r="22" spans="1:27" ht="13.5" customHeight="1" x14ac:dyDescent="0.2">
      <c r="A22" s="84" t="s">
        <v>528</v>
      </c>
      <c r="B22" s="56"/>
      <c r="C22" s="56"/>
      <c r="D22" s="56"/>
      <c r="E22" s="56"/>
      <c r="F22" s="56"/>
      <c r="G22" s="56"/>
      <c r="H22" s="57"/>
      <c r="I22" s="2188" t="s">
        <v>1412</v>
      </c>
      <c r="J22" s="2189"/>
      <c r="K22" s="2189"/>
      <c r="L22" s="2189"/>
      <c r="M22" s="2189"/>
      <c r="N22" s="2189"/>
      <c r="O22" s="2189"/>
      <c r="P22" s="2189"/>
      <c r="Q22" s="2189"/>
      <c r="R22" s="2189"/>
      <c r="S22" s="2190"/>
      <c r="T22" s="82" t="s">
        <v>1499</v>
      </c>
      <c r="U22" s="48"/>
      <c r="V22" s="69"/>
      <c r="W22" s="48"/>
      <c r="X22" s="155" t="s">
        <v>1307</v>
      </c>
      <c r="Z22" s="43"/>
      <c r="AA22" s="44"/>
    </row>
    <row r="23" spans="1:27" ht="13.5" customHeight="1" x14ac:dyDescent="0.2">
      <c r="A23" s="2183" t="s">
        <v>2047</v>
      </c>
      <c r="B23" s="2184"/>
      <c r="C23" s="2184"/>
      <c r="D23" s="2184"/>
      <c r="E23" s="2184"/>
      <c r="F23" s="2184"/>
      <c r="G23" s="2184"/>
      <c r="H23" s="2185"/>
      <c r="T23" s="2166" t="s">
        <v>2056</v>
      </c>
      <c r="U23" s="2220"/>
      <c r="V23" s="2220"/>
      <c r="W23" s="2220"/>
      <c r="X23" s="2224">
        <v>44469</v>
      </c>
      <c r="Y23" s="2225"/>
      <c r="Z23" s="2225"/>
      <c r="AA23" s="2226"/>
    </row>
    <row r="24" spans="1:27" ht="14.1" customHeight="1" x14ac:dyDescent="0.2">
      <c r="A24" s="85" t="s">
        <v>672</v>
      </c>
      <c r="B24" s="46"/>
      <c r="C24" s="46"/>
      <c r="D24" s="46"/>
      <c r="E24" s="46"/>
      <c r="F24" s="46"/>
      <c r="G24" s="46"/>
      <c r="H24" s="58"/>
      <c r="J24" s="2153">
        <f>IF(B5="x",IF(AUDITCHECK!D29="AFR form Incomplete.","",IF(AUDITCHECK!D29="Deficit reduction plan is required.","School District must complete a deficit reduction plan in the 2020-2021 Budget",)),"")</f>
        <v>0</v>
      </c>
      <c r="K24" s="2153"/>
      <c r="L24" s="2153"/>
      <c r="M24" s="2153"/>
      <c r="N24" s="2153"/>
      <c r="O24" s="2153"/>
      <c r="P24" s="2153"/>
      <c r="Q24" s="2153"/>
      <c r="R24" s="2153"/>
      <c r="S24" s="2154"/>
      <c r="T24" s="102" t="s">
        <v>528</v>
      </c>
      <c r="U24" s="103"/>
      <c r="V24" s="103"/>
      <c r="W24" s="103"/>
      <c r="X24" s="104"/>
      <c r="Y24" s="104"/>
      <c r="Z24" s="104"/>
      <c r="AA24" s="105"/>
    </row>
    <row r="25" spans="1:27" ht="14.1" customHeight="1" x14ac:dyDescent="0.2">
      <c r="A25" s="2130">
        <v>61832</v>
      </c>
      <c r="B25" s="2131"/>
      <c r="C25" s="2131"/>
      <c r="D25" s="2131"/>
      <c r="E25" s="2131"/>
      <c r="F25" s="2131"/>
      <c r="G25" s="2131"/>
      <c r="H25" s="2132"/>
      <c r="I25" s="110"/>
      <c r="J25" s="2155"/>
      <c r="K25" s="2155"/>
      <c r="L25" s="2155"/>
      <c r="M25" s="2155"/>
      <c r="N25" s="2155"/>
      <c r="O25" s="2155"/>
      <c r="P25" s="2155"/>
      <c r="Q25" s="2155"/>
      <c r="R25" s="2155"/>
      <c r="S25" s="2156"/>
      <c r="T25" s="2217" t="s">
        <v>2057</v>
      </c>
      <c r="U25" s="2218"/>
      <c r="V25" s="2218"/>
      <c r="W25" s="2218"/>
      <c r="X25" s="2218"/>
      <c r="Y25" s="2218"/>
      <c r="Z25" s="2218"/>
      <c r="AA25" s="221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1" t="s">
        <v>1494</v>
      </c>
      <c r="J27" s="2142"/>
      <c r="K27" s="2142"/>
      <c r="L27" s="2142"/>
      <c r="M27" s="2142"/>
      <c r="N27" s="2142"/>
      <c r="O27" s="2142"/>
      <c r="P27" s="2142"/>
      <c r="Q27" s="2142"/>
      <c r="R27" s="2142"/>
      <c r="S27" s="214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2043</v>
      </c>
      <c r="F29" s="137" t="s">
        <v>1305</v>
      </c>
      <c r="G29" s="111"/>
      <c r="I29" s="51"/>
      <c r="J29" s="144" t="s">
        <v>2043</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2043</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2043</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2"/>
      <c r="Q35" s="2131"/>
      <c r="R35" s="213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66" t="s">
        <v>2048</v>
      </c>
      <c r="B38" s="2167"/>
      <c r="C38" s="2167"/>
      <c r="D38" s="2167"/>
      <c r="E38" s="2167"/>
      <c r="F38" s="2131"/>
      <c r="G38" s="2131"/>
      <c r="H38" s="2132"/>
      <c r="I38" s="2159"/>
      <c r="J38" s="2160"/>
      <c r="K38" s="2160"/>
      <c r="L38" s="2160"/>
      <c r="M38" s="2160"/>
      <c r="N38" s="2160"/>
      <c r="O38" s="2160"/>
      <c r="P38" s="2161"/>
      <c r="Q38" s="2161"/>
      <c r="R38" s="2161"/>
      <c r="S38" s="2162"/>
      <c r="T38" s="2203"/>
      <c r="U38" s="2160"/>
      <c r="V38" s="2160"/>
      <c r="W38" s="2160"/>
      <c r="X38" s="2161"/>
      <c r="Y38" s="2161"/>
      <c r="Z38" s="2161"/>
      <c r="AA38" s="2162"/>
    </row>
    <row r="39" spans="1:27" ht="12" customHeight="1" x14ac:dyDescent="0.2">
      <c r="A39" s="2136" t="s">
        <v>528</v>
      </c>
      <c r="B39" s="2137"/>
      <c r="C39" s="69"/>
      <c r="D39" s="66"/>
      <c r="E39" s="66"/>
      <c r="F39" s="76"/>
      <c r="G39" s="66"/>
      <c r="H39" s="53"/>
      <c r="I39" s="2136" t="s">
        <v>528</v>
      </c>
      <c r="J39" s="2137"/>
      <c r="K39" s="2137"/>
      <c r="L39" s="2137"/>
      <c r="M39" s="2137"/>
      <c r="N39" s="64"/>
      <c r="O39" s="69"/>
      <c r="P39" s="69"/>
      <c r="Q39" s="75"/>
      <c r="R39" s="69"/>
      <c r="S39" s="53"/>
      <c r="T39" s="69" t="s">
        <v>528</v>
      </c>
      <c r="U39" s="48"/>
      <c r="V39" s="69"/>
      <c r="W39" s="47"/>
      <c r="X39" s="75"/>
      <c r="Y39" s="43"/>
      <c r="Z39" s="43"/>
      <c r="AA39" s="44"/>
    </row>
    <row r="40" spans="1:27" ht="13.5" customHeight="1" x14ac:dyDescent="0.2">
      <c r="A40" s="2144" t="s">
        <v>2047</v>
      </c>
      <c r="B40" s="2145"/>
      <c r="C40" s="2146"/>
      <c r="D40" s="2146"/>
      <c r="E40" s="2146"/>
      <c r="F40" s="2147"/>
      <c r="G40" s="2147"/>
      <c r="H40" s="2148"/>
      <c r="I40" s="2169"/>
      <c r="J40" s="2170"/>
      <c r="K40" s="2170"/>
      <c r="L40" s="2170"/>
      <c r="M40" s="2170"/>
      <c r="N40" s="2170"/>
      <c r="O40" s="2170"/>
      <c r="P40" s="2170"/>
      <c r="Q40" s="2170"/>
      <c r="R40" s="2170"/>
      <c r="S40" s="2171"/>
      <c r="T40" s="2169"/>
      <c r="U40" s="2223"/>
      <c r="V40" s="2170"/>
      <c r="W40" s="2170"/>
      <c r="X40" s="2170"/>
      <c r="Y40" s="2170"/>
      <c r="Z40" s="2170"/>
      <c r="AA40" s="217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58" t="s">
        <v>2049</v>
      </c>
      <c r="B42" s="2150"/>
      <c r="C42" s="2151"/>
      <c r="D42" s="2149" t="s">
        <v>2050</v>
      </c>
      <c r="E42" s="2150"/>
      <c r="F42" s="2150"/>
      <c r="G42" s="2150"/>
      <c r="H42" s="2151"/>
      <c r="I42" s="2133"/>
      <c r="J42" s="2134"/>
      <c r="K42" s="2134"/>
      <c r="L42" s="2134"/>
      <c r="M42" s="2134"/>
      <c r="N42" s="2134"/>
      <c r="O42" s="2135"/>
      <c r="P42" s="2168"/>
      <c r="Q42" s="2134"/>
      <c r="R42" s="2134"/>
      <c r="S42" s="2135"/>
      <c r="T42" s="2133"/>
      <c r="U42" s="2134"/>
      <c r="V42" s="2134"/>
      <c r="W42" s="2135"/>
      <c r="X42" s="2168"/>
      <c r="Y42" s="2134"/>
      <c r="Z42" s="2134"/>
      <c r="AA42" s="213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63"/>
      <c r="B44" s="2164"/>
      <c r="C44" s="2164"/>
      <c r="D44" s="2164"/>
      <c r="E44" s="2164"/>
      <c r="F44" s="2164"/>
      <c r="G44" s="2164"/>
      <c r="H44" s="2165"/>
      <c r="I44" s="2138"/>
      <c r="J44" s="2139"/>
      <c r="K44" s="2139"/>
      <c r="L44" s="2139"/>
      <c r="M44" s="2139"/>
      <c r="N44" s="2139"/>
      <c r="O44" s="2139"/>
      <c r="P44" s="2139"/>
      <c r="Q44" s="2139"/>
      <c r="R44" s="2139"/>
      <c r="S44" s="2140"/>
      <c r="T44" s="2138"/>
      <c r="U44" s="2157"/>
      <c r="V44" s="2157"/>
      <c r="W44" s="2157"/>
      <c r="X44" s="2157"/>
      <c r="Y44" s="2157"/>
      <c r="Z44" s="2139"/>
      <c r="AA44" s="214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1883</v>
      </c>
      <c r="R47" s="41"/>
      <c r="S47" s="41"/>
      <c r="T47" s="41"/>
      <c r="U47" s="41"/>
      <c r="V47" s="41"/>
      <c r="W47" s="41"/>
      <c r="X47" s="41"/>
      <c r="Y47" s="41"/>
      <c r="Z47" s="41"/>
      <c r="AA47" s="41"/>
    </row>
    <row r="48" spans="1:27" x14ac:dyDescent="0.2">
      <c r="Q48" s="41" t="s">
        <v>1884</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59999389629810485"/>
  </sheetPr>
  <dimension ref="A1:H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381" t="s">
        <v>1775</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382"/>
      <c r="B3" s="1293"/>
      <c r="C3" s="1294"/>
      <c r="D3" s="1295" t="s">
        <v>254</v>
      </c>
      <c r="E3" s="1294"/>
      <c r="F3" s="1295" t="s">
        <v>255</v>
      </c>
    </row>
    <row r="4" spans="1:8" ht="13.7" customHeight="1" x14ac:dyDescent="0.2">
      <c r="A4" s="579" t="s">
        <v>1145</v>
      </c>
      <c r="B4" s="1720">
        <f>'Revenues 9-14'!C5</f>
        <v>9170476</v>
      </c>
      <c r="C4" s="1721">
        <v>0</v>
      </c>
      <c r="D4" s="1722">
        <f>B4-C4</f>
        <v>9170476</v>
      </c>
      <c r="E4" s="1721">
        <v>9265038</v>
      </c>
      <c r="F4" s="1722">
        <f>E4-C4</f>
        <v>9265038</v>
      </c>
    </row>
    <row r="5" spans="1:8" ht="13.7" customHeight="1" x14ac:dyDescent="0.2">
      <c r="A5" s="579" t="s">
        <v>865</v>
      </c>
      <c r="B5" s="1723">
        <f>'Revenues 9-14'!D5</f>
        <v>1685738</v>
      </c>
      <c r="C5" s="1663">
        <v>0</v>
      </c>
      <c r="D5" s="1724">
        <f t="shared" ref="D5:D18" si="0">B5-C5</f>
        <v>1685738</v>
      </c>
      <c r="E5" s="1663">
        <v>1703132</v>
      </c>
      <c r="F5" s="1724">
        <f>E5-C5</f>
        <v>1703132</v>
      </c>
    </row>
    <row r="6" spans="1:8" ht="13.7" customHeight="1" x14ac:dyDescent="0.2">
      <c r="A6" s="579" t="s">
        <v>408</v>
      </c>
      <c r="B6" s="1723">
        <f>'Revenues 9-14'!E5</f>
        <v>2233507</v>
      </c>
      <c r="C6" s="1663">
        <v>0</v>
      </c>
      <c r="D6" s="1724">
        <f t="shared" si="0"/>
        <v>2233507</v>
      </c>
      <c r="E6" s="1663">
        <v>2906701</v>
      </c>
      <c r="F6" s="1724">
        <f t="shared" ref="F6:F18" si="1">E6-C6</f>
        <v>2906701</v>
      </c>
    </row>
    <row r="7" spans="1:8" ht="13.7" customHeight="1" x14ac:dyDescent="0.2">
      <c r="A7" s="579" t="s">
        <v>154</v>
      </c>
      <c r="B7" s="1723">
        <f>'Revenues 9-14'!F5</f>
        <v>674292</v>
      </c>
      <c r="C7" s="1663">
        <v>0</v>
      </c>
      <c r="D7" s="1724">
        <f t="shared" si="0"/>
        <v>674292</v>
      </c>
      <c r="E7" s="1663">
        <v>681253</v>
      </c>
      <c r="F7" s="1724">
        <f t="shared" si="1"/>
        <v>681253</v>
      </c>
    </row>
    <row r="8" spans="1:8" ht="13.7" customHeight="1" x14ac:dyDescent="0.2">
      <c r="A8" s="579" t="s">
        <v>1169</v>
      </c>
      <c r="B8" s="1723">
        <f>'Revenues 9-14'!G5</f>
        <v>1236923</v>
      </c>
      <c r="C8" s="1663">
        <v>0</v>
      </c>
      <c r="D8" s="1724">
        <f t="shared" si="0"/>
        <v>1236923</v>
      </c>
      <c r="E8" s="1663">
        <v>1257286</v>
      </c>
      <c r="F8" s="1724">
        <f t="shared" si="1"/>
        <v>1257286</v>
      </c>
    </row>
    <row r="9" spans="1:8" ht="13.7" customHeight="1" x14ac:dyDescent="0.2">
      <c r="A9" s="579" t="s">
        <v>405</v>
      </c>
      <c r="B9" s="1723">
        <f>'Revenues 9-14'!H5</f>
        <v>0</v>
      </c>
      <c r="C9" s="1663">
        <v>0</v>
      </c>
      <c r="D9" s="1724">
        <f t="shared" si="0"/>
        <v>0</v>
      </c>
      <c r="E9" s="1663">
        <v>0</v>
      </c>
      <c r="F9" s="1724">
        <f t="shared" si="1"/>
        <v>0</v>
      </c>
    </row>
    <row r="10" spans="1:8" ht="13.7" customHeight="1" x14ac:dyDescent="0.2">
      <c r="A10" s="579" t="s">
        <v>404</v>
      </c>
      <c r="B10" s="1723">
        <f>'Revenues 9-14'!I5</f>
        <v>168568</v>
      </c>
      <c r="C10" s="1663">
        <v>0</v>
      </c>
      <c r="D10" s="1724">
        <f t="shared" si="0"/>
        <v>168568</v>
      </c>
      <c r="E10" s="1663">
        <v>170313</v>
      </c>
      <c r="F10" s="1724">
        <f t="shared" si="1"/>
        <v>170313</v>
      </c>
    </row>
    <row r="11" spans="1:8" x14ac:dyDescent="0.2">
      <c r="A11" s="579" t="s">
        <v>406</v>
      </c>
      <c r="B11" s="1723">
        <f>'Revenues 9-14'!J5</f>
        <v>1606276</v>
      </c>
      <c r="C11" s="1663">
        <v>0</v>
      </c>
      <c r="D11" s="1724">
        <f t="shared" si="0"/>
        <v>1606276</v>
      </c>
      <c r="E11" s="1663">
        <v>1632724</v>
      </c>
      <c r="F11" s="1724">
        <f t="shared" si="1"/>
        <v>1632724</v>
      </c>
    </row>
    <row r="12" spans="1:8" ht="13.7" customHeight="1" x14ac:dyDescent="0.2">
      <c r="A12" s="579" t="s">
        <v>156</v>
      </c>
      <c r="B12" s="1723">
        <f>'Revenues 9-14'!K5</f>
        <v>168569</v>
      </c>
      <c r="C12" s="1663">
        <v>0</v>
      </c>
      <c r="D12" s="1724">
        <f t="shared" si="0"/>
        <v>168569</v>
      </c>
      <c r="E12" s="1663">
        <v>170313</v>
      </c>
      <c r="F12" s="1724">
        <f t="shared" si="1"/>
        <v>170313</v>
      </c>
    </row>
    <row r="13" spans="1:8" ht="13.7" customHeight="1" x14ac:dyDescent="0.2">
      <c r="A13" s="579" t="s">
        <v>930</v>
      </c>
      <c r="B13" s="1723">
        <f>SUM('Revenues 9-14'!C6:D6)</f>
        <v>168568</v>
      </c>
      <c r="C13" s="1663">
        <v>0</v>
      </c>
      <c r="D13" s="1724">
        <f t="shared" si="0"/>
        <v>168568</v>
      </c>
      <c r="E13" s="1663">
        <v>170313</v>
      </c>
      <c r="F13" s="1724">
        <f t="shared" si="1"/>
        <v>170313</v>
      </c>
    </row>
    <row r="14" spans="1:8" ht="13.7" customHeight="1" x14ac:dyDescent="0.2">
      <c r="A14" s="579" t="s">
        <v>407</v>
      </c>
      <c r="B14" s="1723">
        <f>SUM('Revenues 9-14'!C7:D7,'Revenues 9-14'!F7:H7)</f>
        <v>134858</v>
      </c>
      <c r="C14" s="1663">
        <v>0</v>
      </c>
      <c r="D14" s="1724">
        <f t="shared" si="0"/>
        <v>134858</v>
      </c>
      <c r="E14" s="1663">
        <v>136251</v>
      </c>
      <c r="F14" s="1724">
        <f t="shared" si="1"/>
        <v>136251</v>
      </c>
    </row>
    <row r="15" spans="1:8" ht="13.7" customHeight="1" x14ac:dyDescent="0.2">
      <c r="A15" s="579" t="s">
        <v>1148</v>
      </c>
      <c r="B15" s="1723">
        <f>SUM('Revenues 9-14'!D9:E9,'Revenues 9-14'!H9)</f>
        <v>0</v>
      </c>
      <c r="C15" s="1663">
        <v>0</v>
      </c>
      <c r="D15" s="1724">
        <f t="shared" si="0"/>
        <v>0</v>
      </c>
      <c r="E15" s="1663">
        <v>0</v>
      </c>
      <c r="F15" s="1724">
        <f t="shared" si="1"/>
        <v>0</v>
      </c>
    </row>
    <row r="16" spans="1:8" ht="13.7" customHeight="1" x14ac:dyDescent="0.2">
      <c r="A16" s="579" t="s">
        <v>1149</v>
      </c>
      <c r="B16" s="1723">
        <f>'Revenues 9-14'!G8</f>
        <v>1193126</v>
      </c>
      <c r="C16" s="1663">
        <v>0</v>
      </c>
      <c r="D16" s="1724">
        <f t="shared" si="0"/>
        <v>1193126</v>
      </c>
      <c r="E16" s="1663">
        <v>1212800</v>
      </c>
      <c r="F16" s="1724">
        <f t="shared" si="1"/>
        <v>1212800</v>
      </c>
    </row>
    <row r="17" spans="1:6" ht="13.7" customHeight="1" x14ac:dyDescent="0.2">
      <c r="A17" s="579" t="s">
        <v>1150</v>
      </c>
      <c r="B17" s="1723">
        <f>'Revenues 9-14'!C10</f>
        <v>0</v>
      </c>
      <c r="C17" s="1663">
        <v>0</v>
      </c>
      <c r="D17" s="1724">
        <f t="shared" si="0"/>
        <v>0</v>
      </c>
      <c r="E17" s="1663">
        <v>0</v>
      </c>
      <c r="F17" s="1724">
        <f t="shared" si="1"/>
        <v>0</v>
      </c>
    </row>
    <row r="18" spans="1:6" ht="13.7" customHeight="1" x14ac:dyDescent="0.2">
      <c r="A18" s="579" t="s">
        <v>757</v>
      </c>
      <c r="B18" s="1723">
        <f>SUM('Revenues 9-14'!C11:K11)</f>
        <v>0</v>
      </c>
      <c r="C18" s="1663">
        <v>0</v>
      </c>
      <c r="D18" s="1724">
        <f t="shared" si="0"/>
        <v>0</v>
      </c>
      <c r="E18" s="1663">
        <v>0</v>
      </c>
      <c r="F18" s="1724">
        <f t="shared" si="1"/>
        <v>0</v>
      </c>
    </row>
    <row r="19" spans="1:6" ht="13.7" customHeight="1" thickBot="1" x14ac:dyDescent="0.25">
      <c r="A19" s="1431" t="s">
        <v>1151</v>
      </c>
      <c r="B19" s="1725">
        <f>SUM(B4:B18)</f>
        <v>18440901</v>
      </c>
      <c r="C19" s="1725">
        <f>SUM(C4:C18)</f>
        <v>0</v>
      </c>
      <c r="D19" s="1725">
        <f>SUM(D4:D18)</f>
        <v>18440901</v>
      </c>
      <c r="E19" s="1725">
        <f>SUM(E4:E18)</f>
        <v>19306124</v>
      </c>
      <c r="F19" s="1725">
        <f>SUM(F4:F18)</f>
        <v>19306124</v>
      </c>
    </row>
    <row r="20" spans="1:6" ht="13.5" thickTop="1" x14ac:dyDescent="0.2">
      <c r="B20" s="578"/>
      <c r="F20" s="580"/>
    </row>
    <row r="21" spans="1:6" x14ac:dyDescent="0.2">
      <c r="A21" s="581" t="s">
        <v>1781</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59999389629810485"/>
    <pageSetUpPr fitToPage="1"/>
  </sheetPr>
  <dimension ref="A1:K59"/>
  <sheetViews>
    <sheetView showGridLines="0" defaultGridColor="0" topLeftCell="A13" colorId="8" zoomScale="110" zoomScaleNormal="110" workbookViewId="0">
      <selection activeCell="F49" sqref="F4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03" t="s">
        <v>625</v>
      </c>
      <c r="B1" s="2401"/>
      <c r="C1" s="585"/>
    </row>
    <row r="2" spans="1:7" ht="33.75" x14ac:dyDescent="0.2">
      <c r="A2" s="2408" t="s">
        <v>1775</v>
      </c>
      <c r="B2" s="2409"/>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410" t="s">
        <v>1104</v>
      </c>
      <c r="B3" s="2411"/>
      <c r="C3" s="2404"/>
      <c r="D3" s="2405"/>
      <c r="E3" s="2405"/>
      <c r="F3" s="2406"/>
    </row>
    <row r="4" spans="1:7" ht="12.75" customHeight="1" thickBot="1" x14ac:dyDescent="0.25">
      <c r="A4" s="2398" t="s">
        <v>626</v>
      </c>
      <c r="B4" s="2399"/>
      <c r="C4" s="1655"/>
      <c r="D4" s="1655"/>
      <c r="E4" s="1655"/>
      <c r="F4" s="1731">
        <f>SUM(C4+D4)-E4</f>
        <v>0</v>
      </c>
    </row>
    <row r="5" spans="1:7" ht="15.75" customHeight="1" thickTop="1" x14ac:dyDescent="0.2">
      <c r="A5" s="2402" t="s">
        <v>1101</v>
      </c>
      <c r="B5" s="2397"/>
      <c r="C5" s="2391"/>
      <c r="D5" s="2392"/>
      <c r="E5" s="2392"/>
      <c r="F5" s="2393"/>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94" t="s">
        <v>627</v>
      </c>
      <c r="B15" s="2395"/>
      <c r="C15" s="1731">
        <f>SUM(C6:C14)</f>
        <v>0</v>
      </c>
      <c r="D15" s="1731">
        <f>SUM(D6:D14)</f>
        <v>0</v>
      </c>
      <c r="E15" s="1731">
        <f>SUM(E6:E14)</f>
        <v>0</v>
      </c>
      <c r="F15" s="1731">
        <f>SUM(F6:F14)</f>
        <v>0</v>
      </c>
      <c r="G15" s="473"/>
    </row>
    <row r="16" spans="1:7" s="197" customFormat="1" ht="15.75" customHeight="1" thickTop="1" x14ac:dyDescent="0.2">
      <c r="A16" s="2407" t="s">
        <v>1102</v>
      </c>
      <c r="B16" s="2397"/>
      <c r="C16" s="2391"/>
      <c r="D16" s="2392"/>
      <c r="E16" s="2392"/>
      <c r="F16" s="2393"/>
    </row>
    <row r="17" spans="1:11" ht="12.75" customHeight="1" thickBot="1" x14ac:dyDescent="0.25">
      <c r="A17" s="2389" t="s">
        <v>64</v>
      </c>
      <c r="B17" s="2390"/>
      <c r="C17" s="1732"/>
      <c r="D17" s="1663"/>
      <c r="E17" s="1732"/>
      <c r="F17" s="1731">
        <f>SUM(C17+D17)-E17</f>
        <v>0</v>
      </c>
    </row>
    <row r="18" spans="1:11" ht="12.75" customHeight="1" thickTop="1" thickBot="1" x14ac:dyDescent="0.25">
      <c r="A18" s="2389" t="s">
        <v>6</v>
      </c>
      <c r="B18" s="2390"/>
      <c r="C18" s="1732"/>
      <c r="D18" s="1663"/>
      <c r="E18" s="1732"/>
      <c r="F18" s="1731">
        <f>SUM(C18+D18)-E18</f>
        <v>0</v>
      </c>
    </row>
    <row r="19" spans="1:11" ht="12.75" customHeight="1" thickTop="1" thickBot="1" x14ac:dyDescent="0.25">
      <c r="A19" s="2389" t="s">
        <v>385</v>
      </c>
      <c r="B19" s="2390"/>
      <c r="C19" s="1732"/>
      <c r="D19" s="1663"/>
      <c r="E19" s="1732"/>
      <c r="F19" s="1731">
        <f>SUM(C19+D19)-E19</f>
        <v>0</v>
      </c>
    </row>
    <row r="20" spans="1:11" ht="12.75" customHeight="1" thickTop="1" thickBot="1" x14ac:dyDescent="0.25">
      <c r="A20" s="2389" t="s">
        <v>445</v>
      </c>
      <c r="B20" s="2390"/>
      <c r="C20" s="1732"/>
      <c r="D20" s="1663"/>
      <c r="E20" s="1732"/>
      <c r="F20" s="1731">
        <f>SUM(C20+D20)-E20</f>
        <v>0</v>
      </c>
    </row>
    <row r="21" spans="1:11" ht="14.25" thickTop="1" thickBot="1" x14ac:dyDescent="0.25">
      <c r="A21" s="2394" t="s">
        <v>628</v>
      </c>
      <c r="B21" s="2395"/>
      <c r="C21" s="1731">
        <f>SUM(C17:C20)</f>
        <v>0</v>
      </c>
      <c r="D21" s="1731">
        <f>SUM(D17:D20)</f>
        <v>0</v>
      </c>
      <c r="E21" s="1731">
        <f>SUM(E17:E20)</f>
        <v>0</v>
      </c>
      <c r="F21" s="1731">
        <f>SUM(F17:F20)</f>
        <v>0</v>
      </c>
      <c r="G21" s="473"/>
    </row>
    <row r="22" spans="1:11" ht="15.75" customHeight="1" thickTop="1" x14ac:dyDescent="0.2">
      <c r="A22" s="2396" t="s">
        <v>1103</v>
      </c>
      <c r="B22" s="2397"/>
      <c r="C22" s="2391"/>
      <c r="D22" s="2392"/>
      <c r="E22" s="2392"/>
      <c r="F22" s="2393"/>
    </row>
    <row r="23" spans="1:11" ht="13.5" thickBot="1" x14ac:dyDescent="0.25">
      <c r="A23" s="2398" t="s">
        <v>629</v>
      </c>
      <c r="B23" s="2399"/>
      <c r="C23" s="1655"/>
      <c r="D23" s="1655"/>
      <c r="E23" s="1655"/>
      <c r="F23" s="1731">
        <f>SUM(C23+D23)-E23</f>
        <v>0</v>
      </c>
      <c r="G23" s="473"/>
    </row>
    <row r="24" spans="1:11" ht="15.75" customHeight="1" thickTop="1" x14ac:dyDescent="0.2">
      <c r="A24" s="2396" t="s">
        <v>1998</v>
      </c>
      <c r="B24" s="2397"/>
      <c r="C24" s="2391"/>
      <c r="D24" s="2392"/>
      <c r="E24" s="2392"/>
      <c r="F24" s="2393"/>
    </row>
    <row r="25" spans="1:11" ht="13.5" thickBot="1" x14ac:dyDescent="0.25">
      <c r="A25" s="2398" t="s">
        <v>1999</v>
      </c>
      <c r="B25" s="2399"/>
      <c r="C25" s="1655"/>
      <c r="D25" s="1655"/>
      <c r="E25" s="1655"/>
      <c r="F25" s="1731">
        <f>SUM(C25+D25)-E25</f>
        <v>0</v>
      </c>
      <c r="G25" s="473"/>
    </row>
    <row r="26" spans="1:11" ht="15.75" customHeight="1" thickTop="1" x14ac:dyDescent="0.2">
      <c r="A26" s="2402" t="s">
        <v>652</v>
      </c>
      <c r="B26" s="2397"/>
      <c r="C26" s="589"/>
      <c r="D26" s="589"/>
      <c r="E26" s="589"/>
      <c r="F26" s="590"/>
    </row>
    <row r="27" spans="1:11" ht="13.5" thickBot="1" x14ac:dyDescent="0.25">
      <c r="A27" s="2394" t="s">
        <v>1061</v>
      </c>
      <c r="B27" s="2395"/>
      <c r="C27" s="1663"/>
      <c r="D27" s="1663"/>
      <c r="E27" s="1663"/>
      <c r="F27" s="1731">
        <f>SUM(C27+D27)-E27</f>
        <v>0</v>
      </c>
      <c r="G27" s="473"/>
    </row>
    <row r="28" spans="1:11" ht="7.5" customHeight="1" thickTop="1" x14ac:dyDescent="0.2">
      <c r="A28" s="489"/>
    </row>
    <row r="29" spans="1:11" ht="23.25" customHeight="1" x14ac:dyDescent="0.2">
      <c r="A29" s="2400" t="s">
        <v>578</v>
      </c>
      <c r="B29" s="2401"/>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1869</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2058</v>
      </c>
      <c r="B31" s="595">
        <v>40618</v>
      </c>
      <c r="C31" s="1733">
        <v>17335000</v>
      </c>
      <c r="D31" s="1734" t="s">
        <v>2065</v>
      </c>
      <c r="E31" s="1733">
        <v>11820000</v>
      </c>
      <c r="F31" s="1733"/>
      <c r="G31" s="1733"/>
      <c r="H31" s="1733">
        <v>1190000</v>
      </c>
      <c r="I31" s="1735">
        <f>((E31+F31)-H31)+G31</f>
        <v>10630000</v>
      </c>
      <c r="J31" s="1733">
        <f>I31-'Assets-Liab 5-6'!E38</f>
        <v>10182544</v>
      </c>
      <c r="K31" s="596"/>
    </row>
    <row r="32" spans="1:11" ht="12" customHeight="1" x14ac:dyDescent="0.2">
      <c r="A32" s="594" t="s">
        <v>2059</v>
      </c>
      <c r="B32" s="595">
        <v>40618</v>
      </c>
      <c r="C32" s="1733">
        <v>6600000</v>
      </c>
      <c r="D32" s="1734">
        <v>4</v>
      </c>
      <c r="E32" s="1733">
        <v>6600000</v>
      </c>
      <c r="F32" s="1733"/>
      <c r="G32" s="1733"/>
      <c r="H32" s="1733"/>
      <c r="I32" s="1735">
        <f>((E32+F32)-H32)+G32</f>
        <v>6600000</v>
      </c>
      <c r="J32" s="1733">
        <f t="shared" ref="J32:J47" si="1">I32</f>
        <v>6600000</v>
      </c>
      <c r="K32" s="596"/>
    </row>
    <row r="33" spans="1:11" ht="12" customHeight="1" x14ac:dyDescent="0.2">
      <c r="A33" s="594" t="s">
        <v>2060</v>
      </c>
      <c r="B33" s="595">
        <v>41245</v>
      </c>
      <c r="C33" s="1733">
        <v>6705000</v>
      </c>
      <c r="D33" s="1734">
        <v>4</v>
      </c>
      <c r="E33" s="1733">
        <v>6185000</v>
      </c>
      <c r="F33" s="1733"/>
      <c r="G33" s="1733"/>
      <c r="H33" s="1733">
        <v>40000</v>
      </c>
      <c r="I33" s="1735">
        <f t="shared" ref="I33:I48" si="2">((E33+F33)-H33)+G33</f>
        <v>6145000</v>
      </c>
      <c r="J33" s="1733">
        <f t="shared" si="1"/>
        <v>6145000</v>
      </c>
      <c r="K33" s="596"/>
    </row>
    <row r="34" spans="1:11" ht="12" customHeight="1" x14ac:dyDescent="0.2">
      <c r="A34" s="594" t="s">
        <v>2061</v>
      </c>
      <c r="B34" s="595">
        <v>41270</v>
      </c>
      <c r="C34" s="1733">
        <v>1200000</v>
      </c>
      <c r="D34" s="1734">
        <v>4</v>
      </c>
      <c r="E34" s="1733">
        <v>1200000</v>
      </c>
      <c r="F34" s="1733"/>
      <c r="G34" s="1733"/>
      <c r="H34" s="1733"/>
      <c r="I34" s="1735">
        <f t="shared" si="2"/>
        <v>1200000</v>
      </c>
      <c r="J34" s="1733">
        <f t="shared" si="1"/>
        <v>1200000</v>
      </c>
      <c r="K34" s="597"/>
    </row>
    <row r="35" spans="1:11" ht="12" customHeight="1" x14ac:dyDescent="0.2">
      <c r="A35" s="594" t="s">
        <v>2062</v>
      </c>
      <c r="B35" s="595">
        <v>42732</v>
      </c>
      <c r="C35" s="1736">
        <v>3365000</v>
      </c>
      <c r="D35" s="1734">
        <v>4</v>
      </c>
      <c r="E35" s="1736">
        <v>3365000</v>
      </c>
      <c r="F35" s="1736"/>
      <c r="G35" s="1736"/>
      <c r="H35" s="1736"/>
      <c r="I35" s="1735">
        <f t="shared" si="2"/>
        <v>3365000</v>
      </c>
      <c r="J35" s="1736">
        <f t="shared" si="1"/>
        <v>3365000</v>
      </c>
      <c r="K35" s="597"/>
    </row>
    <row r="36" spans="1:11" ht="12" customHeight="1" x14ac:dyDescent="0.2">
      <c r="A36" s="594" t="s">
        <v>2063</v>
      </c>
      <c r="B36" s="595">
        <v>42576</v>
      </c>
      <c r="C36" s="1733">
        <v>461947</v>
      </c>
      <c r="D36" s="1734">
        <v>7</v>
      </c>
      <c r="E36" s="1733">
        <v>117162</v>
      </c>
      <c r="F36" s="1733"/>
      <c r="G36" s="1733"/>
      <c r="H36" s="1733">
        <v>117162</v>
      </c>
      <c r="I36" s="1735">
        <f t="shared" si="2"/>
        <v>0</v>
      </c>
      <c r="J36" s="1733">
        <f t="shared" si="1"/>
        <v>0</v>
      </c>
      <c r="K36" s="598"/>
    </row>
    <row r="37" spans="1:11" ht="12" customHeight="1" x14ac:dyDescent="0.2">
      <c r="A37" s="594" t="s">
        <v>2063</v>
      </c>
      <c r="B37" s="595">
        <v>42576</v>
      </c>
      <c r="C37" s="1573">
        <v>55327</v>
      </c>
      <c r="D37" s="1737">
        <v>7</v>
      </c>
      <c r="E37" s="1573">
        <v>22443</v>
      </c>
      <c r="F37" s="1573"/>
      <c r="G37" s="1573"/>
      <c r="H37" s="1573">
        <v>11056</v>
      </c>
      <c r="I37" s="1735">
        <f t="shared" si="2"/>
        <v>11387</v>
      </c>
      <c r="J37" s="1573">
        <f t="shared" si="1"/>
        <v>11387</v>
      </c>
      <c r="K37" s="597"/>
    </row>
    <row r="38" spans="1:11" ht="12" customHeight="1" x14ac:dyDescent="0.2">
      <c r="A38" s="594" t="s">
        <v>2063</v>
      </c>
      <c r="B38" s="595">
        <v>42978</v>
      </c>
      <c r="C38" s="1733">
        <v>255877</v>
      </c>
      <c r="D38" s="1738">
        <v>7</v>
      </c>
      <c r="E38" s="1739">
        <v>102256</v>
      </c>
      <c r="F38" s="1739"/>
      <c r="G38" s="1739"/>
      <c r="H38" s="1739">
        <v>87405</v>
      </c>
      <c r="I38" s="1735">
        <f t="shared" si="2"/>
        <v>14851</v>
      </c>
      <c r="J38" s="1740">
        <f t="shared" si="1"/>
        <v>14851</v>
      </c>
      <c r="K38" s="599"/>
    </row>
    <row r="39" spans="1:11" ht="12" customHeight="1" x14ac:dyDescent="0.2">
      <c r="A39" s="594" t="s">
        <v>2063</v>
      </c>
      <c r="B39" s="595">
        <v>42978</v>
      </c>
      <c r="C39" s="1733">
        <v>249473</v>
      </c>
      <c r="D39" s="1738">
        <v>7</v>
      </c>
      <c r="E39" s="1739">
        <v>138676</v>
      </c>
      <c r="F39" s="1739"/>
      <c r="G39" s="1739"/>
      <c r="H39" s="1739">
        <v>62825</v>
      </c>
      <c r="I39" s="1735">
        <f t="shared" si="2"/>
        <v>75851</v>
      </c>
      <c r="J39" s="1740">
        <f t="shared" si="1"/>
        <v>75851</v>
      </c>
      <c r="K39" s="599"/>
    </row>
    <row r="40" spans="1:11" ht="12" customHeight="1" x14ac:dyDescent="0.2">
      <c r="A40" s="594" t="s">
        <v>2063</v>
      </c>
      <c r="B40" s="595">
        <v>43008</v>
      </c>
      <c r="C40" s="1733">
        <v>289312</v>
      </c>
      <c r="D40" s="1738">
        <v>7</v>
      </c>
      <c r="E40" s="1739">
        <v>192956</v>
      </c>
      <c r="F40" s="1739"/>
      <c r="G40" s="1739"/>
      <c r="H40" s="1739">
        <v>57159</v>
      </c>
      <c r="I40" s="1735">
        <f t="shared" si="2"/>
        <v>135797</v>
      </c>
      <c r="J40" s="1740">
        <f t="shared" si="1"/>
        <v>135797</v>
      </c>
      <c r="K40" s="599"/>
    </row>
    <row r="41" spans="1:11" ht="12" customHeight="1" x14ac:dyDescent="0.2">
      <c r="A41" s="594" t="s">
        <v>2063</v>
      </c>
      <c r="B41" s="595">
        <v>43175</v>
      </c>
      <c r="C41" s="1733">
        <v>183996</v>
      </c>
      <c r="D41" s="1738">
        <v>7</v>
      </c>
      <c r="E41" s="1739">
        <v>61298</v>
      </c>
      <c r="F41" s="1739"/>
      <c r="G41" s="1739"/>
      <c r="H41" s="1739">
        <v>61298</v>
      </c>
      <c r="I41" s="1735">
        <f t="shared" si="2"/>
        <v>0</v>
      </c>
      <c r="J41" s="1740">
        <f t="shared" si="1"/>
        <v>0</v>
      </c>
      <c r="K41" s="599"/>
    </row>
    <row r="42" spans="1:11" ht="12" customHeight="1" x14ac:dyDescent="0.2">
      <c r="A42" s="594" t="s">
        <v>2063</v>
      </c>
      <c r="B42" s="595">
        <v>43175</v>
      </c>
      <c r="C42" s="1733">
        <v>252844</v>
      </c>
      <c r="D42" s="1738">
        <v>7</v>
      </c>
      <c r="E42" s="1739">
        <v>126332</v>
      </c>
      <c r="F42" s="1739"/>
      <c r="G42" s="1739"/>
      <c r="H42" s="1739">
        <v>61976</v>
      </c>
      <c r="I42" s="1735">
        <f t="shared" si="2"/>
        <v>64356</v>
      </c>
      <c r="J42" s="1740">
        <f t="shared" si="1"/>
        <v>64356</v>
      </c>
      <c r="K42" s="599"/>
    </row>
    <row r="43" spans="1:11" ht="12" customHeight="1" x14ac:dyDescent="0.2">
      <c r="A43" s="594" t="s">
        <v>2063</v>
      </c>
      <c r="B43" s="595">
        <v>43175</v>
      </c>
      <c r="C43" s="1733">
        <v>410435</v>
      </c>
      <c r="D43" s="1738">
        <v>7</v>
      </c>
      <c r="E43" s="1739">
        <v>246005</v>
      </c>
      <c r="F43" s="1739"/>
      <c r="G43" s="1739"/>
      <c r="H43" s="1739">
        <v>78792</v>
      </c>
      <c r="I43" s="1735">
        <f t="shared" si="2"/>
        <v>167213</v>
      </c>
      <c r="J43" s="1740">
        <f t="shared" si="1"/>
        <v>167213</v>
      </c>
      <c r="K43" s="599"/>
    </row>
    <row r="44" spans="1:11" ht="12" customHeight="1" x14ac:dyDescent="0.2">
      <c r="A44" s="594" t="s">
        <v>2063</v>
      </c>
      <c r="B44" s="595">
        <v>43623</v>
      </c>
      <c r="C44" s="1733">
        <v>281048</v>
      </c>
      <c r="D44" s="1734">
        <v>7</v>
      </c>
      <c r="E44" s="1733">
        <v>281048</v>
      </c>
      <c r="F44" s="1733"/>
      <c r="G44" s="1733"/>
      <c r="H44" s="1733">
        <v>97653</v>
      </c>
      <c r="I44" s="1735">
        <f t="shared" si="2"/>
        <v>183395</v>
      </c>
      <c r="J44" s="1733">
        <f t="shared" si="1"/>
        <v>183395</v>
      </c>
      <c r="K44" s="597"/>
    </row>
    <row r="45" spans="1:11" ht="12" customHeight="1" x14ac:dyDescent="0.2">
      <c r="A45" s="594" t="s">
        <v>2063</v>
      </c>
      <c r="B45" s="595">
        <v>43623</v>
      </c>
      <c r="C45" s="1733">
        <v>427854</v>
      </c>
      <c r="D45" s="1734">
        <v>7</v>
      </c>
      <c r="E45" s="1733">
        <v>427854</v>
      </c>
      <c r="F45" s="1733"/>
      <c r="G45" s="1733"/>
      <c r="H45" s="1733">
        <v>113228</v>
      </c>
      <c r="I45" s="1735">
        <f t="shared" si="2"/>
        <v>314626</v>
      </c>
      <c r="J45" s="1733">
        <f t="shared" si="1"/>
        <v>314626</v>
      </c>
      <c r="K45" s="597"/>
    </row>
    <row r="46" spans="1:11" ht="12" customHeight="1" x14ac:dyDescent="0.2">
      <c r="A46" s="594" t="s">
        <v>2063</v>
      </c>
      <c r="B46" s="595">
        <v>43623</v>
      </c>
      <c r="C46" s="1733">
        <v>260561</v>
      </c>
      <c r="D46" s="1734">
        <v>7</v>
      </c>
      <c r="E46" s="1733">
        <v>260651</v>
      </c>
      <c r="F46" s="1733"/>
      <c r="G46" s="1733"/>
      <c r="H46" s="1733">
        <v>56328</v>
      </c>
      <c r="I46" s="1735">
        <f t="shared" si="2"/>
        <v>204323</v>
      </c>
      <c r="J46" s="1733">
        <f t="shared" si="1"/>
        <v>204323</v>
      </c>
      <c r="K46" s="597"/>
    </row>
    <row r="47" spans="1:11" ht="12" customHeight="1" x14ac:dyDescent="0.2">
      <c r="A47" s="594" t="s">
        <v>2064</v>
      </c>
      <c r="B47" s="595"/>
      <c r="C47" s="1736">
        <v>904777</v>
      </c>
      <c r="D47" s="1734">
        <v>7</v>
      </c>
      <c r="E47" s="1736"/>
      <c r="F47" s="1736">
        <v>904777</v>
      </c>
      <c r="G47" s="1736"/>
      <c r="H47" s="1736">
        <v>244315</v>
      </c>
      <c r="I47" s="1735">
        <f t="shared" si="2"/>
        <v>660462</v>
      </c>
      <c r="J47" s="1736">
        <f t="shared" si="1"/>
        <v>660462</v>
      </c>
      <c r="K47" s="597"/>
    </row>
    <row r="48" spans="1:11" ht="12" customHeight="1" x14ac:dyDescent="0.2">
      <c r="A48" s="594"/>
      <c r="B48" s="595"/>
      <c r="C48" s="1733"/>
      <c r="D48" s="1734"/>
      <c r="E48" s="1733"/>
      <c r="F48" s="1733"/>
      <c r="G48" s="1733"/>
      <c r="H48" s="1733"/>
      <c r="I48" s="1735">
        <f t="shared" si="2"/>
        <v>0</v>
      </c>
      <c r="J48" s="1733"/>
      <c r="K48" s="597"/>
    </row>
    <row r="49" spans="1:11" ht="12" customHeight="1" x14ac:dyDescent="0.2">
      <c r="A49" s="594"/>
      <c r="B49" s="595"/>
      <c r="C49" s="1735">
        <f>SUM(C31:C48)</f>
        <v>39238451</v>
      </c>
      <c r="D49" s="1741"/>
      <c r="E49" s="1735">
        <f t="shared" ref="E49:J49" si="3">SUM(E31:E48)</f>
        <v>31146681</v>
      </c>
      <c r="F49" s="1735">
        <f t="shared" si="3"/>
        <v>904777</v>
      </c>
      <c r="G49" s="1735">
        <f t="shared" si="3"/>
        <v>0</v>
      </c>
      <c r="H49" s="1735">
        <f t="shared" si="3"/>
        <v>2279197</v>
      </c>
      <c r="I49" s="1735">
        <f t="shared" si="3"/>
        <v>29772261</v>
      </c>
      <c r="J49" s="1735">
        <f t="shared" si="3"/>
        <v>29324805</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906</v>
      </c>
      <c r="B52" s="2383" t="s">
        <v>580</v>
      </c>
      <c r="C52" s="2384"/>
      <c r="D52" s="2384"/>
      <c r="E52" s="603" t="s">
        <v>840</v>
      </c>
      <c r="F52" s="2385" t="s">
        <v>2066</v>
      </c>
      <c r="G52" s="2386"/>
      <c r="H52" s="596"/>
      <c r="I52" s="596"/>
      <c r="J52" s="600"/>
    </row>
    <row r="53" spans="1:11" ht="11.25" customHeight="1" x14ac:dyDescent="0.2">
      <c r="A53" s="604" t="s">
        <v>907</v>
      </c>
      <c r="B53" s="605" t="s">
        <v>945</v>
      </c>
      <c r="C53" s="600"/>
      <c r="D53" s="597"/>
      <c r="E53" s="603" t="s">
        <v>494</v>
      </c>
      <c r="F53" s="2387"/>
      <c r="G53" s="2388"/>
      <c r="H53" s="596"/>
      <c r="I53" s="596"/>
      <c r="J53" s="600"/>
    </row>
    <row r="54" spans="1:11" ht="11.25" customHeight="1" x14ac:dyDescent="0.2">
      <c r="A54" s="606" t="s">
        <v>908</v>
      </c>
      <c r="B54" s="601" t="s">
        <v>946</v>
      </c>
      <c r="C54" s="600"/>
      <c r="D54" s="597"/>
      <c r="E54" s="603" t="s">
        <v>495</v>
      </c>
      <c r="F54" s="2387"/>
      <c r="G54" s="238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AFC24-EDF1-4B3F-ADA7-B77AF96279D5}">
  <sheetPr codeName="Sheet12">
    <tabColor theme="6" tint="0.59999389629810485"/>
    <pageSetUpPr fitToPage="1"/>
  </sheetPr>
  <dimension ref="A1:K59"/>
  <sheetViews>
    <sheetView showGridLines="0" defaultGridColor="0" topLeftCell="A19" colorId="8" zoomScale="110" zoomScaleNormal="110" workbookViewId="0">
      <selection activeCell="N1" sqref="N1:N4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03" t="s">
        <v>625</v>
      </c>
      <c r="B1" s="2401"/>
      <c r="C1" s="585"/>
    </row>
    <row r="2" spans="1:7" ht="33.75" x14ac:dyDescent="0.2">
      <c r="A2" s="2408" t="s">
        <v>1775</v>
      </c>
      <c r="B2" s="2409"/>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410" t="s">
        <v>1104</v>
      </c>
      <c r="B3" s="2411"/>
      <c r="C3" s="2404"/>
      <c r="D3" s="2405"/>
      <c r="E3" s="2405"/>
      <c r="F3" s="2406"/>
    </row>
    <row r="4" spans="1:7" ht="12.75" customHeight="1" thickBot="1" x14ac:dyDescent="0.25">
      <c r="A4" s="2398" t="s">
        <v>626</v>
      </c>
      <c r="B4" s="2399"/>
      <c r="C4" s="1655"/>
      <c r="D4" s="1655"/>
      <c r="E4" s="1655"/>
      <c r="F4" s="1731">
        <f>SUM(C4+D4)-E4</f>
        <v>0</v>
      </c>
    </row>
    <row r="5" spans="1:7" ht="15.75" customHeight="1" thickTop="1" x14ac:dyDescent="0.2">
      <c r="A5" s="2402" t="s">
        <v>1101</v>
      </c>
      <c r="B5" s="2397"/>
      <c r="C5" s="2391"/>
      <c r="D5" s="2392"/>
      <c r="E5" s="2392"/>
      <c r="F5" s="2393"/>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94" t="s">
        <v>627</v>
      </c>
      <c r="B15" s="2395"/>
      <c r="C15" s="1731">
        <f>SUM(C6:C14)</f>
        <v>0</v>
      </c>
      <c r="D15" s="1731">
        <f>SUM(D6:D14)</f>
        <v>0</v>
      </c>
      <c r="E15" s="1731">
        <f>SUM(E6:E14)</f>
        <v>0</v>
      </c>
      <c r="F15" s="1731">
        <f>SUM(F6:F14)</f>
        <v>0</v>
      </c>
      <c r="G15" s="473"/>
    </row>
    <row r="16" spans="1:7" s="197" customFormat="1" ht="15.75" customHeight="1" thickTop="1" x14ac:dyDescent="0.2">
      <c r="A16" s="2407" t="s">
        <v>1102</v>
      </c>
      <c r="B16" s="2397"/>
      <c r="C16" s="2391"/>
      <c r="D16" s="2392"/>
      <c r="E16" s="2392"/>
      <c r="F16" s="2393"/>
    </row>
    <row r="17" spans="1:11" ht="12.75" customHeight="1" thickBot="1" x14ac:dyDescent="0.25">
      <c r="A17" s="2389" t="s">
        <v>64</v>
      </c>
      <c r="B17" s="2390"/>
      <c r="C17" s="1732"/>
      <c r="D17" s="1663"/>
      <c r="E17" s="1732"/>
      <c r="F17" s="1731">
        <f>SUM(C17+D17)-E17</f>
        <v>0</v>
      </c>
    </row>
    <row r="18" spans="1:11" ht="12.75" customHeight="1" thickTop="1" thickBot="1" x14ac:dyDescent="0.25">
      <c r="A18" s="2389" t="s">
        <v>6</v>
      </c>
      <c r="B18" s="2390"/>
      <c r="C18" s="1732"/>
      <c r="D18" s="1663"/>
      <c r="E18" s="1732"/>
      <c r="F18" s="1731">
        <f>SUM(C18+D18)-E18</f>
        <v>0</v>
      </c>
    </row>
    <row r="19" spans="1:11" ht="12.75" customHeight="1" thickTop="1" thickBot="1" x14ac:dyDescent="0.25">
      <c r="A19" s="2389" t="s">
        <v>385</v>
      </c>
      <c r="B19" s="2390"/>
      <c r="C19" s="1732"/>
      <c r="D19" s="1663"/>
      <c r="E19" s="1732"/>
      <c r="F19" s="1731">
        <f>SUM(C19+D19)-E19</f>
        <v>0</v>
      </c>
    </row>
    <row r="20" spans="1:11" ht="12.75" customHeight="1" thickTop="1" thickBot="1" x14ac:dyDescent="0.25">
      <c r="A20" s="2389" t="s">
        <v>445</v>
      </c>
      <c r="B20" s="2390"/>
      <c r="C20" s="1732"/>
      <c r="D20" s="1663"/>
      <c r="E20" s="1732"/>
      <c r="F20" s="1731">
        <f>SUM(C20+D20)-E20</f>
        <v>0</v>
      </c>
    </row>
    <row r="21" spans="1:11" ht="14.25" thickTop="1" thickBot="1" x14ac:dyDescent="0.25">
      <c r="A21" s="2394" t="s">
        <v>628</v>
      </c>
      <c r="B21" s="2395"/>
      <c r="C21" s="1731">
        <f>SUM(C17:C20)</f>
        <v>0</v>
      </c>
      <c r="D21" s="1731">
        <f>SUM(D17:D20)</f>
        <v>0</v>
      </c>
      <c r="E21" s="1731">
        <f>SUM(E17:E20)</f>
        <v>0</v>
      </c>
      <c r="F21" s="1731">
        <f>SUM(F17:F20)</f>
        <v>0</v>
      </c>
      <c r="G21" s="473"/>
    </row>
    <row r="22" spans="1:11" ht="15.75" customHeight="1" thickTop="1" x14ac:dyDescent="0.2">
      <c r="A22" s="2396" t="s">
        <v>1103</v>
      </c>
      <c r="B22" s="2397"/>
      <c r="C22" s="2391"/>
      <c r="D22" s="2392"/>
      <c r="E22" s="2392"/>
      <c r="F22" s="2393"/>
    </row>
    <row r="23" spans="1:11" ht="13.5" thickBot="1" x14ac:dyDescent="0.25">
      <c r="A23" s="2398" t="s">
        <v>629</v>
      </c>
      <c r="B23" s="2399"/>
      <c r="C23" s="1655"/>
      <c r="D23" s="1655"/>
      <c r="E23" s="1655"/>
      <c r="F23" s="1731">
        <f>SUM(C23+D23)-E23</f>
        <v>0</v>
      </c>
      <c r="G23" s="473"/>
    </row>
    <row r="24" spans="1:11" ht="15.75" customHeight="1" thickTop="1" x14ac:dyDescent="0.2">
      <c r="A24" s="2396" t="s">
        <v>1998</v>
      </c>
      <c r="B24" s="2397"/>
      <c r="C24" s="2391"/>
      <c r="D24" s="2392"/>
      <c r="E24" s="2392"/>
      <c r="F24" s="2393"/>
    </row>
    <row r="25" spans="1:11" ht="13.5" thickBot="1" x14ac:dyDescent="0.25">
      <c r="A25" s="2398" t="s">
        <v>1999</v>
      </c>
      <c r="B25" s="2399"/>
      <c r="C25" s="1655"/>
      <c r="D25" s="1655"/>
      <c r="E25" s="1655"/>
      <c r="F25" s="1731">
        <f>SUM(C25+D25)-E25</f>
        <v>0</v>
      </c>
      <c r="G25" s="473"/>
    </row>
    <row r="26" spans="1:11" ht="15.75" customHeight="1" thickTop="1" x14ac:dyDescent="0.2">
      <c r="A26" s="2402" t="s">
        <v>652</v>
      </c>
      <c r="B26" s="2397"/>
      <c r="C26" s="589"/>
      <c r="D26" s="589"/>
      <c r="E26" s="589"/>
      <c r="F26" s="590"/>
    </row>
    <row r="27" spans="1:11" ht="13.5" thickBot="1" x14ac:dyDescent="0.25">
      <c r="A27" s="2394" t="s">
        <v>1061</v>
      </c>
      <c r="B27" s="2395"/>
      <c r="C27" s="1663"/>
      <c r="D27" s="1663"/>
      <c r="E27" s="1663"/>
      <c r="F27" s="1731">
        <f>SUM(C27+D27)-E27</f>
        <v>0</v>
      </c>
      <c r="G27" s="473"/>
    </row>
    <row r="28" spans="1:11" ht="7.5" customHeight="1" thickTop="1" x14ac:dyDescent="0.2">
      <c r="A28" s="489"/>
    </row>
    <row r="29" spans="1:11" ht="23.25" customHeight="1" x14ac:dyDescent="0.2">
      <c r="A29" s="2400" t="s">
        <v>578</v>
      </c>
      <c r="B29" s="2401"/>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1869</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2063</v>
      </c>
      <c r="B31" s="595">
        <v>43894</v>
      </c>
      <c r="C31" s="1733">
        <v>221132</v>
      </c>
      <c r="D31" s="1734">
        <v>7</v>
      </c>
      <c r="E31" s="1733"/>
      <c r="F31" s="1733">
        <v>221132</v>
      </c>
      <c r="G31" s="1733"/>
      <c r="H31" s="1733">
        <v>76602</v>
      </c>
      <c r="I31" s="1735">
        <f>((E31+F31)-H31)+G31</f>
        <v>144530</v>
      </c>
      <c r="J31" s="1733"/>
      <c r="K31" s="596"/>
    </row>
    <row r="32" spans="1:11" ht="12" customHeight="1" x14ac:dyDescent="0.2">
      <c r="A32" s="594" t="s">
        <v>2063</v>
      </c>
      <c r="B32" s="595">
        <v>43894</v>
      </c>
      <c r="C32" s="1733">
        <v>446368</v>
      </c>
      <c r="D32" s="1734">
        <v>7</v>
      </c>
      <c r="E32" s="1733"/>
      <c r="F32" s="1733">
        <v>446368</v>
      </c>
      <c r="G32" s="1733"/>
      <c r="H32" s="1733">
        <v>117261</v>
      </c>
      <c r="I32" s="1735">
        <f>((E32+F32)-H32)+G32</f>
        <v>329107</v>
      </c>
      <c r="J32" s="1733"/>
      <c r="K32" s="596"/>
    </row>
    <row r="33" spans="1:11" ht="12" customHeight="1" x14ac:dyDescent="0.2">
      <c r="A33" s="594" t="s">
        <v>2063</v>
      </c>
      <c r="B33" s="595">
        <v>43894</v>
      </c>
      <c r="C33" s="1733">
        <v>237277</v>
      </c>
      <c r="D33" s="1734">
        <v>7</v>
      </c>
      <c r="E33" s="1733"/>
      <c r="F33" s="1733">
        <v>237277</v>
      </c>
      <c r="G33" s="1733"/>
      <c r="H33" s="1733">
        <v>50452</v>
      </c>
      <c r="I33" s="1735">
        <f t="shared" ref="I33:I48" si="1">((E33+F33)-H33)+G33</f>
        <v>186825</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904777</v>
      </c>
      <c r="D49" s="1741"/>
      <c r="E49" s="1735">
        <f t="shared" ref="E49:J49" si="2">SUM(E31:E48)</f>
        <v>0</v>
      </c>
      <c r="F49" s="1735">
        <f t="shared" si="2"/>
        <v>904777</v>
      </c>
      <c r="G49" s="1735">
        <f t="shared" si="2"/>
        <v>0</v>
      </c>
      <c r="H49" s="1735">
        <f t="shared" si="2"/>
        <v>244315</v>
      </c>
      <c r="I49" s="1735">
        <f t="shared" si="2"/>
        <v>660462</v>
      </c>
      <c r="J49" s="1735">
        <f t="shared" si="2"/>
        <v>0</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906</v>
      </c>
      <c r="B52" s="2383" t="s">
        <v>580</v>
      </c>
      <c r="C52" s="2384"/>
      <c r="D52" s="2384"/>
      <c r="E52" s="603" t="s">
        <v>840</v>
      </c>
      <c r="F52" s="2385" t="s">
        <v>2066</v>
      </c>
      <c r="G52" s="2386"/>
      <c r="H52" s="596"/>
      <c r="I52" s="596"/>
      <c r="J52" s="600"/>
    </row>
    <row r="53" spans="1:11" ht="11.25" customHeight="1" x14ac:dyDescent="0.2">
      <c r="A53" s="604" t="s">
        <v>907</v>
      </c>
      <c r="B53" s="605" t="s">
        <v>945</v>
      </c>
      <c r="C53" s="600"/>
      <c r="D53" s="597"/>
      <c r="E53" s="603" t="s">
        <v>494</v>
      </c>
      <c r="F53" s="2387"/>
      <c r="G53" s="2388"/>
      <c r="H53" s="596"/>
      <c r="I53" s="596"/>
      <c r="J53" s="600"/>
    </row>
    <row r="54" spans="1:11" ht="11.25" customHeight="1" x14ac:dyDescent="0.2">
      <c r="A54" s="606" t="s">
        <v>908</v>
      </c>
      <c r="B54" s="601" t="s">
        <v>946</v>
      </c>
      <c r="C54" s="600"/>
      <c r="D54" s="597"/>
      <c r="E54" s="603" t="s">
        <v>495</v>
      </c>
      <c r="F54" s="2387"/>
      <c r="G54" s="238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F53:G53"/>
    <mergeCell ref="F54:G54"/>
    <mergeCell ref="A25:B25"/>
    <mergeCell ref="A26:B26"/>
    <mergeCell ref="A27:B27"/>
    <mergeCell ref="A29:B29"/>
    <mergeCell ref="B52:D52"/>
    <mergeCell ref="F52:G52"/>
    <mergeCell ref="A24:B24"/>
    <mergeCell ref="C24:F24"/>
    <mergeCell ref="A15:B15"/>
    <mergeCell ref="A16:B16"/>
    <mergeCell ref="C16:F16"/>
    <mergeCell ref="A17:B17"/>
    <mergeCell ref="A18:B18"/>
    <mergeCell ref="A19:B19"/>
    <mergeCell ref="A20:B20"/>
    <mergeCell ref="A21:B21"/>
    <mergeCell ref="A22:B22"/>
    <mergeCell ref="C22:F22"/>
    <mergeCell ref="A23:B23"/>
    <mergeCell ref="A5:B5"/>
    <mergeCell ref="C5:F5"/>
    <mergeCell ref="A1:B1"/>
    <mergeCell ref="A2:B2"/>
    <mergeCell ref="A3:B3"/>
    <mergeCell ref="C3:F3"/>
    <mergeCell ref="A4:B4"/>
  </mergeCells>
  <dataValidations count="2">
    <dataValidation operator="greaterThan" allowBlank="1" showInputMessage="1" showErrorMessage="1" sqref="A1" xr:uid="{65629C2A-72BE-49FC-98A0-A2E0B8A35A12}"/>
    <dataValidation type="whole" operator="greaterThan" allowBlank="1" showInputMessage="1" showErrorMessage="1" sqref="C31:C48 E31:E48 H31:H48" xr:uid="{33ED0D0F-29EE-4133-9AE9-D87CFBC91C1D}">
      <formula1>0</formula1>
    </dataValidation>
  </dataValidations>
  <printOptions headings="1" gridLinesSet="0"/>
  <pageMargins left="0.25" right="0.15" top="0.4" bottom="0.25" header="0.17" footer="0.1"/>
  <pageSetup scale="73" firstPageNumber="24" fitToHeight="0" orientation="landscape" useFirstPageNumber="1" r:id="rId1"/>
  <headerFooter alignWithMargins="0">
    <oddHeader>&amp;L&amp;8Page 24a&amp;R&amp;8Page 24a</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6" tint="0.59999389629810485"/>
  </sheetPr>
  <dimension ref="A1:O48"/>
  <sheetViews>
    <sheetView showGridLines="0" defaultGridColor="0" topLeftCell="A22" colorId="8" zoomScale="110" zoomScaleNormal="110" workbookViewId="0">
      <selection activeCell="H17" sqref="H1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2" t="s">
        <v>851</v>
      </c>
      <c r="B1" s="2413"/>
      <c r="C1" s="2413"/>
      <c r="D1" s="2413"/>
      <c r="E1" s="2413"/>
      <c r="F1" s="2413"/>
      <c r="G1" s="2414"/>
      <c r="H1" s="1297"/>
      <c r="I1" s="614"/>
      <c r="J1" s="400"/>
    </row>
    <row r="2" spans="1:11" ht="26.25" x14ac:dyDescent="0.2">
      <c r="A2" s="2431" t="s">
        <v>1658</v>
      </c>
      <c r="B2" s="2432"/>
      <c r="C2" s="2432"/>
      <c r="D2" s="2432"/>
      <c r="E2" s="2433"/>
      <c r="F2" s="615" t="s">
        <v>898</v>
      </c>
      <c r="G2" s="616" t="s">
        <v>1655</v>
      </c>
      <c r="H2" s="616" t="s">
        <v>407</v>
      </c>
      <c r="I2" s="616" t="s">
        <v>1148</v>
      </c>
      <c r="J2" s="616" t="s">
        <v>1785</v>
      </c>
      <c r="K2" s="616" t="s">
        <v>137</v>
      </c>
    </row>
    <row r="3" spans="1:11" x14ac:dyDescent="0.2">
      <c r="A3" s="2434" t="str">
        <f>"Cash Basis Fund Balance as of July 1, "&amp;'AFR20'!E2-1</f>
        <v>Cash Basis Fund Balance as of July 1, 2019</v>
      </c>
      <c r="B3" s="2435"/>
      <c r="C3" s="2435"/>
      <c r="D3" s="2435"/>
      <c r="E3" s="2436"/>
      <c r="F3" s="617"/>
      <c r="G3" s="1743"/>
      <c r="H3" s="1743">
        <v>263695</v>
      </c>
      <c r="I3" s="1743"/>
      <c r="J3" s="1744"/>
      <c r="K3" s="1744">
        <v>18302</v>
      </c>
    </row>
    <row r="4" spans="1:11" x14ac:dyDescent="0.2">
      <c r="A4" s="2437" t="s">
        <v>366</v>
      </c>
      <c r="B4" s="2438"/>
      <c r="C4" s="2438"/>
      <c r="D4" s="2438"/>
      <c r="E4" s="2384"/>
      <c r="F4" s="620"/>
      <c r="G4" s="1745"/>
      <c r="H4" s="1746"/>
      <c r="I4" s="1745"/>
      <c r="J4" s="1747"/>
      <c r="K4" s="1747"/>
    </row>
    <row r="5" spans="1:11" x14ac:dyDescent="0.2">
      <c r="A5" s="2415" t="s">
        <v>1060</v>
      </c>
      <c r="B5" s="2416"/>
      <c r="C5" s="2416"/>
      <c r="D5" s="2416"/>
      <c r="E5" s="2417"/>
      <c r="F5" s="622" t="s">
        <v>843</v>
      </c>
      <c r="G5" s="1748"/>
      <c r="H5" s="1743">
        <f>'Revenues 9-14'!C7</f>
        <v>134858</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f>'Revenues 9-14'!C101</f>
        <v>21314</v>
      </c>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f>'Revenues 9-14'!C148</f>
        <v>22694</v>
      </c>
    </row>
    <row r="10" spans="1:11" x14ac:dyDescent="0.2">
      <c r="A10" s="2415" t="s">
        <v>1786</v>
      </c>
      <c r="B10" s="2416"/>
      <c r="C10" s="2416"/>
      <c r="D10" s="2416"/>
      <c r="E10" s="2418"/>
      <c r="F10" s="633" t="s">
        <v>857</v>
      </c>
      <c r="G10" s="1752"/>
      <c r="H10" s="1753"/>
      <c r="I10" s="1743"/>
      <c r="J10" s="1744"/>
      <c r="K10" s="1744"/>
    </row>
    <row r="11" spans="1:11" x14ac:dyDescent="0.2">
      <c r="A11" s="2415" t="s">
        <v>159</v>
      </c>
      <c r="B11" s="2416"/>
      <c r="C11" s="2416"/>
      <c r="D11" s="2416"/>
      <c r="E11" s="2417"/>
      <c r="F11" s="622" t="s">
        <v>847</v>
      </c>
      <c r="G11" s="1748"/>
      <c r="H11" s="1743"/>
      <c r="I11" s="1743"/>
      <c r="J11" s="1744"/>
      <c r="K11" s="1750"/>
    </row>
    <row r="12" spans="1:11" ht="13.5" thickBot="1" x14ac:dyDescent="0.25">
      <c r="A12" s="2442" t="s">
        <v>899</v>
      </c>
      <c r="B12" s="2443"/>
      <c r="C12" s="2443"/>
      <c r="D12" s="2443"/>
      <c r="E12" s="2444"/>
      <c r="F12" s="1432"/>
      <c r="G12" s="1754">
        <f>SUM(G5:G11)</f>
        <v>0</v>
      </c>
      <c r="H12" s="1754">
        <f>SUM(H5:H11)</f>
        <v>134858</v>
      </c>
      <c r="I12" s="1754">
        <f>SUM(I5:I11)</f>
        <v>0</v>
      </c>
      <c r="J12" s="1754">
        <f>SUM(J5:J11)</f>
        <v>0</v>
      </c>
      <c r="K12" s="1754">
        <f>SUM(K5:K11)</f>
        <v>44008</v>
      </c>
    </row>
    <row r="13" spans="1:11" ht="13.5" thickTop="1" x14ac:dyDescent="0.2">
      <c r="A13" s="2439" t="s">
        <v>367</v>
      </c>
      <c r="B13" s="2440"/>
      <c r="C13" s="2440"/>
      <c r="D13" s="2440"/>
      <c r="E13" s="2441"/>
      <c r="F13" s="634"/>
      <c r="G13" s="1755"/>
      <c r="H13" s="1756"/>
      <c r="I13" s="1757"/>
      <c r="J13" s="1757"/>
      <c r="K13" s="1757"/>
    </row>
    <row r="14" spans="1:11" x14ac:dyDescent="0.2">
      <c r="A14" s="2422" t="s">
        <v>453</v>
      </c>
      <c r="B14" s="2422"/>
      <c r="C14" s="2422"/>
      <c r="D14" s="2422"/>
      <c r="E14" s="2423"/>
      <c r="F14" s="635" t="s">
        <v>849</v>
      </c>
      <c r="G14" s="1752"/>
      <c r="H14" s="1743">
        <v>398553</v>
      </c>
      <c r="I14" s="1748"/>
      <c r="J14" s="1750"/>
      <c r="K14" s="1744">
        <f>'Expenditures 15-22'!K17+'Expenditures 15-22'!K226</f>
        <v>53158</v>
      </c>
    </row>
    <row r="15" spans="1:11" x14ac:dyDescent="0.2">
      <c r="A15" s="2416" t="s">
        <v>4</v>
      </c>
      <c r="B15" s="2416"/>
      <c r="C15" s="2416"/>
      <c r="D15" s="2416"/>
      <c r="E15" s="2417"/>
      <c r="F15" s="635" t="s">
        <v>850</v>
      </c>
      <c r="G15" s="1748"/>
      <c r="H15" s="1743"/>
      <c r="I15" s="1743"/>
      <c r="J15" s="1744"/>
      <c r="K15" s="1744"/>
    </row>
    <row r="16" spans="1:11" x14ac:dyDescent="0.2">
      <c r="A16" s="2416" t="s">
        <v>295</v>
      </c>
      <c r="B16" s="2416"/>
      <c r="C16" s="2416"/>
      <c r="D16" s="2416"/>
      <c r="E16" s="2417"/>
      <c r="F16" s="635" t="s">
        <v>917</v>
      </c>
      <c r="G16" s="1749"/>
      <c r="H16" s="1745"/>
      <c r="I16" s="1745"/>
      <c r="J16" s="1747"/>
      <c r="K16" s="1747"/>
    </row>
    <row r="17" spans="1:15" x14ac:dyDescent="0.2">
      <c r="A17" s="2449" t="s">
        <v>929</v>
      </c>
      <c r="B17" s="2449"/>
      <c r="C17" s="2449"/>
      <c r="D17" s="2449"/>
      <c r="E17" s="2450"/>
      <c r="F17" s="636"/>
      <c r="G17" s="1758"/>
      <c r="H17" s="1759"/>
      <c r="I17" s="1759"/>
      <c r="J17" s="1760"/>
      <c r="K17" s="1761"/>
    </row>
    <row r="18" spans="1:15" x14ac:dyDescent="0.2">
      <c r="A18" s="2426" t="s">
        <v>365</v>
      </c>
      <c r="B18" s="2427"/>
      <c r="C18" s="2427"/>
      <c r="D18" s="2427"/>
      <c r="E18" s="2428"/>
      <c r="F18" s="635" t="s">
        <v>926</v>
      </c>
      <c r="G18" s="1752"/>
      <c r="H18" s="1752"/>
      <c r="I18" s="1752"/>
      <c r="J18" s="1744"/>
      <c r="K18" s="1762"/>
    </row>
    <row r="19" spans="1:15" ht="21.75" customHeight="1" x14ac:dyDescent="0.2">
      <c r="A19" s="2424" t="s">
        <v>1782</v>
      </c>
      <c r="B19" s="2424"/>
      <c r="C19" s="2424"/>
      <c r="D19" s="2424"/>
      <c r="E19" s="2425"/>
      <c r="F19" s="635" t="s">
        <v>927</v>
      </c>
      <c r="G19" s="1752"/>
      <c r="H19" s="1752"/>
      <c r="I19" s="1752"/>
      <c r="J19" s="1744"/>
      <c r="K19" s="1762"/>
    </row>
    <row r="20" spans="1:15" x14ac:dyDescent="0.2">
      <c r="A20" s="2426" t="s">
        <v>1787</v>
      </c>
      <c r="B20" s="2427"/>
      <c r="C20" s="2427"/>
      <c r="D20" s="2427"/>
      <c r="E20" s="2428"/>
      <c r="F20" s="635" t="s">
        <v>928</v>
      </c>
      <c r="G20" s="1752"/>
      <c r="H20" s="1752"/>
      <c r="I20" s="1752"/>
      <c r="J20" s="1744"/>
      <c r="K20" s="1762"/>
    </row>
    <row r="21" spans="1:15" ht="13.5" thickBot="1" x14ac:dyDescent="0.25">
      <c r="A21" s="2445" t="s">
        <v>633</v>
      </c>
      <c r="B21" s="2445"/>
      <c r="C21" s="2445"/>
      <c r="D21" s="2445"/>
      <c r="E21" s="2445"/>
      <c r="F21" s="1433"/>
      <c r="G21" s="1759"/>
      <c r="H21" s="1763"/>
      <c r="I21" s="1763"/>
      <c r="J21" s="1764">
        <f>SUM(J18:J20)</f>
        <v>0</v>
      </c>
      <c r="K21" s="1760"/>
    </row>
    <row r="22" spans="1:15" ht="13.5" thickTop="1" x14ac:dyDescent="0.2">
      <c r="A22" s="2416" t="s">
        <v>1788</v>
      </c>
      <c r="B22" s="2416"/>
      <c r="C22" s="2416"/>
      <c r="D22" s="2416"/>
      <c r="E22" s="2417"/>
      <c r="F22" s="635" t="s">
        <v>857</v>
      </c>
      <c r="G22" s="1752"/>
      <c r="H22" s="1743"/>
      <c r="I22" s="1743"/>
      <c r="J22" s="1765"/>
      <c r="K22" s="1744"/>
    </row>
    <row r="23" spans="1:15" ht="13.5" thickBot="1" x14ac:dyDescent="0.25">
      <c r="A23" s="2446" t="s">
        <v>900</v>
      </c>
      <c r="B23" s="2445"/>
      <c r="C23" s="2445"/>
      <c r="D23" s="2445"/>
      <c r="E23" s="2445"/>
      <c r="F23" s="1435"/>
      <c r="G23" s="1754">
        <f>SUM(G14:G16,G21,G22)</f>
        <v>0</v>
      </c>
      <c r="H23" s="1754">
        <f>SUM(H14:H16,H21,H22)</f>
        <v>398553</v>
      </c>
      <c r="I23" s="1754">
        <f>SUM(I14:I16,I21,I22)</f>
        <v>0</v>
      </c>
      <c r="J23" s="1754">
        <f>SUM(J14:J16,J21,J22)</f>
        <v>0</v>
      </c>
      <c r="K23" s="1754">
        <f>SUM(K14:K16,K21,K22)</f>
        <v>53158</v>
      </c>
      <c r="M23" s="1845"/>
      <c r="N23" s="1845"/>
      <c r="O23" s="1845"/>
    </row>
    <row r="24" spans="1:15" ht="14.25" thickTop="1" thickBot="1" x14ac:dyDescent="0.25">
      <c r="A24" s="2447" t="str">
        <f>"Ending Cash Basis Fund Balance as of June 30, "&amp;'AFR20'!E2</f>
        <v>Ending Cash Basis Fund Balance as of June 30, 2020</v>
      </c>
      <c r="B24" s="2448"/>
      <c r="C24" s="2448"/>
      <c r="D24" s="2448"/>
      <c r="E24" s="2448"/>
      <c r="F24" s="1436"/>
      <c r="G24" s="1766">
        <f>SUM(G3,G12)-G23</f>
        <v>0</v>
      </c>
      <c r="H24" s="1766">
        <f>SUM(H3,H12)-H23</f>
        <v>0</v>
      </c>
      <c r="I24" s="1766">
        <f>SUM(I3,I12)-I23</f>
        <v>0</v>
      </c>
      <c r="J24" s="1766">
        <f>SUM(J3,J12)-J23</f>
        <v>0</v>
      </c>
      <c r="K24" s="1766">
        <f>SUM(K3,K12)-K23</f>
        <v>9152</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9152</v>
      </c>
    </row>
    <row r="27" spans="1:15" ht="5.25" customHeight="1" thickTop="1" x14ac:dyDescent="0.2">
      <c r="I27" s="197"/>
      <c r="J27" s="197"/>
    </row>
    <row r="28" spans="1:15" ht="29.25" customHeight="1" x14ac:dyDescent="0.2">
      <c r="A28" s="1508" t="s">
        <v>1868</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19"/>
      <c r="I31" s="2420"/>
      <c r="J31" s="2420"/>
      <c r="K31" s="2420"/>
    </row>
    <row r="32" spans="1:15" x14ac:dyDescent="0.2">
      <c r="A32" s="649"/>
      <c r="B32" s="232"/>
      <c r="C32" s="232"/>
      <c r="D32" s="232"/>
      <c r="E32" s="645"/>
      <c r="F32" s="651" t="s">
        <v>537</v>
      </c>
      <c r="G32" s="618"/>
      <c r="H32" s="2421"/>
      <c r="I32" s="2420"/>
      <c r="J32" s="2420"/>
      <c r="K32" s="2420"/>
    </row>
    <row r="33" spans="1:11" ht="1.5" customHeight="1" x14ac:dyDescent="0.2">
      <c r="A33" s="652" t="s">
        <v>1159</v>
      </c>
      <c r="B33" s="341"/>
      <c r="C33" s="341"/>
      <c r="D33" s="341"/>
      <c r="E33" s="341"/>
      <c r="F33" s="341"/>
      <c r="G33" s="653"/>
      <c r="H33" s="2421"/>
      <c r="I33" s="2420"/>
      <c r="J33" s="2420"/>
      <c r="K33" s="2420"/>
    </row>
    <row r="34" spans="1:11" x14ac:dyDescent="0.2">
      <c r="A34" s="654" t="s">
        <v>1789</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16" t="s">
        <v>538</v>
      </c>
      <c r="B41" s="2429"/>
      <c r="C41" s="2429"/>
      <c r="D41" s="2429"/>
      <c r="E41" s="2429"/>
      <c r="F41" s="243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1783</v>
      </c>
      <c r="B46" s="382" t="s">
        <v>1656</v>
      </c>
    </row>
    <row r="47" spans="1:11" s="663" customFormat="1" ht="12.75" customHeight="1" x14ac:dyDescent="0.2">
      <c r="A47" s="661"/>
      <c r="B47" s="662" t="s">
        <v>1657</v>
      </c>
      <c r="E47" s="662"/>
      <c r="K47" s="664"/>
    </row>
    <row r="48" spans="1:11" ht="12.75" customHeight="1" x14ac:dyDescent="0.2">
      <c r="A48" s="1299" t="s">
        <v>1784</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6" tint="0.59999389629810485"/>
  </sheetPr>
  <dimension ref="A1:N27"/>
  <sheetViews>
    <sheetView showGridLines="0" defaultGridColor="0" colorId="8" zoomScale="110" zoomScaleNormal="110" workbookViewId="0">
      <selection activeCell="I12" sqref="I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53" t="s">
        <v>1867</v>
      </c>
      <c r="B1" s="2454"/>
      <c r="C1" s="2455"/>
      <c r="D1" s="666"/>
      <c r="E1" s="667"/>
      <c r="F1" s="667"/>
      <c r="G1" s="668"/>
      <c r="H1" s="669"/>
      <c r="I1" s="670"/>
      <c r="J1" s="2451"/>
      <c r="K1" s="2452"/>
      <c r="L1" s="2452"/>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2423798</v>
      </c>
      <c r="D5" s="1769">
        <v>29585</v>
      </c>
      <c r="E5" s="1769"/>
      <c r="F5" s="1764">
        <f>(C5+D5)-E5</f>
        <v>2453383</v>
      </c>
      <c r="G5" s="676"/>
      <c r="H5" s="680"/>
      <c r="I5" s="680"/>
      <c r="J5" s="680"/>
      <c r="K5" s="637"/>
      <c r="L5" s="1441">
        <f>F5-K5</f>
        <v>2453383</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108434237</v>
      </c>
      <c r="D8" s="1770">
        <v>1211734</v>
      </c>
      <c r="E8" s="1770"/>
      <c r="F8" s="1764">
        <f>(C8+D8)-E8</f>
        <v>109645971</v>
      </c>
      <c r="G8" s="681">
        <v>50</v>
      </c>
      <c r="H8" s="619">
        <v>66903483</v>
      </c>
      <c r="I8" s="619">
        <v>3028288</v>
      </c>
      <c r="J8" s="619"/>
      <c r="K8" s="1441">
        <f>(H8+I8)-J8</f>
        <v>69931771</v>
      </c>
      <c r="L8" s="1441">
        <f>F8-K8</f>
        <v>39714200</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7010898</v>
      </c>
      <c r="D10" s="1771">
        <v>1986558</v>
      </c>
      <c r="E10" s="1771"/>
      <c r="F10" s="1772">
        <f>(C10+D10)-E10</f>
        <v>8997456</v>
      </c>
      <c r="G10" s="681">
        <v>20</v>
      </c>
      <c r="H10" s="683">
        <v>683914</v>
      </c>
      <c r="I10" s="683">
        <v>393577</v>
      </c>
      <c r="J10" s="683"/>
      <c r="K10" s="1441">
        <f>(H10+I10)-J10</f>
        <v>1077491</v>
      </c>
      <c r="L10" s="1441">
        <f>F10-K10</f>
        <v>7919965</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2811403</v>
      </c>
      <c r="D12" s="1770">
        <v>238595</v>
      </c>
      <c r="E12" s="1770"/>
      <c r="F12" s="1764">
        <f>(C12+D12)-E12</f>
        <v>3049998</v>
      </c>
      <c r="G12" s="681">
        <v>10</v>
      </c>
      <c r="H12" s="619">
        <v>2139218</v>
      </c>
      <c r="I12" s="619">
        <v>137321</v>
      </c>
      <c r="J12" s="619"/>
      <c r="K12" s="1441">
        <f>(H12+I12)-J12</f>
        <v>2276539</v>
      </c>
      <c r="L12" s="1441">
        <f>F12-K12</f>
        <v>773459</v>
      </c>
    </row>
    <row r="13" spans="1:14" ht="14.25" thickTop="1" thickBot="1" x14ac:dyDescent="0.25">
      <c r="A13" s="684" t="s">
        <v>1112</v>
      </c>
      <c r="B13" s="679">
        <v>252</v>
      </c>
      <c r="C13" s="1770">
        <v>1830477</v>
      </c>
      <c r="D13" s="1770">
        <v>63725</v>
      </c>
      <c r="E13" s="1770"/>
      <c r="F13" s="1764">
        <f>(C13+D13)-E13</f>
        <v>1894202</v>
      </c>
      <c r="G13" s="681">
        <v>5</v>
      </c>
      <c r="H13" s="619">
        <v>1626769</v>
      </c>
      <c r="I13" s="619">
        <v>120084</v>
      </c>
      <c r="J13" s="619"/>
      <c r="K13" s="1441">
        <f>(H13+I13)-J13</f>
        <v>1746853</v>
      </c>
      <c r="L13" s="1441">
        <f>F13-K13</f>
        <v>147349</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v>2090975</v>
      </c>
      <c r="D15" s="1770">
        <v>1158193</v>
      </c>
      <c r="E15" s="1770">
        <v>2997531</v>
      </c>
      <c r="F15" s="1764">
        <f>(C15+D15)-E15</f>
        <v>251637</v>
      </c>
      <c r="G15" s="685" t="s">
        <v>857</v>
      </c>
      <c r="H15" s="632"/>
      <c r="I15" s="632"/>
      <c r="J15" s="632"/>
      <c r="K15" s="632"/>
      <c r="L15" s="1441">
        <f>F15-K15</f>
        <v>251637</v>
      </c>
    </row>
    <row r="16" spans="1:14" ht="15" customHeight="1" thickTop="1" thickBot="1" x14ac:dyDescent="0.25">
      <c r="A16" s="1437" t="s">
        <v>638</v>
      </c>
      <c r="B16" s="1438">
        <v>200</v>
      </c>
      <c r="C16" s="1764">
        <f>SUM(C3,C5:C6,C8:C10,C12:C15)</f>
        <v>124601788</v>
      </c>
      <c r="D16" s="1764">
        <f>SUM(D3,D5:D6,D8:D10,D12:D15)</f>
        <v>4688390</v>
      </c>
      <c r="E16" s="1764">
        <f>SUM(E3,E5:E6,E8:E10,E12:E15)</f>
        <v>2997531</v>
      </c>
      <c r="F16" s="1764">
        <f>SUM(F3,F5:F6,F8:F10,F12:F15)</f>
        <v>126292647</v>
      </c>
      <c r="G16" s="681"/>
      <c r="H16" s="1434">
        <f>SUM(H3,H6,H8:H10,H12:H14,)</f>
        <v>71353384</v>
      </c>
      <c r="I16" s="1434">
        <f>SUM(I3,I6,I8:I10,I12:I14,)</f>
        <v>3679270</v>
      </c>
      <c r="J16" s="1434">
        <f>SUM(J3,J6,J8:J10,J12:J14,)</f>
        <v>0</v>
      </c>
      <c r="K16" s="1434">
        <f>(H16+I16)-J16</f>
        <v>75032654</v>
      </c>
      <c r="L16" s="1434">
        <f>F16-K16</f>
        <v>51259993</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1348755</v>
      </c>
      <c r="G17" s="676">
        <v>10</v>
      </c>
      <c r="H17" s="621"/>
      <c r="I17" s="1441">
        <f>F17/G17</f>
        <v>134875.5</v>
      </c>
      <c r="J17" s="621"/>
      <c r="K17" s="638"/>
      <c r="L17" s="638"/>
    </row>
    <row r="18" spans="1:12" ht="14.25" thickTop="1" thickBot="1" x14ac:dyDescent="0.25">
      <c r="A18" s="1439" t="s">
        <v>680</v>
      </c>
      <c r="B18" s="1440"/>
      <c r="C18" s="623"/>
      <c r="D18" s="623"/>
      <c r="E18" s="623"/>
      <c r="F18" s="686"/>
      <c r="G18" s="687"/>
      <c r="H18" s="624"/>
      <c r="I18" s="1434">
        <f>SUM(I16,I17)</f>
        <v>3814145.5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9" tint="0.59999389629810485"/>
  </sheetPr>
  <dimension ref="A1:I203"/>
  <sheetViews>
    <sheetView showGridLines="0" defaultGridColor="0"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59" t="str">
        <f>"ESTIMATED OPERATING EXPENSE PER PUPIL (OEPP)/PER CAPITA TUITION CHARGE (PCTC) COMPUTATIONS ("&amp;'AFR20'!E2-1&amp;" - "&amp;'AFR20'!E2&amp;")"</f>
        <v>ESTIMATED OPERATING EXPENSE PER PUPIL (OEPP)/PER CAPITA TUITION CHARGE (PCTC) COMPUTATIONS (2019 - 2020)</v>
      </c>
      <c r="B1" s="2460"/>
      <c r="C1" s="2460"/>
      <c r="D1" s="2460"/>
      <c r="E1" s="2460"/>
      <c r="F1" s="2461"/>
      <c r="G1" s="691"/>
      <c r="I1" s="701"/>
    </row>
    <row r="2" spans="1:9" ht="15" customHeight="1" thickBot="1" x14ac:dyDescent="0.25">
      <c r="A2" s="2462" t="s">
        <v>474</v>
      </c>
      <c r="B2" s="2463"/>
      <c r="C2" s="2463"/>
      <c r="D2" s="2463"/>
      <c r="E2" s="2463"/>
      <c r="F2" s="246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65"/>
      <c r="B5" s="2466"/>
      <c r="C5" s="2466"/>
      <c r="D5" s="2466"/>
      <c r="E5" s="2466"/>
      <c r="F5" s="2466"/>
    </row>
    <row r="6" spans="1:9" ht="13.5" customHeight="1" thickBot="1" x14ac:dyDescent="0.25">
      <c r="A6" s="2456" t="s">
        <v>1095</v>
      </c>
      <c r="B6" s="2457"/>
      <c r="C6" s="2457"/>
      <c r="D6" s="2457"/>
      <c r="E6" s="2457"/>
      <c r="F6" s="245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61867807</v>
      </c>
      <c r="G8" s="701"/>
    </row>
    <row r="9" spans="1:9" x14ac:dyDescent="0.2">
      <c r="A9" s="705" t="s">
        <v>457</v>
      </c>
      <c r="B9" s="706" t="s">
        <v>1840</v>
      </c>
      <c r="C9" s="707"/>
      <c r="D9" s="705" t="s">
        <v>498</v>
      </c>
      <c r="E9" s="704"/>
      <c r="F9" s="1774">
        <f>'Expenditures 15-22'!K151</f>
        <v>5021387</v>
      </c>
      <c r="G9" s="708"/>
    </row>
    <row r="10" spans="1:9" x14ac:dyDescent="0.2">
      <c r="A10" s="705" t="s">
        <v>496</v>
      </c>
      <c r="B10" s="706" t="s">
        <v>1841</v>
      </c>
      <c r="C10" s="707"/>
      <c r="D10" s="705" t="s">
        <v>498</v>
      </c>
      <c r="E10" s="704"/>
      <c r="F10" s="1774">
        <f>'Expenditures 15-22'!K174</f>
        <v>3751874</v>
      </c>
      <c r="G10" s="708"/>
    </row>
    <row r="11" spans="1:9" x14ac:dyDescent="0.2">
      <c r="A11" s="705" t="s">
        <v>458</v>
      </c>
      <c r="B11" s="706" t="s">
        <v>1842</v>
      </c>
      <c r="C11" s="707"/>
      <c r="D11" s="705" t="s">
        <v>498</v>
      </c>
      <c r="E11" s="704"/>
      <c r="F11" s="1774">
        <f>'Expenditures 15-22'!K210</f>
        <v>3277558</v>
      </c>
      <c r="G11" s="708"/>
    </row>
    <row r="12" spans="1:9" x14ac:dyDescent="0.2">
      <c r="A12" s="705" t="s">
        <v>459</v>
      </c>
      <c r="B12" s="706" t="s">
        <v>1843</v>
      </c>
      <c r="C12" s="707"/>
      <c r="D12" s="705" t="s">
        <v>498</v>
      </c>
      <c r="E12" s="704"/>
      <c r="F12" s="1774">
        <f>'Expenditures 15-22'!K295</f>
        <v>2670967</v>
      </c>
      <c r="G12" s="708"/>
    </row>
    <row r="13" spans="1:9" x14ac:dyDescent="0.2">
      <c r="A13" s="705" t="s">
        <v>106</v>
      </c>
      <c r="B13" s="706" t="s">
        <v>1844</v>
      </c>
      <c r="C13" s="707"/>
      <c r="D13" s="705" t="s">
        <v>498</v>
      </c>
      <c r="E13" s="704"/>
      <c r="F13" s="1774">
        <f>'Expenditures 15-22'!K342</f>
        <v>1563883</v>
      </c>
      <c r="G13" s="709"/>
    </row>
    <row r="14" spans="1:9" ht="12" customHeight="1" thickBot="1" x14ac:dyDescent="0.25">
      <c r="A14" s="1442"/>
      <c r="B14" s="1443"/>
      <c r="C14" s="1444"/>
      <c r="D14" s="1445" t="s">
        <v>498</v>
      </c>
      <c r="E14" s="1446" t="s">
        <v>952</v>
      </c>
      <c r="F14" s="1775">
        <f>SUM(F8:F13)</f>
        <v>78153476</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1898</v>
      </c>
      <c r="C30" s="716">
        <f>'Revenues 9-14'!B150</f>
        <v>3499</v>
      </c>
      <c r="D30" s="717" t="str">
        <f>'Revenues 9-14'!A150</f>
        <v>Adult Ed - Other (Describe &amp; Itemize)</v>
      </c>
      <c r="E30" s="704"/>
      <c r="F30" s="1782">
        <f>('Revenues 9-14'!D150+'Revenues 9-14'!F150)</f>
        <v>0</v>
      </c>
      <c r="G30" s="701"/>
    </row>
    <row r="31" spans="1:7" x14ac:dyDescent="0.2">
      <c r="A31" s="705" t="s">
        <v>1088</v>
      </c>
      <c r="B31" s="706" t="s">
        <v>1899</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1900</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1901</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1061938</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42270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16353</v>
      </c>
      <c r="G51" s="701"/>
    </row>
    <row r="52" spans="1:7" x14ac:dyDescent="0.2">
      <c r="A52" s="705" t="s">
        <v>456</v>
      </c>
      <c r="B52" s="705" t="s">
        <v>1457</v>
      </c>
      <c r="C52" s="724" t="str">
        <f>'Expenditures 15-22'!B75</f>
        <v>3000</v>
      </c>
      <c r="D52" s="723" t="s">
        <v>446</v>
      </c>
      <c r="E52" s="704"/>
      <c r="F52" s="1781">
        <f>'Expenditures 15-22'!K75-SUM('Expenditures 15-22'!G75,'Expenditures 15-22'!I75)</f>
        <v>1588368</v>
      </c>
      <c r="G52" s="701"/>
    </row>
    <row r="53" spans="1:7" x14ac:dyDescent="0.2">
      <c r="A53" s="705" t="s">
        <v>456</v>
      </c>
      <c r="B53" s="705" t="s">
        <v>1458</v>
      </c>
      <c r="C53" s="724">
        <f>'Expenditures 15-22'!B102</f>
        <v>4000</v>
      </c>
      <c r="D53" s="723" t="str">
        <f>'Expenditures 15-22'!A102</f>
        <v>Total Payments to Other Govt Units</v>
      </c>
      <c r="E53" s="704"/>
      <c r="F53" s="1781">
        <f>'Expenditures 15-22'!K102</f>
        <v>1554376</v>
      </c>
      <c r="G53" s="701"/>
    </row>
    <row r="54" spans="1:7" x14ac:dyDescent="0.2">
      <c r="A54" s="705" t="s">
        <v>456</v>
      </c>
      <c r="B54" s="705" t="s">
        <v>1459</v>
      </c>
      <c r="C54" s="724" t="s">
        <v>975</v>
      </c>
      <c r="D54" s="720" t="s">
        <v>1086</v>
      </c>
      <c r="E54" s="704"/>
      <c r="F54" s="1781">
        <f>'Expenditures 15-22'!G114</f>
        <v>718341</v>
      </c>
      <c r="G54" s="701"/>
    </row>
    <row r="55" spans="1:7" x14ac:dyDescent="0.2">
      <c r="A55" s="705" t="s">
        <v>456</v>
      </c>
      <c r="B55" s="705" t="s">
        <v>1460</v>
      </c>
      <c r="C55" s="724" t="s">
        <v>975</v>
      </c>
      <c r="D55" s="720" t="s">
        <v>288</v>
      </c>
      <c r="E55" s="704"/>
      <c r="F55" s="1781">
        <f>'Expenditures 15-22'!I114</f>
        <v>1252178</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1845</v>
      </c>
      <c r="C57" s="724">
        <f>'Expenditures 15-22'!B139</f>
        <v>4000</v>
      </c>
      <c r="D57" s="722" t="str">
        <f>'Expenditures 15-22'!A139</f>
        <v>Total Payments to Other Govt Units</v>
      </c>
      <c r="E57" s="704"/>
      <c r="F57" s="1781">
        <f>'Expenditures 15-22'!K139</f>
        <v>0</v>
      </c>
      <c r="G57" s="701"/>
    </row>
    <row r="58" spans="1:7" x14ac:dyDescent="0.2">
      <c r="A58" s="705" t="s">
        <v>457</v>
      </c>
      <c r="B58" s="705" t="s">
        <v>1846</v>
      </c>
      <c r="C58" s="721" t="s">
        <v>975</v>
      </c>
      <c r="D58" s="720" t="s">
        <v>1086</v>
      </c>
      <c r="E58" s="704"/>
      <c r="F58" s="1783">
        <f>'Expenditures 15-22'!G151</f>
        <v>962754</v>
      </c>
      <c r="G58" s="701"/>
    </row>
    <row r="59" spans="1:7" x14ac:dyDescent="0.2">
      <c r="A59" s="728" t="s">
        <v>457</v>
      </c>
      <c r="B59" s="692" t="s">
        <v>1847</v>
      </c>
      <c r="C59" s="729" t="s">
        <v>975</v>
      </c>
      <c r="D59" s="692" t="s">
        <v>288</v>
      </c>
      <c r="F59" s="1784">
        <f>'Expenditures 15-22'!I151</f>
        <v>96577</v>
      </c>
      <c r="G59" s="701"/>
    </row>
    <row r="60" spans="1:7" x14ac:dyDescent="0.2">
      <c r="A60" s="728" t="s">
        <v>496</v>
      </c>
      <c r="B60" s="692" t="s">
        <v>1848</v>
      </c>
      <c r="C60" s="729">
        <v>4000</v>
      </c>
      <c r="D60" s="692" t="s">
        <v>309</v>
      </c>
      <c r="F60" s="1782">
        <f>'Expenditures 15-22'!K160</f>
        <v>0</v>
      </c>
      <c r="G60" s="701"/>
    </row>
    <row r="61" spans="1:7" x14ac:dyDescent="0.2">
      <c r="A61" s="730" t="s">
        <v>496</v>
      </c>
      <c r="B61" s="730" t="s">
        <v>1849</v>
      </c>
      <c r="C61" s="731" t="str">
        <f>'Expenditures 15-22'!B170</f>
        <v>5300</v>
      </c>
      <c r="D61" s="732" t="s">
        <v>308</v>
      </c>
      <c r="E61" s="715"/>
      <c r="F61" s="1781">
        <f>'Expenditures 15-22'!K170</f>
        <v>2279197</v>
      </c>
      <c r="G61" s="701"/>
    </row>
    <row r="62" spans="1:7" x14ac:dyDescent="0.2">
      <c r="A62" s="705" t="s">
        <v>458</v>
      </c>
      <c r="B62" s="705" t="s">
        <v>1850</v>
      </c>
      <c r="C62" s="721">
        <f>'Expenditures 15-22'!B185</f>
        <v>3000</v>
      </c>
      <c r="D62" s="712" t="s">
        <v>446</v>
      </c>
      <c r="E62" s="704"/>
      <c r="F62" s="1781">
        <f>'Expenditures 15-22'!K185-SUM('Expenditures 15-22'!G185,'Expenditures 15-22'!I185)</f>
        <v>0</v>
      </c>
      <c r="G62" s="701"/>
    </row>
    <row r="63" spans="1:7" x14ac:dyDescent="0.2">
      <c r="A63" s="705" t="s">
        <v>458</v>
      </c>
      <c r="B63" s="705" t="s">
        <v>1851</v>
      </c>
      <c r="C63" s="721" t="str">
        <f>'Expenditures 15-22'!B196</f>
        <v>4000</v>
      </c>
      <c r="D63" s="722" t="str">
        <f>'Expenditures 15-22'!A196</f>
        <v>Total Payments to Other Govt Units</v>
      </c>
      <c r="E63" s="704"/>
      <c r="F63" s="1781">
        <f>'Expenditures 15-22'!K196</f>
        <v>0</v>
      </c>
      <c r="G63" s="701"/>
    </row>
    <row r="64" spans="1:7" x14ac:dyDescent="0.2">
      <c r="A64" s="730" t="s">
        <v>458</v>
      </c>
      <c r="B64" s="730" t="s">
        <v>1852</v>
      </c>
      <c r="C64" s="731" t="str">
        <f>'Expenditures 15-22'!B206</f>
        <v>5300</v>
      </c>
      <c r="D64" s="727" t="s">
        <v>308</v>
      </c>
      <c r="E64" s="704"/>
      <c r="F64" s="1781">
        <f>'Expenditures 15-22'!K206</f>
        <v>0</v>
      </c>
      <c r="G64" s="701"/>
    </row>
    <row r="65" spans="1:9" x14ac:dyDescent="0.2">
      <c r="A65" s="705" t="s">
        <v>458</v>
      </c>
      <c r="B65" s="705" t="s">
        <v>1853</v>
      </c>
      <c r="C65" s="721" t="s">
        <v>975</v>
      </c>
      <c r="D65" s="720" t="s">
        <v>1086</v>
      </c>
      <c r="E65" s="704"/>
      <c r="F65" s="1781">
        <f>'Expenditures 15-22'!G210</f>
        <v>0</v>
      </c>
      <c r="G65" s="701"/>
    </row>
    <row r="66" spans="1:9" x14ac:dyDescent="0.2">
      <c r="A66" s="705" t="s">
        <v>458</v>
      </c>
      <c r="B66" s="705" t="s">
        <v>1854</v>
      </c>
      <c r="C66" s="721" t="s">
        <v>975</v>
      </c>
      <c r="D66" s="720" t="s">
        <v>288</v>
      </c>
      <c r="E66" s="704"/>
      <c r="F66" s="1781">
        <f>'Expenditures 15-22'!I210</f>
        <v>0</v>
      </c>
      <c r="G66" s="701"/>
    </row>
    <row r="67" spans="1:9" x14ac:dyDescent="0.2">
      <c r="A67" s="705" t="s">
        <v>459</v>
      </c>
      <c r="B67" s="705" t="s">
        <v>1855</v>
      </c>
      <c r="C67" s="721" t="str">
        <f>'Expenditures 15-22'!B216</f>
        <v>1125</v>
      </c>
      <c r="D67" s="727" t="str">
        <f>'Expenditures 15-22'!A216</f>
        <v>Pre-K Programs</v>
      </c>
      <c r="E67" s="704"/>
      <c r="F67" s="1781">
        <f>'Expenditures 15-22'!K216</f>
        <v>44395</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1856</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1857</v>
      </c>
      <c r="C70" s="721">
        <f>'Expenditures 15-22'!B221</f>
        <v>1300</v>
      </c>
      <c r="D70" s="722" t="str">
        <f>'Expenditures 15-22'!A221</f>
        <v>Adult/Continuing Education Programs</v>
      </c>
      <c r="E70" s="704"/>
      <c r="F70" s="1781">
        <f>'Expenditures 15-22'!K221</f>
        <v>0</v>
      </c>
      <c r="G70" s="701"/>
    </row>
    <row r="71" spans="1:9" x14ac:dyDescent="0.2">
      <c r="A71" s="705" t="s">
        <v>459</v>
      </c>
      <c r="B71" s="705" t="s">
        <v>1858</v>
      </c>
      <c r="C71" s="721">
        <f>'Expenditures 15-22'!B224</f>
        <v>1600</v>
      </c>
      <c r="D71" s="722" t="str">
        <f>'Expenditures 15-22'!A224</f>
        <v>Summer School Programs</v>
      </c>
      <c r="E71" s="704"/>
      <c r="F71" s="1781">
        <f>'Expenditures 15-22'!K224</f>
        <v>4030</v>
      </c>
      <c r="G71" s="701"/>
    </row>
    <row r="72" spans="1:9" x14ac:dyDescent="0.2">
      <c r="A72" s="705" t="s">
        <v>459</v>
      </c>
      <c r="B72" s="705" t="s">
        <v>1859</v>
      </c>
      <c r="C72" s="721">
        <f>'Expenditures 15-22'!B280</f>
        <v>3000</v>
      </c>
      <c r="D72" s="712" t="s">
        <v>446</v>
      </c>
      <c r="E72" s="704"/>
      <c r="F72" s="1781">
        <f>'Expenditures 15-22'!K280</f>
        <v>194685</v>
      </c>
      <c r="G72" s="701"/>
    </row>
    <row r="73" spans="1:9" x14ac:dyDescent="0.2">
      <c r="A73" s="705" t="s">
        <v>459</v>
      </c>
      <c r="B73" s="705" t="s">
        <v>1860</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1861</v>
      </c>
      <c r="C74" s="721" t="s">
        <v>855</v>
      </c>
      <c r="D74" s="722" t="s">
        <v>1470</v>
      </c>
      <c r="E74" s="704"/>
      <c r="F74" s="1785">
        <f>'Expenditures 15-22'!K334</f>
        <v>0</v>
      </c>
      <c r="G74" s="701"/>
    </row>
    <row r="75" spans="1:9" x14ac:dyDescent="0.2">
      <c r="A75" s="705" t="s">
        <v>2000</v>
      </c>
      <c r="B75" s="705" t="s">
        <v>2001</v>
      </c>
      <c r="C75" s="721" t="s">
        <v>975</v>
      </c>
      <c r="D75" s="722" t="s">
        <v>1086</v>
      </c>
      <c r="E75" s="704"/>
      <c r="F75" s="1785">
        <f>'Expenditures 15-22'!G342</f>
        <v>0</v>
      </c>
      <c r="G75" s="701"/>
    </row>
    <row r="76" spans="1:9" ht="10.5" customHeight="1" x14ac:dyDescent="0.2">
      <c r="A76" s="701" t="s">
        <v>433</v>
      </c>
      <c r="B76" s="705" t="s">
        <v>2002</v>
      </c>
      <c r="C76" s="711" t="s">
        <v>975</v>
      </c>
      <c r="D76" s="701" t="s">
        <v>288</v>
      </c>
      <c r="E76" s="704"/>
      <c r="F76" s="1785">
        <f>'Expenditures 15-22'!I342</f>
        <v>0</v>
      </c>
      <c r="G76" s="703"/>
    </row>
    <row r="77" spans="1:9" ht="12" thickBot="1" x14ac:dyDescent="0.25">
      <c r="A77" s="1442"/>
      <c r="B77" s="1447"/>
      <c r="C77" s="1444"/>
      <c r="D77" s="1448" t="s">
        <v>2003</v>
      </c>
      <c r="E77" s="1446" t="s">
        <v>952</v>
      </c>
      <c r="F77" s="1786">
        <f>SUM(F18:F76)</f>
        <v>9815462</v>
      </c>
      <c r="G77" s="701"/>
    </row>
    <row r="78" spans="1:9" s="728" customFormat="1" ht="12" customHeight="1" thickTop="1" thickBot="1" x14ac:dyDescent="0.25">
      <c r="A78" s="1449"/>
      <c r="B78" s="1447"/>
      <c r="C78" s="1444"/>
      <c r="D78" s="1448" t="s">
        <v>2004</v>
      </c>
      <c r="E78" s="1446"/>
      <c r="F78" s="1787">
        <f>(F14-F77)</f>
        <v>68338014</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4614.8999999999996</v>
      </c>
      <c r="G79" s="733"/>
      <c r="H79" s="705"/>
      <c r="I79" s="705"/>
    </row>
    <row r="80" spans="1:9" s="728" customFormat="1" ht="12" customHeight="1" thickBot="1" x14ac:dyDescent="0.25">
      <c r="A80" s="1451"/>
      <c r="B80" s="1447"/>
      <c r="C80" s="1444"/>
      <c r="D80" s="1448" t="s">
        <v>2005</v>
      </c>
      <c r="E80" s="1446" t="s">
        <v>952</v>
      </c>
      <c r="F80" s="1789">
        <f>IF(F79&gt;0,F78/F79," Complete Line 79")</f>
        <v>14808.124553078074</v>
      </c>
      <c r="G80" s="705"/>
    </row>
    <row r="81" spans="1:7" s="728" customFormat="1" ht="8.25" customHeight="1" thickTop="1" x14ac:dyDescent="0.2">
      <c r="A81" s="734"/>
      <c r="B81" s="705"/>
      <c r="C81" s="707"/>
      <c r="D81" s="735"/>
      <c r="E81" s="704"/>
      <c r="F81" s="1790"/>
      <c r="G81" s="705"/>
    </row>
    <row r="82" spans="1:7" s="728" customFormat="1" ht="12" thickBot="1" x14ac:dyDescent="0.25">
      <c r="A82" s="2456" t="s">
        <v>1096</v>
      </c>
      <c r="B82" s="2457"/>
      <c r="C82" s="2457"/>
      <c r="D82" s="2457"/>
      <c r="E82" s="2457"/>
      <c r="F82" s="245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107523</v>
      </c>
      <c r="G95" s="745"/>
    </row>
    <row r="96" spans="1:7" x14ac:dyDescent="0.2">
      <c r="A96" s="741" t="s">
        <v>139</v>
      </c>
      <c r="B96" s="741" t="s">
        <v>174</v>
      </c>
      <c r="C96" s="743">
        <v>1700</v>
      </c>
      <c r="D96" s="751" t="str">
        <f>'Revenues 9-14'!A82</f>
        <v>Total District/School Activity Income</v>
      </c>
      <c r="E96" s="739"/>
      <c r="F96" s="1792">
        <f>SUM('Revenues 9-14'!C82,'Revenues 9-14'!D82)</f>
        <v>20583</v>
      </c>
      <c r="G96" s="745"/>
    </row>
    <row r="97" spans="1:7" x14ac:dyDescent="0.2">
      <c r="A97" s="741" t="s">
        <v>456</v>
      </c>
      <c r="B97" s="741" t="s">
        <v>175</v>
      </c>
      <c r="C97" s="743">
        <f>'Revenues 9-14'!B84</f>
        <v>1811</v>
      </c>
      <c r="D97" s="744" t="str">
        <f>'Revenues 9-14'!A84</f>
        <v>Rentals - Regular Textbooks</v>
      </c>
      <c r="E97" s="739"/>
      <c r="F97" s="1792">
        <f>'Revenues 9-14'!C84</f>
        <v>524</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645</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11255</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241</v>
      </c>
      <c r="G105" s="745"/>
    </row>
    <row r="106" spans="1:7" x14ac:dyDescent="0.2">
      <c r="A106" s="741" t="s">
        <v>500</v>
      </c>
      <c r="B106" s="741" t="s">
        <v>1902</v>
      </c>
      <c r="C106" s="746">
        <v>3100</v>
      </c>
      <c r="D106" s="752" t="str">
        <f>'Revenues 9-14'!A132</f>
        <v>Total Special Education</v>
      </c>
      <c r="E106" s="739"/>
      <c r="F106" s="1792">
        <f>SUM('Revenues 9-14'!C132:D132,'Revenues 9-14'!F132)</f>
        <v>605925</v>
      </c>
      <c r="G106" s="745"/>
    </row>
    <row r="107" spans="1:7" x14ac:dyDescent="0.2">
      <c r="A107" s="741" t="s">
        <v>668</v>
      </c>
      <c r="B107" s="741" t="s">
        <v>1903</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1904</v>
      </c>
      <c r="C108" s="753">
        <v>3300</v>
      </c>
      <c r="D108" s="744" t="str">
        <f>'Revenues 9-14'!A145</f>
        <v>Total Bilingual Ed</v>
      </c>
      <c r="E108" s="739"/>
      <c r="F108" s="1792">
        <f>SUM('Revenues 9-14'!C145,'Revenues 9-14'!G145)</f>
        <v>0</v>
      </c>
      <c r="G108" s="745"/>
    </row>
    <row r="109" spans="1:7" x14ac:dyDescent="0.2">
      <c r="A109" s="741" t="s">
        <v>456</v>
      </c>
      <c r="B109" s="741" t="s">
        <v>1905</v>
      </c>
      <c r="C109" s="753">
        <f>'Revenues 9-14'!B146</f>
        <v>3360</v>
      </c>
      <c r="D109" s="744" t="str">
        <f>'Revenues 9-14'!A146</f>
        <v>State Free Lunch &amp; Breakfast</v>
      </c>
      <c r="E109" s="739"/>
      <c r="F109" s="1792">
        <f>'Revenues 9-14'!C146</f>
        <v>58880</v>
      </c>
      <c r="G109" s="745"/>
    </row>
    <row r="110" spans="1:7" x14ac:dyDescent="0.2">
      <c r="A110" s="741" t="s">
        <v>668</v>
      </c>
      <c r="B110" s="741" t="s">
        <v>1906</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1907</v>
      </c>
      <c r="C111" s="753">
        <f>'Revenues 9-14'!B148</f>
        <v>3370</v>
      </c>
      <c r="D111" s="744" t="str">
        <f>'Revenues 9-14'!A148</f>
        <v>Driver Education</v>
      </c>
      <c r="E111" s="739"/>
      <c r="F111" s="1792">
        <f>SUM('Revenues 9-14'!C148,'Revenues 9-14'!D148)</f>
        <v>22694</v>
      </c>
      <c r="G111" s="745"/>
    </row>
    <row r="112" spans="1:7" x14ac:dyDescent="0.2">
      <c r="A112" s="741" t="s">
        <v>663</v>
      </c>
      <c r="B112" s="741" t="s">
        <v>1908</v>
      </c>
      <c r="C112" s="755">
        <v>3500</v>
      </c>
      <c r="D112" s="744" t="str">
        <f>'Revenues 9-14'!A155</f>
        <v>Total Transportation</v>
      </c>
      <c r="E112" s="739"/>
      <c r="F112" s="1792">
        <f>SUM('Revenues 9-14'!C155,'Revenues 9-14'!D155,'Revenues 9-14'!F155,'Revenues 9-14'!G155)</f>
        <v>2343487</v>
      </c>
      <c r="G112" s="745"/>
    </row>
    <row r="113" spans="1:7" x14ac:dyDescent="0.2">
      <c r="A113" s="741" t="s">
        <v>456</v>
      </c>
      <c r="B113" s="741" t="s">
        <v>1909</v>
      </c>
      <c r="C113" s="753">
        <f>'Revenues 9-14'!B156</f>
        <v>3610</v>
      </c>
      <c r="D113" s="744" t="str">
        <f>'Revenues 9-14'!A156</f>
        <v>Learning Improvement - Change Grants</v>
      </c>
      <c r="E113" s="739"/>
      <c r="F113" s="1792">
        <f>'Revenues 9-14'!C156</f>
        <v>0</v>
      </c>
      <c r="G113" s="745"/>
    </row>
    <row r="114" spans="1:7" x14ac:dyDescent="0.2">
      <c r="A114" s="741" t="s">
        <v>663</v>
      </c>
      <c r="B114" s="741" t="s">
        <v>1910</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1911</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1912</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1913</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1914</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1915</v>
      </c>
      <c r="C119" s="757">
        <f>'Revenues 9-14'!B163</f>
        <v>3780</v>
      </c>
      <c r="D119" s="758" t="str">
        <f>'Revenues 9-14'!A163</f>
        <v>Technology - Technology for Success</v>
      </c>
      <c r="E119" s="739"/>
      <c r="F119" s="1791">
        <f>SUM('Revenues 9-14'!C163:G163)</f>
        <v>0</v>
      </c>
      <c r="G119" s="745"/>
    </row>
    <row r="120" spans="1:7" x14ac:dyDescent="0.2">
      <c r="A120" s="756" t="s">
        <v>501</v>
      </c>
      <c r="B120" s="756" t="s">
        <v>1916</v>
      </c>
      <c r="C120" s="757">
        <f>'Revenues 9-14'!B164</f>
        <v>3815</v>
      </c>
      <c r="D120" s="758" t="str">
        <f>'Revenues 9-14'!A164</f>
        <v>State Charter Schools</v>
      </c>
      <c r="E120" s="739"/>
      <c r="F120" s="1791">
        <f>SUM('Revenues 9-14'!C164,'Revenues 9-14'!F164)</f>
        <v>0</v>
      </c>
      <c r="G120" s="745"/>
    </row>
    <row r="121" spans="1:7" x14ac:dyDescent="0.2">
      <c r="A121" s="760" t="s">
        <v>457</v>
      </c>
      <c r="B121" s="760" t="s">
        <v>1917</v>
      </c>
      <c r="C121" s="761">
        <f>'Revenues 9-14'!B167</f>
        <v>3925</v>
      </c>
      <c r="D121" s="762" t="str">
        <f>'Revenues 9-14'!A167</f>
        <v>School Infrastructure - Maintenance Projects</v>
      </c>
      <c r="E121" s="739"/>
      <c r="F121" s="1792">
        <f>'Revenues 9-14'!D167</f>
        <v>50000</v>
      </c>
      <c r="G121" s="763"/>
    </row>
    <row r="122" spans="1:7" x14ac:dyDescent="0.2">
      <c r="A122" s="760" t="s">
        <v>497</v>
      </c>
      <c r="B122" s="760" t="s">
        <v>1918</v>
      </c>
      <c r="C122" s="761">
        <f>'Revenues 9-14'!B168</f>
        <v>3999</v>
      </c>
      <c r="D122" s="762" t="s">
        <v>540</v>
      </c>
      <c r="E122" s="764"/>
      <c r="F122" s="1792">
        <f>SUM('Revenues 9-14'!C168:G168,'Revenues 9-14'!J168)</f>
        <v>600075</v>
      </c>
      <c r="G122" s="763"/>
    </row>
    <row r="123" spans="1:7" x14ac:dyDescent="0.2">
      <c r="A123" s="760" t="s">
        <v>456</v>
      </c>
      <c r="B123" s="760" t="s">
        <v>1919</v>
      </c>
      <c r="C123" s="765">
        <f>'Revenues 9-14'!B177</f>
        <v>4045</v>
      </c>
      <c r="D123" s="762" t="str">
        <f>'Revenues 9-14'!A177 &amp; " (Subtract)"</f>
        <v>Head Start (Subtract)</v>
      </c>
      <c r="E123" s="739"/>
      <c r="F123" s="1792">
        <f>SUM(-'Revenues 9-14'!C177)</f>
        <v>0</v>
      </c>
      <c r="G123" s="763"/>
    </row>
    <row r="124" spans="1:7" x14ac:dyDescent="0.2">
      <c r="A124" s="760" t="s">
        <v>663</v>
      </c>
      <c r="B124" s="760" t="s">
        <v>1920</v>
      </c>
      <c r="C124" s="765" t="s">
        <v>975</v>
      </c>
      <c r="D124" s="762" t="str">
        <f>('Revenues 9-14'!A181)</f>
        <v>Total Restricted Grants-In-Aid Received Directly from Federal Govt</v>
      </c>
      <c r="E124" s="739"/>
      <c r="F124" s="1792">
        <f>SUM('Revenues 9-14'!C181,'Revenues 9-14'!D181,'Revenues 9-14'!F181,'Revenues 9-14'!G181)</f>
        <v>132105</v>
      </c>
      <c r="G124" s="763"/>
    </row>
    <row r="125" spans="1:7" x14ac:dyDescent="0.2">
      <c r="A125" s="760" t="s">
        <v>663</v>
      </c>
      <c r="B125" s="760" t="s">
        <v>1921</v>
      </c>
      <c r="C125" s="765">
        <v>4100</v>
      </c>
      <c r="D125" s="766" t="str">
        <f>'Revenues 9-14'!A188</f>
        <v>Total Title V</v>
      </c>
      <c r="E125" s="739"/>
      <c r="F125" s="1792">
        <f>SUM('Revenues 9-14'!C188,'Revenues 9-14'!D188,'Revenues 9-14'!F188,'Revenues 9-14'!G188)</f>
        <v>0</v>
      </c>
      <c r="G125" s="763"/>
    </row>
    <row r="126" spans="1:7" x14ac:dyDescent="0.2">
      <c r="A126" s="760" t="s">
        <v>659</v>
      </c>
      <c r="B126" s="760" t="s">
        <v>1922</v>
      </c>
      <c r="C126" s="765">
        <v>4200</v>
      </c>
      <c r="D126" s="762" t="str">
        <f>'Revenues 9-14'!A198</f>
        <v>Total Food Service</v>
      </c>
      <c r="E126" s="739"/>
      <c r="F126" s="1792">
        <f>SUM('Revenues 9-14'!C198,'Revenues 9-14'!G198)</f>
        <v>2895857</v>
      </c>
      <c r="G126" s="763"/>
    </row>
    <row r="127" spans="1:7" x14ac:dyDescent="0.2">
      <c r="A127" s="760" t="s">
        <v>663</v>
      </c>
      <c r="B127" s="760" t="s">
        <v>1923</v>
      </c>
      <c r="C127" s="765">
        <v>4300</v>
      </c>
      <c r="D127" s="766" t="str">
        <f>'Revenues 9-14'!A204</f>
        <v>Total Title I</v>
      </c>
      <c r="E127" s="739"/>
      <c r="F127" s="1792">
        <f>SUM('Revenues 9-14'!C204,'Revenues 9-14'!D204,'Revenues 9-14'!F204,'Revenues 9-14'!G204)</f>
        <v>3883199</v>
      </c>
      <c r="G127" s="763"/>
    </row>
    <row r="128" spans="1:7" x14ac:dyDescent="0.2">
      <c r="A128" s="760" t="s">
        <v>663</v>
      </c>
      <c r="B128" s="760" t="s">
        <v>1924</v>
      </c>
      <c r="C128" s="765">
        <v>4400</v>
      </c>
      <c r="D128" s="766" t="str">
        <f>'Revenues 9-14'!A209</f>
        <v>Total Title IV</v>
      </c>
      <c r="E128" s="739"/>
      <c r="F128" s="1792">
        <f>SUM('Revenues 9-14'!C209,'Revenues 9-14'!D209,'Revenues 9-14'!F209,'Revenues 9-14'!G209)</f>
        <v>193991</v>
      </c>
      <c r="G128" s="763"/>
    </row>
    <row r="129" spans="1:7" x14ac:dyDescent="0.2">
      <c r="A129" s="760" t="s">
        <v>663</v>
      </c>
      <c r="B129" s="760" t="s">
        <v>1925</v>
      </c>
      <c r="C129" s="765">
        <f>'Revenues 9-14'!B213</f>
        <v>4620</v>
      </c>
      <c r="D129" s="766" t="str">
        <f>'Revenues 9-14'!A213</f>
        <v>Fed - Spec Education - IDEA - Flow Through</v>
      </c>
      <c r="E129" s="739"/>
      <c r="F129" s="1792">
        <f>SUM('Revenues 9-14'!C213:D213,'Revenues 9-14'!F213:G213)</f>
        <v>1548294</v>
      </c>
      <c r="G129" s="763"/>
    </row>
    <row r="130" spans="1:7" x14ac:dyDescent="0.2">
      <c r="A130" s="760" t="s">
        <v>663</v>
      </c>
      <c r="B130" s="760" t="s">
        <v>1926</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1927</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1928</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1929</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1930</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1931</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1932</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1933</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1934</v>
      </c>
      <c r="C139" s="768" t="s">
        <v>210</v>
      </c>
      <c r="D139" s="769" t="str">
        <f>'Revenues 9-14'!A229</f>
        <v>ARRA - IDEA - Part B - Preschool</v>
      </c>
      <c r="E139" s="770"/>
      <c r="F139" s="1792">
        <v>0</v>
      </c>
      <c r="G139" s="738"/>
    </row>
    <row r="140" spans="1:7" s="703" customFormat="1" hidden="1" x14ac:dyDescent="0.2">
      <c r="A140" s="767" t="s">
        <v>204</v>
      </c>
      <c r="B140" s="767" t="s">
        <v>1935</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1936</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1937</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1938</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522928</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1939</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1940</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1941</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1942</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1943</v>
      </c>
      <c r="C158" s="773" t="s">
        <v>836</v>
      </c>
      <c r="D158" s="774" t="s">
        <v>772</v>
      </c>
      <c r="E158" s="775"/>
      <c r="F158" s="1792">
        <f>SUM(F134:F157)</f>
        <v>522928</v>
      </c>
      <c r="G158" s="738"/>
    </row>
    <row r="159" spans="1:7" s="703" customFormat="1" x14ac:dyDescent="0.2">
      <c r="A159" s="771" t="s">
        <v>456</v>
      </c>
      <c r="B159" s="772" t="s">
        <v>1944</v>
      </c>
      <c r="C159" s="773" t="s">
        <v>1410</v>
      </c>
      <c r="D159" s="774" t="s">
        <v>1411</v>
      </c>
      <c r="E159" s="775"/>
      <c r="F159" s="1792">
        <f>SUM('Revenues 9-14'!C253)</f>
        <v>0</v>
      </c>
      <c r="G159" s="738"/>
    </row>
    <row r="160" spans="1:7" s="703" customFormat="1" x14ac:dyDescent="0.2">
      <c r="A160" s="771" t="s">
        <v>497</v>
      </c>
      <c r="B160" s="772" t="s">
        <v>1945</v>
      </c>
      <c r="C160" s="773" t="s">
        <v>1449</v>
      </c>
      <c r="D160" s="774" t="s">
        <v>1450</v>
      </c>
      <c r="E160" s="775"/>
      <c r="F160" s="1792">
        <f>SUM('Revenues 9-14'!C254:H254,'Revenues 9-14'!J254:K254)</f>
        <v>0</v>
      </c>
      <c r="G160" s="738"/>
    </row>
    <row r="161" spans="1:7" x14ac:dyDescent="0.2">
      <c r="A161" s="760" t="s">
        <v>5</v>
      </c>
      <c r="B161" s="760" t="s">
        <v>1946</v>
      </c>
      <c r="C161" s="765">
        <f>'Revenues 9-14'!B255</f>
        <v>4905</v>
      </c>
      <c r="D161" s="762" t="str">
        <f>'Revenues 9-14'!A255</f>
        <v>Title III - Immigrant Education Program (IEP)</v>
      </c>
      <c r="E161" s="739"/>
      <c r="F161" s="1792">
        <f>SUM('Revenues 9-14'!C255,'Revenues 9-14'!F255,'Revenues 9-14'!G255)</f>
        <v>1650</v>
      </c>
      <c r="G161" s="776">
        <v>6306</v>
      </c>
    </row>
    <row r="162" spans="1:7" x14ac:dyDescent="0.2">
      <c r="A162" s="760" t="s">
        <v>5</v>
      </c>
      <c r="B162" s="760" t="s">
        <v>1947</v>
      </c>
      <c r="C162" s="765">
        <f>'Revenues 9-14'!B256</f>
        <v>4909</v>
      </c>
      <c r="D162" s="762" t="str">
        <f>'Revenues 9-14'!A256</f>
        <v>Title III - Language Inst Program - Limited Eng (LIPLEP)</v>
      </c>
      <c r="E162" s="739"/>
      <c r="F162" s="1792">
        <f>SUM('Revenues 9-14'!C256,'Revenues 9-14'!F256,'Revenues 9-14'!G256)</f>
        <v>17986</v>
      </c>
      <c r="G162" s="776"/>
    </row>
    <row r="163" spans="1:7" x14ac:dyDescent="0.2">
      <c r="A163" s="760" t="s">
        <v>663</v>
      </c>
      <c r="B163" s="760" t="s">
        <v>1948</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1949</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1950</v>
      </c>
      <c r="C165" s="765">
        <f>'Revenues 9-14'!B259</f>
        <v>4932</v>
      </c>
      <c r="D165" s="766" t="str">
        <f>'Revenues 9-14'!A259</f>
        <v>Title II - Teacher Quality</v>
      </c>
      <c r="E165" s="739"/>
      <c r="F165" s="1791">
        <f>SUM('Revenues 9-14'!C259,'Revenues 9-14'!D259,'Revenues 9-14'!F259,'Revenues 9-14'!G259)</f>
        <v>533771</v>
      </c>
      <c r="G165" s="763"/>
    </row>
    <row r="166" spans="1:7" x14ac:dyDescent="0.2">
      <c r="A166" s="760" t="s">
        <v>663</v>
      </c>
      <c r="B166" s="760" t="s">
        <v>1951</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1896</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1897</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1952</v>
      </c>
      <c r="C169" s="765">
        <f>'Revenues 9-14'!B263</f>
        <v>4991</v>
      </c>
      <c r="D169" s="766" t="str">
        <f>'Revenues 9-14'!A263</f>
        <v>Medicaid Matching Funds - Administrative Outreach</v>
      </c>
      <c r="E169" s="739"/>
      <c r="F169" s="1792">
        <f>SUM('Revenues 9-14'!C263:D263,'Revenues 9-14'!F263:G263)</f>
        <v>251584</v>
      </c>
      <c r="G169" s="780">
        <v>6320</v>
      </c>
    </row>
    <row r="170" spans="1:7" x14ac:dyDescent="0.2">
      <c r="A170" s="760" t="s">
        <v>663</v>
      </c>
      <c r="B170" s="760" t="s">
        <v>1953</v>
      </c>
      <c r="C170" s="765">
        <f>'Revenues 9-14'!B264</f>
        <v>4992</v>
      </c>
      <c r="D170" s="766" t="str">
        <f>'Revenues 9-14'!A264</f>
        <v>Medicaid Matching Funds - Fee-for-Service Program</v>
      </c>
      <c r="E170" s="739"/>
      <c r="F170" s="1792">
        <f>SUM('Revenues 9-14'!C264:D264,'Revenues 9-14'!F264:G264)</f>
        <v>154187</v>
      </c>
      <c r="G170" s="780"/>
    </row>
    <row r="171" spans="1:7" x14ac:dyDescent="0.2">
      <c r="A171" s="781" t="s">
        <v>663</v>
      </c>
      <c r="B171" s="777" t="s">
        <v>1954</v>
      </c>
      <c r="C171" s="778">
        <f>'Revenues 9-14'!B265</f>
        <v>4998</v>
      </c>
      <c r="D171" s="779" t="str">
        <f>'Revenues 9-14'!A265</f>
        <v>Other Restricted Revenue from Federal Sources (Describe &amp; Itemize)</v>
      </c>
      <c r="E171" s="739"/>
      <c r="F171" s="1792">
        <f>SUM('Revenues 9-14'!C265:D265,'Revenues 9-14'!F265:G265)</f>
        <v>104428</v>
      </c>
      <c r="G171" s="760"/>
    </row>
    <row r="172" spans="1:7" x14ac:dyDescent="0.2">
      <c r="A172" s="1528" t="s">
        <v>5</v>
      </c>
      <c r="B172" s="1529" t="s">
        <v>1877</v>
      </c>
      <c r="C172" s="1530">
        <v>3100</v>
      </c>
      <c r="D172" s="1531" t="s">
        <v>1879</v>
      </c>
      <c r="E172" s="739"/>
      <c r="F172" s="1793">
        <v>2184553</v>
      </c>
      <c r="G172" s="760"/>
    </row>
    <row r="173" spans="1:7" x14ac:dyDescent="0.2">
      <c r="A173" s="1528" t="s">
        <v>659</v>
      </c>
      <c r="B173" s="1529" t="s">
        <v>1877</v>
      </c>
      <c r="C173" s="1530">
        <v>3300</v>
      </c>
      <c r="D173" s="1531" t="s">
        <v>1880</v>
      </c>
      <c r="E173" s="739"/>
      <c r="F173" s="1793">
        <v>89190</v>
      </c>
      <c r="G173" s="760"/>
    </row>
    <row r="174" spans="1:7" ht="6" customHeight="1" x14ac:dyDescent="0.2">
      <c r="A174" s="760"/>
      <c r="B174" s="760"/>
      <c r="C174" s="782"/>
      <c r="D174" s="760"/>
      <c r="E174" s="739"/>
      <c r="F174" s="1794"/>
      <c r="G174" s="780"/>
    </row>
    <row r="175" spans="1:7" x14ac:dyDescent="0.2">
      <c r="A175" s="1442"/>
      <c r="B175" s="1452"/>
      <c r="C175" s="1453"/>
      <c r="D175" s="1454" t="s">
        <v>2008</v>
      </c>
      <c r="E175" s="1455" t="s">
        <v>952</v>
      </c>
      <c r="F175" s="1795">
        <f>SUM(F85:F133,F158:F173)</f>
        <v>16335555</v>
      </c>
    </row>
    <row r="176" spans="1:7" ht="12" customHeight="1" x14ac:dyDescent="0.2">
      <c r="A176" s="1442"/>
      <c r="B176" s="1452"/>
      <c r="C176" s="1453"/>
      <c r="D176" s="1454" t="s">
        <v>2006</v>
      </c>
      <c r="E176" s="1455"/>
      <c r="F176" s="1792">
        <f>'PCTC-OEPP 27-28'!F78-F175</f>
        <v>52002459</v>
      </c>
    </row>
    <row r="177" spans="1:9" ht="12" customHeight="1" x14ac:dyDescent="0.2">
      <c r="A177" s="1442"/>
      <c r="B177" s="1452"/>
      <c r="C177" s="1453"/>
      <c r="D177" s="1454" t="s">
        <v>1790</v>
      </c>
      <c r="E177" s="1455"/>
      <c r="F177" s="1792">
        <f>'Cap Outlay Deprec 26'!I18</f>
        <v>3814145.5</v>
      </c>
    </row>
    <row r="178" spans="1:9" ht="12" customHeight="1" x14ac:dyDescent="0.2">
      <c r="A178" s="1442"/>
      <c r="B178" s="1452"/>
      <c r="C178" s="1453"/>
      <c r="D178" s="1454" t="s">
        <v>2007</v>
      </c>
      <c r="E178" s="1455"/>
      <c r="F178" s="1792">
        <f>F176+F177</f>
        <v>55816604.5</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4614.8999999999996</v>
      </c>
      <c r="G179" s="763"/>
      <c r="I179" s="701"/>
    </row>
    <row r="180" spans="1:9" ht="12" customHeight="1" thickBot="1" x14ac:dyDescent="0.25">
      <c r="A180" s="1442"/>
      <c r="B180" s="1456"/>
      <c r="C180" s="1453"/>
      <c r="D180" s="1454" t="s">
        <v>2009</v>
      </c>
      <c r="E180" s="1455" t="s">
        <v>1528</v>
      </c>
      <c r="F180" s="1797">
        <f>F178/F179</f>
        <v>12094.867602764958</v>
      </c>
      <c r="G180" s="692">
        <v>6323</v>
      </c>
    </row>
    <row r="181" spans="1:9" ht="12" thickTop="1" x14ac:dyDescent="0.2">
      <c r="B181" s="763"/>
      <c r="C181" s="782"/>
      <c r="D181" s="763"/>
      <c r="E181" s="782"/>
      <c r="F181" s="763"/>
      <c r="G181" s="783">
        <v>6326</v>
      </c>
    </row>
    <row r="182" spans="1:9" ht="12.2" customHeight="1" x14ac:dyDescent="0.2">
      <c r="A182" s="763" t="s">
        <v>1878</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1882</v>
      </c>
      <c r="B186" s="1535" t="s">
        <v>1881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pageSetUpPr fitToPage="1"/>
  </sheetPr>
  <dimension ref="A1:G146"/>
  <sheetViews>
    <sheetView showGridLines="0" zoomScale="85" zoomScaleNormal="85" workbookViewId="0">
      <selection activeCell="A17" sqref="A17"/>
    </sheetView>
  </sheetViews>
  <sheetFormatPr defaultColWidth="9.140625" defaultRowHeight="15" x14ac:dyDescent="0.25"/>
  <cols>
    <col min="1" max="1" width="52" style="1888" customWidth="1"/>
    <col min="2" max="2" width="16.42578125" style="1889" bestFit="1" customWidth="1"/>
    <col min="3" max="3" width="33.7109375" style="1890" customWidth="1"/>
    <col min="4" max="4" width="16.28515625" style="1891" customWidth="1"/>
    <col min="5" max="5" width="23.5703125" style="1891" customWidth="1"/>
    <col min="6" max="6" width="23.28515625" style="1890" customWidth="1"/>
    <col min="7" max="16384" width="9.140625" style="1858"/>
  </cols>
  <sheetData>
    <row r="1" spans="1:6" ht="15" customHeight="1" x14ac:dyDescent="0.25">
      <c r="A1" s="2114" t="s">
        <v>2176</v>
      </c>
      <c r="B1" s="2114"/>
      <c r="C1" s="2114"/>
      <c r="D1" s="2114"/>
      <c r="E1" s="2114"/>
      <c r="F1" s="2115" t="s">
        <v>2174</v>
      </c>
    </row>
    <row r="2" spans="1:6" x14ac:dyDescent="0.25">
      <c r="A2" s="2467" t="s">
        <v>1995</v>
      </c>
      <c r="B2" s="2467"/>
      <c r="C2" s="2467"/>
      <c r="D2" s="2467"/>
      <c r="E2" s="2467"/>
      <c r="F2" s="2467"/>
    </row>
    <row r="3" spans="1:6" ht="5.25" customHeight="1" x14ac:dyDescent="0.25">
      <c r="A3" s="1859"/>
      <c r="B3" s="1860"/>
      <c r="C3" s="1859"/>
      <c r="D3" s="1859"/>
      <c r="E3" s="1859"/>
      <c r="F3" s="1859"/>
    </row>
    <row r="4" spans="1:6" ht="18.75" customHeight="1" x14ac:dyDescent="0.25">
      <c r="A4" s="2471" t="s">
        <v>1791</v>
      </c>
      <c r="B4" s="2472"/>
      <c r="C4" s="2472"/>
      <c r="D4" s="2472"/>
      <c r="E4" s="2472"/>
      <c r="F4" s="2473"/>
    </row>
    <row r="5" spans="1:6" x14ac:dyDescent="0.25">
      <c r="A5" s="2474"/>
      <c r="B5" s="2475"/>
      <c r="C5" s="2475"/>
      <c r="D5" s="2475"/>
      <c r="E5" s="2475"/>
      <c r="F5" s="2476"/>
    </row>
    <row r="6" spans="1:6" ht="18.75" x14ac:dyDescent="0.25">
      <c r="A6" s="1861" t="s">
        <v>1792</v>
      </c>
      <c r="B6" s="1862"/>
      <c r="C6" s="1863"/>
      <c r="D6" s="1863"/>
      <c r="E6" s="1863"/>
      <c r="F6" s="2128"/>
    </row>
    <row r="7" spans="1:6" ht="47.25" customHeight="1" x14ac:dyDescent="0.25">
      <c r="A7" s="2477" t="s">
        <v>1977</v>
      </c>
      <c r="B7" s="2478"/>
      <c r="C7" s="2478"/>
      <c r="D7" s="2478"/>
      <c r="E7" s="2478"/>
      <c r="F7" s="2479"/>
    </row>
    <row r="8" spans="1:6" ht="20.25" customHeight="1" x14ac:dyDescent="0.25">
      <c r="A8" s="1895" t="s">
        <v>1979</v>
      </c>
      <c r="B8" s="1896"/>
      <c r="C8" s="1896"/>
      <c r="D8" s="1896"/>
      <c r="E8" s="1864"/>
      <c r="F8" s="1865"/>
    </row>
    <row r="9" spans="1:6" ht="18" customHeight="1" x14ac:dyDescent="0.25">
      <c r="A9" s="1866" t="s">
        <v>1976</v>
      </c>
      <c r="B9" s="1868"/>
      <c r="C9" s="1868"/>
      <c r="D9" s="1868"/>
      <c r="E9" s="1864"/>
      <c r="F9" s="1865"/>
    </row>
    <row r="10" spans="1:6" ht="15.75" customHeight="1" x14ac:dyDescent="0.25">
      <c r="A10" s="2480" t="s">
        <v>1973</v>
      </c>
      <c r="B10" s="2481"/>
      <c r="C10" s="2481"/>
      <c r="D10" s="2481"/>
      <c r="E10" s="2481"/>
      <c r="F10" s="2482"/>
    </row>
    <row r="11" spans="1:6" ht="33" customHeight="1" x14ac:dyDescent="0.25">
      <c r="A11" s="2477" t="s">
        <v>1978</v>
      </c>
      <c r="B11" s="2478"/>
      <c r="C11" s="2478"/>
      <c r="D11" s="2478"/>
      <c r="E11" s="2478"/>
      <c r="F11" s="2479"/>
    </row>
    <row r="12" spans="1:6" ht="15" customHeight="1" x14ac:dyDescent="0.25">
      <c r="A12" s="1866" t="s">
        <v>1974</v>
      </c>
      <c r="B12" s="1867"/>
      <c r="C12" s="1868"/>
      <c r="D12" s="1868"/>
      <c r="E12" s="1868"/>
      <c r="F12" s="1869"/>
    </row>
    <row r="13" spans="1:6" ht="17.25" customHeight="1" x14ac:dyDescent="0.25">
      <c r="A13" s="2477" t="s">
        <v>1975</v>
      </c>
      <c r="B13" s="2478"/>
      <c r="C13" s="2478"/>
      <c r="D13" s="2478"/>
      <c r="E13" s="2478"/>
      <c r="F13" s="2479"/>
    </row>
    <row r="14" spans="1:6" ht="15" customHeight="1" x14ac:dyDescent="0.25">
      <c r="A14" s="1866" t="s">
        <v>1794</v>
      </c>
      <c r="B14" s="1867"/>
      <c r="C14" s="1868"/>
      <c r="D14" s="1868"/>
      <c r="E14" s="1868"/>
      <c r="F14" s="1869"/>
    </row>
    <row r="15" spans="1:6" ht="32.25" customHeight="1" x14ac:dyDescent="0.25">
      <c r="A15" s="246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69"/>
      <c r="C15" s="2469"/>
      <c r="D15" s="2469"/>
      <c r="E15" s="2469"/>
      <c r="F15" s="2470"/>
    </row>
    <row r="16" spans="1:6" ht="61.5" customHeight="1" x14ac:dyDescent="0.25">
      <c r="A16" s="1870" t="s">
        <v>1795</v>
      </c>
      <c r="B16" s="1871" t="s">
        <v>1796</v>
      </c>
      <c r="C16" s="1870" t="s">
        <v>1797</v>
      </c>
      <c r="D16" s="1872" t="s">
        <v>1798</v>
      </c>
      <c r="E16" s="1872" t="s">
        <v>1799</v>
      </c>
      <c r="F16" s="1872" t="s">
        <v>1800</v>
      </c>
    </row>
    <row r="17" spans="1:7" x14ac:dyDescent="0.25">
      <c r="A17" s="1873" t="s">
        <v>2091</v>
      </c>
      <c r="B17" s="1900"/>
      <c r="C17" s="1874"/>
      <c r="D17" s="1875"/>
      <c r="E17" s="1875">
        <v>0</v>
      </c>
      <c r="F17" s="1876">
        <v>0</v>
      </c>
    </row>
    <row r="18" spans="1:7" x14ac:dyDescent="0.25">
      <c r="A18" s="2030" t="s">
        <v>1159</v>
      </c>
      <c r="B18" s="1901"/>
      <c r="C18" s="2031"/>
      <c r="D18" s="1879"/>
      <c r="E18" s="1899">
        <v>0</v>
      </c>
      <c r="F18" s="1899">
        <v>0</v>
      </c>
      <c r="G18" s="1880"/>
    </row>
    <row r="19" spans="1:7" x14ac:dyDescent="0.25">
      <c r="A19" s="1881"/>
      <c r="B19" s="1901"/>
      <c r="C19" s="1878"/>
      <c r="D19" s="1879"/>
      <c r="E19" s="1899">
        <f t="shared" ref="E19:E85" si="0">IF(D19&lt;25000,D19,"25,000")</f>
        <v>0</v>
      </c>
      <c r="F19" s="1899" t="str">
        <f t="shared" ref="F19:F85" si="1">IF(D19&gt;=25000,(D19-E19),"0")</f>
        <v>0</v>
      </c>
    </row>
    <row r="20" spans="1:7" x14ac:dyDescent="0.25">
      <c r="A20" s="1881"/>
      <c r="B20" s="1901"/>
      <c r="C20" s="1878"/>
      <c r="D20" s="1879"/>
      <c r="E20" s="1899">
        <f t="shared" si="0"/>
        <v>0</v>
      </c>
      <c r="F20" s="1899" t="str">
        <f t="shared" si="1"/>
        <v>0</v>
      </c>
    </row>
    <row r="21" spans="1:7" x14ac:dyDescent="0.25">
      <c r="A21" s="1881"/>
      <c r="B21" s="1901"/>
      <c r="C21" s="1878"/>
      <c r="D21" s="1879"/>
      <c r="E21" s="1899">
        <f t="shared" si="0"/>
        <v>0</v>
      </c>
      <c r="F21" s="1899" t="str">
        <f t="shared" si="1"/>
        <v>0</v>
      </c>
    </row>
    <row r="22" spans="1:7" x14ac:dyDescent="0.25">
      <c r="A22" s="1881"/>
      <c r="B22" s="1901"/>
      <c r="C22" s="1878"/>
      <c r="D22" s="1879"/>
      <c r="E22" s="1899">
        <f t="shared" si="0"/>
        <v>0</v>
      </c>
      <c r="F22" s="1899" t="str">
        <f t="shared" si="1"/>
        <v>0</v>
      </c>
    </row>
    <row r="23" spans="1:7" x14ac:dyDescent="0.25">
      <c r="A23" s="1881"/>
      <c r="B23" s="1901"/>
      <c r="C23" s="1878"/>
      <c r="D23" s="1879"/>
      <c r="E23" s="1899">
        <f t="shared" si="0"/>
        <v>0</v>
      </c>
      <c r="F23" s="1899" t="str">
        <f t="shared" si="1"/>
        <v>0</v>
      </c>
    </row>
    <row r="24" spans="1:7" x14ac:dyDescent="0.25">
      <c r="A24" s="1881"/>
      <c r="B24" s="1901"/>
      <c r="C24" s="1878"/>
      <c r="D24" s="1879"/>
      <c r="E24" s="1899">
        <f t="shared" si="0"/>
        <v>0</v>
      </c>
      <c r="F24" s="1899" t="str">
        <f t="shared" si="1"/>
        <v>0</v>
      </c>
    </row>
    <row r="25" spans="1:7" x14ac:dyDescent="0.25">
      <c r="A25" s="1881"/>
      <c r="B25" s="1901"/>
      <c r="C25" s="1878"/>
      <c r="D25" s="1879"/>
      <c r="E25" s="1899">
        <f t="shared" si="0"/>
        <v>0</v>
      </c>
      <c r="F25" s="1899" t="str">
        <f t="shared" si="1"/>
        <v>0</v>
      </c>
    </row>
    <row r="26" spans="1:7" x14ac:dyDescent="0.25">
      <c r="A26" s="1881"/>
      <c r="B26" s="1901"/>
      <c r="C26" s="1878"/>
      <c r="D26" s="1879"/>
      <c r="E26" s="1899">
        <f t="shared" si="0"/>
        <v>0</v>
      </c>
      <c r="F26" s="1899" t="str">
        <f t="shared" si="1"/>
        <v>0</v>
      </c>
    </row>
    <row r="27" spans="1:7" x14ac:dyDescent="0.25">
      <c r="A27" s="1881"/>
      <c r="B27" s="1901"/>
      <c r="C27" s="1882"/>
      <c r="D27" s="1879"/>
      <c r="E27" s="1899">
        <f t="shared" si="0"/>
        <v>0</v>
      </c>
      <c r="F27" s="1899" t="str">
        <f t="shared" si="1"/>
        <v>0</v>
      </c>
    </row>
    <row r="28" spans="1:7" x14ac:dyDescent="0.25">
      <c r="A28" s="1881"/>
      <c r="B28" s="1901"/>
      <c r="C28" s="1882"/>
      <c r="D28" s="1879"/>
      <c r="E28" s="1899">
        <f t="shared" si="0"/>
        <v>0</v>
      </c>
      <c r="F28" s="1899" t="str">
        <f t="shared" si="1"/>
        <v>0</v>
      </c>
    </row>
    <row r="29" spans="1:7" x14ac:dyDescent="0.25">
      <c r="A29" s="1881"/>
      <c r="B29" s="1901"/>
      <c r="C29" s="1882"/>
      <c r="D29" s="1879"/>
      <c r="E29" s="1899">
        <f t="shared" si="0"/>
        <v>0</v>
      </c>
      <c r="F29" s="1899" t="str">
        <f t="shared" si="1"/>
        <v>0</v>
      </c>
    </row>
    <row r="30" spans="1:7" x14ac:dyDescent="0.25">
      <c r="A30" s="1881"/>
      <c r="B30" s="1901"/>
      <c r="C30" s="1882"/>
      <c r="D30" s="1879"/>
      <c r="E30" s="1899">
        <f t="shared" si="0"/>
        <v>0</v>
      </c>
      <c r="F30" s="1899" t="str">
        <f t="shared" si="1"/>
        <v>0</v>
      </c>
    </row>
    <row r="31" spans="1:7" x14ac:dyDescent="0.25">
      <c r="A31" s="1881"/>
      <c r="B31" s="1901"/>
      <c r="C31" s="1882"/>
      <c r="D31" s="1879"/>
      <c r="E31" s="1899">
        <f t="shared" si="0"/>
        <v>0</v>
      </c>
      <c r="F31" s="1899" t="str">
        <f t="shared" si="1"/>
        <v>0</v>
      </c>
    </row>
    <row r="32" spans="1:7" x14ac:dyDescent="0.25">
      <c r="A32" s="1881"/>
      <c r="B32" s="1901"/>
      <c r="C32" s="1882"/>
      <c r="D32" s="1879"/>
      <c r="E32" s="1899">
        <f t="shared" si="0"/>
        <v>0</v>
      </c>
      <c r="F32" s="1899" t="str">
        <f t="shared" si="1"/>
        <v>0</v>
      </c>
    </row>
    <row r="33" spans="1:6" x14ac:dyDescent="0.25">
      <c r="A33" s="1881"/>
      <c r="B33" s="1901"/>
      <c r="C33" s="1882"/>
      <c r="D33" s="1879"/>
      <c r="E33" s="1899">
        <f t="shared" si="0"/>
        <v>0</v>
      </c>
      <c r="F33" s="1899" t="str">
        <f t="shared" si="1"/>
        <v>0</v>
      </c>
    </row>
    <row r="34" spans="1:6" x14ac:dyDescent="0.25">
      <c r="A34" s="1881"/>
      <c r="B34" s="1901"/>
      <c r="C34" s="1882"/>
      <c r="D34" s="1879"/>
      <c r="E34" s="1899">
        <f t="shared" si="0"/>
        <v>0</v>
      </c>
      <c r="F34" s="1899" t="str">
        <f t="shared" si="1"/>
        <v>0</v>
      </c>
    </row>
    <row r="35" spans="1:6" s="2126" customFormat="1" x14ac:dyDescent="0.25">
      <c r="A35" s="2121"/>
      <c r="B35" s="2122"/>
      <c r="C35" s="2123"/>
      <c r="D35" s="2124"/>
      <c r="E35" s="2125"/>
      <c r="F35" s="2127" t="s">
        <v>2175</v>
      </c>
    </row>
    <row r="36" spans="1:6" s="2126" customFormat="1" ht="60" x14ac:dyDescent="0.25">
      <c r="A36" s="1870" t="s">
        <v>1795</v>
      </c>
      <c r="B36" s="1871" t="s">
        <v>1796</v>
      </c>
      <c r="C36" s="1870" t="s">
        <v>1797</v>
      </c>
      <c r="D36" s="1872" t="s">
        <v>1798</v>
      </c>
      <c r="E36" s="1872" t="s">
        <v>1799</v>
      </c>
      <c r="F36" s="1872" t="s">
        <v>1800</v>
      </c>
    </row>
    <row r="37" spans="1:6" x14ac:dyDescent="0.25">
      <c r="A37" s="2116"/>
      <c r="B37" s="2117"/>
      <c r="C37" s="2118"/>
      <c r="D37" s="2119"/>
      <c r="E37" s="2120">
        <f t="shared" si="0"/>
        <v>0</v>
      </c>
      <c r="F37" s="2120" t="str">
        <f t="shared" si="1"/>
        <v>0</v>
      </c>
    </row>
    <row r="38" spans="1:6" x14ac:dyDescent="0.25">
      <c r="A38" s="1881"/>
      <c r="B38" s="1901"/>
      <c r="C38" s="1882"/>
      <c r="D38" s="1879"/>
      <c r="E38" s="1899">
        <f t="shared" si="0"/>
        <v>0</v>
      </c>
      <c r="F38" s="1899" t="str">
        <f t="shared" si="1"/>
        <v>0</v>
      </c>
    </row>
    <row r="39" spans="1:6" x14ac:dyDescent="0.25">
      <c r="A39" s="1881"/>
      <c r="B39" s="1901"/>
      <c r="C39" s="1882"/>
      <c r="D39" s="1879"/>
      <c r="E39" s="1899">
        <f t="shared" si="0"/>
        <v>0</v>
      </c>
      <c r="F39" s="1899" t="str">
        <f t="shared" si="1"/>
        <v>0</v>
      </c>
    </row>
    <row r="40" spans="1:6" x14ac:dyDescent="0.25">
      <c r="A40" s="1881"/>
      <c r="B40" s="1901"/>
      <c r="C40" s="1882"/>
      <c r="D40" s="1879"/>
      <c r="E40" s="1899">
        <f t="shared" si="0"/>
        <v>0</v>
      </c>
      <c r="F40" s="1899" t="str">
        <f t="shared" si="1"/>
        <v>0</v>
      </c>
    </row>
    <row r="41" spans="1:6" x14ac:dyDescent="0.25">
      <c r="A41" s="1881"/>
      <c r="B41" s="1902"/>
      <c r="C41" s="1882"/>
      <c r="D41" s="1879"/>
      <c r="E41" s="1899">
        <f t="shared" si="0"/>
        <v>0</v>
      </c>
      <c r="F41" s="1899" t="str">
        <f t="shared" si="1"/>
        <v>0</v>
      </c>
    </row>
    <row r="42" spans="1:6" x14ac:dyDescent="0.25">
      <c r="A42" s="1881"/>
      <c r="B42" s="1902"/>
      <c r="C42" s="1882"/>
      <c r="D42" s="1879"/>
      <c r="E42" s="1899">
        <f t="shared" si="0"/>
        <v>0</v>
      </c>
      <c r="F42" s="1899" t="str">
        <f t="shared" si="1"/>
        <v>0</v>
      </c>
    </row>
    <row r="43" spans="1:6" x14ac:dyDescent="0.25">
      <c r="A43" s="1881"/>
      <c r="B43" s="1902"/>
      <c r="C43" s="1882"/>
      <c r="D43" s="1879"/>
      <c r="E43" s="1899">
        <f t="shared" si="0"/>
        <v>0</v>
      </c>
      <c r="F43" s="1899" t="str">
        <f t="shared" si="1"/>
        <v>0</v>
      </c>
    </row>
    <row r="44" spans="1:6" x14ac:dyDescent="0.25">
      <c r="A44" s="1881"/>
      <c r="B44" s="1902"/>
      <c r="C44" s="1882"/>
      <c r="D44" s="1879"/>
      <c r="E44" s="1899">
        <f t="shared" si="0"/>
        <v>0</v>
      </c>
      <c r="F44" s="1899" t="str">
        <f t="shared" si="1"/>
        <v>0</v>
      </c>
    </row>
    <row r="45" spans="1:6" x14ac:dyDescent="0.25">
      <c r="A45" s="1881"/>
      <c r="B45" s="1902"/>
      <c r="C45" s="1882"/>
      <c r="D45" s="1879"/>
      <c r="E45" s="1899">
        <f t="shared" si="0"/>
        <v>0</v>
      </c>
      <c r="F45" s="1899" t="str">
        <f t="shared" si="1"/>
        <v>0</v>
      </c>
    </row>
    <row r="46" spans="1:6" x14ac:dyDescent="0.25">
      <c r="A46" s="1881"/>
      <c r="B46" s="1902"/>
      <c r="C46" s="1882"/>
      <c r="D46" s="1879"/>
      <c r="E46" s="1899">
        <f t="shared" si="0"/>
        <v>0</v>
      </c>
      <c r="F46" s="1899" t="str">
        <f t="shared" si="1"/>
        <v>0</v>
      </c>
    </row>
    <row r="47" spans="1:6" x14ac:dyDescent="0.25">
      <c r="A47" s="1881"/>
      <c r="B47" s="1902"/>
      <c r="C47" s="1882"/>
      <c r="D47" s="1879"/>
      <c r="E47" s="1899">
        <f t="shared" si="0"/>
        <v>0</v>
      </c>
      <c r="F47" s="1899" t="str">
        <f t="shared" si="1"/>
        <v>0</v>
      </c>
    </row>
    <row r="48" spans="1:6" x14ac:dyDescent="0.25">
      <c r="A48" s="1881"/>
      <c r="B48" s="1902"/>
      <c r="C48" s="1882"/>
      <c r="D48" s="1879"/>
      <c r="E48" s="1899">
        <f t="shared" si="0"/>
        <v>0</v>
      </c>
      <c r="F48" s="1899" t="str">
        <f t="shared" si="1"/>
        <v>0</v>
      </c>
    </row>
    <row r="49" spans="1:6" x14ac:dyDescent="0.25">
      <c r="A49" s="1881"/>
      <c r="B49" s="1902"/>
      <c r="C49" s="1882"/>
      <c r="D49" s="1879"/>
      <c r="E49" s="1899">
        <f t="shared" si="0"/>
        <v>0</v>
      </c>
      <c r="F49" s="1899" t="str">
        <f t="shared" si="1"/>
        <v>0</v>
      </c>
    </row>
    <row r="50" spans="1:6" x14ac:dyDescent="0.25">
      <c r="A50" s="1881"/>
      <c r="B50" s="1902"/>
      <c r="C50" s="1882"/>
      <c r="D50" s="1879"/>
      <c r="E50" s="1899">
        <f t="shared" si="0"/>
        <v>0</v>
      </c>
      <c r="F50" s="1899" t="str">
        <f t="shared" si="1"/>
        <v>0</v>
      </c>
    </row>
    <row r="51" spans="1:6" x14ac:dyDescent="0.25">
      <c r="A51" s="1881"/>
      <c r="B51" s="1902"/>
      <c r="C51" s="1882"/>
      <c r="D51" s="1879"/>
      <c r="E51" s="1899">
        <f t="shared" si="0"/>
        <v>0</v>
      </c>
      <c r="F51" s="1899" t="str">
        <f t="shared" si="1"/>
        <v>0</v>
      </c>
    </row>
    <row r="52" spans="1:6" x14ac:dyDescent="0.25">
      <c r="A52" s="1881"/>
      <c r="B52" s="1902"/>
      <c r="C52" s="1882"/>
      <c r="D52" s="1879"/>
      <c r="E52" s="1899">
        <f t="shared" si="0"/>
        <v>0</v>
      </c>
      <c r="F52" s="1899" t="str">
        <f t="shared" si="1"/>
        <v>0</v>
      </c>
    </row>
    <row r="53" spans="1:6" x14ac:dyDescent="0.25">
      <c r="A53" s="1881"/>
      <c r="B53" s="1902"/>
      <c r="C53" s="1882"/>
      <c r="D53" s="1879"/>
      <c r="E53" s="1899">
        <f t="shared" si="0"/>
        <v>0</v>
      </c>
      <c r="F53" s="1899" t="str">
        <f t="shared" si="1"/>
        <v>0</v>
      </c>
    </row>
    <row r="54" spans="1:6" x14ac:dyDescent="0.25">
      <c r="A54" s="1881"/>
      <c r="B54" s="1902"/>
      <c r="C54" s="1882"/>
      <c r="D54" s="1879"/>
      <c r="E54" s="1899">
        <f t="shared" si="0"/>
        <v>0</v>
      </c>
      <c r="F54" s="1899" t="str">
        <f t="shared" si="1"/>
        <v>0</v>
      </c>
    </row>
    <row r="55" spans="1:6" x14ac:dyDescent="0.25">
      <c r="A55" s="1881"/>
      <c r="B55" s="1902"/>
      <c r="C55" s="1882"/>
      <c r="D55" s="1879"/>
      <c r="E55" s="1899">
        <f t="shared" si="0"/>
        <v>0</v>
      </c>
      <c r="F55" s="1899" t="str">
        <f t="shared" si="1"/>
        <v>0</v>
      </c>
    </row>
    <row r="56" spans="1:6" x14ac:dyDescent="0.25">
      <c r="A56" s="1881"/>
      <c r="B56" s="1902"/>
      <c r="C56" s="1882"/>
      <c r="D56" s="1879"/>
      <c r="E56" s="1899">
        <f t="shared" si="0"/>
        <v>0</v>
      </c>
      <c r="F56" s="1899" t="str">
        <f t="shared" si="1"/>
        <v>0</v>
      </c>
    </row>
    <row r="57" spans="1:6" x14ac:dyDescent="0.25">
      <c r="A57" s="1881"/>
      <c r="B57" s="1902"/>
      <c r="C57" s="1882"/>
      <c r="D57" s="1879"/>
      <c r="E57" s="1899">
        <f t="shared" si="0"/>
        <v>0</v>
      </c>
      <c r="F57" s="1899" t="str">
        <f t="shared" si="1"/>
        <v>0</v>
      </c>
    </row>
    <row r="58" spans="1:6" x14ac:dyDescent="0.25">
      <c r="A58" s="1881"/>
      <c r="B58" s="1902"/>
      <c r="C58" s="1882"/>
      <c r="D58" s="1879"/>
      <c r="E58" s="1899">
        <f t="shared" si="0"/>
        <v>0</v>
      </c>
      <c r="F58" s="1899" t="str">
        <f t="shared" si="1"/>
        <v>0</v>
      </c>
    </row>
    <row r="59" spans="1:6" x14ac:dyDescent="0.25">
      <c r="A59" s="1881"/>
      <c r="B59" s="1902"/>
      <c r="C59" s="1882"/>
      <c r="D59" s="1879"/>
      <c r="E59" s="1899">
        <f t="shared" si="0"/>
        <v>0</v>
      </c>
      <c r="F59" s="1899" t="str">
        <f t="shared" si="1"/>
        <v>0</v>
      </c>
    </row>
    <row r="60" spans="1:6" x14ac:dyDescent="0.25">
      <c r="A60" s="1881"/>
      <c r="B60" s="1902"/>
      <c r="C60" s="1882"/>
      <c r="D60" s="1879"/>
      <c r="E60" s="1899">
        <f t="shared" si="0"/>
        <v>0</v>
      </c>
      <c r="F60" s="1899" t="str">
        <f t="shared" si="1"/>
        <v>0</v>
      </c>
    </row>
    <row r="61" spans="1:6" x14ac:dyDescent="0.25">
      <c r="A61" s="1881"/>
      <c r="B61" s="1902"/>
      <c r="C61" s="1882"/>
      <c r="D61" s="1879"/>
      <c r="E61" s="1899">
        <f t="shared" si="0"/>
        <v>0</v>
      </c>
      <c r="F61" s="1899" t="str">
        <f t="shared" si="1"/>
        <v>0</v>
      </c>
    </row>
    <row r="62" spans="1:6" x14ac:dyDescent="0.25">
      <c r="A62" s="1881"/>
      <c r="B62" s="1902"/>
      <c r="C62" s="1882"/>
      <c r="D62" s="1879"/>
      <c r="E62" s="1899">
        <f t="shared" si="0"/>
        <v>0</v>
      </c>
      <c r="F62" s="1899" t="str">
        <f t="shared" si="1"/>
        <v>0</v>
      </c>
    </row>
    <row r="63" spans="1:6" x14ac:dyDescent="0.25">
      <c r="A63" s="1881"/>
      <c r="B63" s="1902"/>
      <c r="C63" s="1882"/>
      <c r="D63" s="1879"/>
      <c r="E63" s="1899">
        <f t="shared" si="0"/>
        <v>0</v>
      </c>
      <c r="F63" s="1899" t="str">
        <f t="shared" si="1"/>
        <v>0</v>
      </c>
    </row>
    <row r="64" spans="1:6" x14ac:dyDescent="0.25">
      <c r="A64" s="1881"/>
      <c r="B64" s="1902"/>
      <c r="C64" s="1882"/>
      <c r="D64" s="1879"/>
      <c r="E64" s="1899">
        <f t="shared" si="0"/>
        <v>0</v>
      </c>
      <c r="F64" s="1899" t="str">
        <f t="shared" si="1"/>
        <v>0</v>
      </c>
    </row>
    <row r="65" spans="1:6" x14ac:dyDescent="0.25">
      <c r="A65" s="1881"/>
      <c r="B65" s="1902"/>
      <c r="C65" s="1882"/>
      <c r="D65" s="1879"/>
      <c r="E65" s="1899">
        <f t="shared" si="0"/>
        <v>0</v>
      </c>
      <c r="F65" s="1899" t="str">
        <f t="shared" si="1"/>
        <v>0</v>
      </c>
    </row>
    <row r="66" spans="1:6" x14ac:dyDescent="0.25">
      <c r="A66" s="1881"/>
      <c r="B66" s="1902"/>
      <c r="C66" s="1882"/>
      <c r="D66" s="1879"/>
      <c r="E66" s="1899">
        <f t="shared" si="0"/>
        <v>0</v>
      </c>
      <c r="F66" s="1899" t="str">
        <f t="shared" si="1"/>
        <v>0</v>
      </c>
    </row>
    <row r="67" spans="1:6" x14ac:dyDescent="0.25">
      <c r="A67" s="1877"/>
      <c r="B67" s="1902"/>
      <c r="C67" s="1878"/>
      <c r="D67" s="1879"/>
      <c r="E67" s="1899">
        <f t="shared" si="0"/>
        <v>0</v>
      </c>
      <c r="F67" s="1899" t="str">
        <f t="shared" si="1"/>
        <v>0</v>
      </c>
    </row>
    <row r="68" spans="1:6" x14ac:dyDescent="0.25">
      <c r="A68" s="1881"/>
      <c r="B68" s="1902"/>
      <c r="C68" s="1882"/>
      <c r="D68" s="1879"/>
      <c r="E68" s="1899">
        <f t="shared" si="0"/>
        <v>0</v>
      </c>
      <c r="F68" s="1899" t="str">
        <f t="shared" si="1"/>
        <v>0</v>
      </c>
    </row>
    <row r="69" spans="1:6" x14ac:dyDescent="0.25">
      <c r="A69" s="1881"/>
      <c r="B69" s="1902"/>
      <c r="C69" s="1882"/>
      <c r="D69" s="1879"/>
      <c r="E69" s="1899">
        <f t="shared" si="0"/>
        <v>0</v>
      </c>
      <c r="F69" s="1899" t="str">
        <f t="shared" si="1"/>
        <v>0</v>
      </c>
    </row>
    <row r="70" spans="1:6" x14ac:dyDescent="0.25">
      <c r="A70" s="1881"/>
      <c r="B70" s="1902"/>
      <c r="C70" s="1882"/>
      <c r="D70" s="1879"/>
      <c r="E70" s="1899">
        <f t="shared" si="0"/>
        <v>0</v>
      </c>
      <c r="F70" s="1899" t="str">
        <f t="shared" si="1"/>
        <v>0</v>
      </c>
    </row>
    <row r="71" spans="1:6" x14ac:dyDescent="0.25">
      <c r="A71" s="1881"/>
      <c r="B71" s="1902"/>
      <c r="C71" s="1882"/>
      <c r="D71" s="1879"/>
      <c r="E71" s="1899">
        <f t="shared" si="0"/>
        <v>0</v>
      </c>
      <c r="F71" s="1899" t="str">
        <f t="shared" si="1"/>
        <v>0</v>
      </c>
    </row>
    <row r="72" spans="1:6" x14ac:dyDescent="0.25">
      <c r="A72" s="1881"/>
      <c r="B72" s="1902"/>
      <c r="C72" s="1882"/>
      <c r="D72" s="1879"/>
      <c r="E72" s="1899">
        <f t="shared" si="0"/>
        <v>0</v>
      </c>
      <c r="F72" s="1899" t="str">
        <f t="shared" si="1"/>
        <v>0</v>
      </c>
    </row>
    <row r="73" spans="1:6" x14ac:dyDescent="0.25">
      <c r="A73" s="1881"/>
      <c r="B73" s="1902"/>
      <c r="C73" s="1882"/>
      <c r="D73" s="1879"/>
      <c r="E73" s="1899">
        <f t="shared" si="0"/>
        <v>0</v>
      </c>
      <c r="F73" s="1899" t="str">
        <f t="shared" si="1"/>
        <v>0</v>
      </c>
    </row>
    <row r="74" spans="1:6" x14ac:dyDescent="0.25">
      <c r="A74" s="1881"/>
      <c r="B74" s="1902"/>
      <c r="C74" s="1882"/>
      <c r="D74" s="1879"/>
      <c r="E74" s="1899">
        <f t="shared" si="0"/>
        <v>0</v>
      </c>
      <c r="F74" s="1899" t="str">
        <f t="shared" si="1"/>
        <v>0</v>
      </c>
    </row>
    <row r="75" spans="1:6" x14ac:dyDescent="0.25">
      <c r="A75" s="1881"/>
      <c r="B75" s="1902"/>
      <c r="C75" s="1882"/>
      <c r="D75" s="1879"/>
      <c r="E75" s="1899">
        <f t="shared" si="0"/>
        <v>0</v>
      </c>
      <c r="F75" s="1899" t="str">
        <f t="shared" si="1"/>
        <v>0</v>
      </c>
    </row>
    <row r="76" spans="1:6" x14ac:dyDescent="0.25">
      <c r="A76" s="1881"/>
      <c r="B76" s="1902"/>
      <c r="C76" s="1882"/>
      <c r="D76" s="1879"/>
      <c r="E76" s="1899">
        <f t="shared" si="0"/>
        <v>0</v>
      </c>
      <c r="F76" s="1899" t="str">
        <f t="shared" si="1"/>
        <v>0</v>
      </c>
    </row>
    <row r="77" spans="1:6" x14ac:dyDescent="0.25">
      <c r="A77" s="1881"/>
      <c r="B77" s="1902"/>
      <c r="C77" s="1882"/>
      <c r="D77" s="1879"/>
      <c r="E77" s="1899">
        <f t="shared" si="0"/>
        <v>0</v>
      </c>
      <c r="F77" s="1899" t="str">
        <f t="shared" si="1"/>
        <v>0</v>
      </c>
    </row>
    <row r="78" spans="1:6" x14ac:dyDescent="0.25">
      <c r="A78" s="2121"/>
      <c r="B78" s="2122"/>
      <c r="C78" s="2123"/>
      <c r="D78" s="2124"/>
      <c r="E78" s="2125"/>
      <c r="F78" s="2127" t="s">
        <v>2177</v>
      </c>
    </row>
    <row r="79" spans="1:6" ht="60" x14ac:dyDescent="0.25">
      <c r="A79" s="1870" t="s">
        <v>1795</v>
      </c>
      <c r="B79" s="1871" t="s">
        <v>1796</v>
      </c>
      <c r="C79" s="1870" t="s">
        <v>1797</v>
      </c>
      <c r="D79" s="1872" t="s">
        <v>1798</v>
      </c>
      <c r="E79" s="1872" t="s">
        <v>1799</v>
      </c>
      <c r="F79" s="1872" t="s">
        <v>1800</v>
      </c>
    </row>
    <row r="80" spans="1:6" x14ac:dyDescent="0.25">
      <c r="A80" s="1881"/>
      <c r="B80" s="1902"/>
      <c r="C80" s="1882"/>
      <c r="D80" s="1879"/>
      <c r="E80" s="1899">
        <f t="shared" si="0"/>
        <v>0</v>
      </c>
      <c r="F80" s="1899" t="str">
        <f t="shared" si="1"/>
        <v>0</v>
      </c>
    </row>
    <row r="81" spans="1:6" x14ac:dyDescent="0.25">
      <c r="A81" s="1881"/>
      <c r="B81" s="1902"/>
      <c r="C81" s="1882"/>
      <c r="D81" s="1879"/>
      <c r="E81" s="1899">
        <f t="shared" si="0"/>
        <v>0</v>
      </c>
      <c r="F81" s="1899" t="str">
        <f t="shared" si="1"/>
        <v>0</v>
      </c>
    </row>
    <row r="82" spans="1:6" x14ac:dyDescent="0.25">
      <c r="A82" s="1881"/>
      <c r="B82" s="1902"/>
      <c r="C82" s="1882"/>
      <c r="D82" s="1879"/>
      <c r="E82" s="1899">
        <f t="shared" si="0"/>
        <v>0</v>
      </c>
      <c r="F82" s="1899" t="str">
        <f t="shared" si="1"/>
        <v>0</v>
      </c>
    </row>
    <row r="83" spans="1:6" x14ac:dyDescent="0.25">
      <c r="A83" s="1881"/>
      <c r="B83" s="1902"/>
      <c r="C83" s="1882"/>
      <c r="D83" s="1879"/>
      <c r="E83" s="1899">
        <f t="shared" si="0"/>
        <v>0</v>
      </c>
      <c r="F83" s="1899" t="str">
        <f t="shared" si="1"/>
        <v>0</v>
      </c>
    </row>
    <row r="84" spans="1:6" x14ac:dyDescent="0.25">
      <c r="A84" s="1881"/>
      <c r="B84" s="1902"/>
      <c r="C84" s="1882"/>
      <c r="D84" s="1879"/>
      <c r="E84" s="1899">
        <f t="shared" si="0"/>
        <v>0</v>
      </c>
      <c r="F84" s="1899" t="str">
        <f t="shared" si="1"/>
        <v>0</v>
      </c>
    </row>
    <row r="85" spans="1:6" x14ac:dyDescent="0.25">
      <c r="A85" s="1881"/>
      <c r="B85" s="1902"/>
      <c r="C85" s="1882"/>
      <c r="D85" s="1879"/>
      <c r="E85" s="1899">
        <f t="shared" si="0"/>
        <v>0</v>
      </c>
      <c r="F85" s="1899" t="str">
        <f t="shared" si="1"/>
        <v>0</v>
      </c>
    </row>
    <row r="86" spans="1:6" x14ac:dyDescent="0.25">
      <c r="A86" s="1881"/>
      <c r="B86" s="1902"/>
      <c r="C86" s="1882"/>
      <c r="D86" s="1879"/>
      <c r="E86" s="1899">
        <f t="shared" ref="E86:E145" si="2">IF(D86&lt;25000,D86,"25,000")</f>
        <v>0</v>
      </c>
      <c r="F86" s="1899" t="str">
        <f t="shared" ref="F86:F145" si="3">IF(D86&gt;=25000,(D86-E86),"0")</f>
        <v>0</v>
      </c>
    </row>
    <row r="87" spans="1:6" x14ac:dyDescent="0.25">
      <c r="A87" s="1881"/>
      <c r="B87" s="1902"/>
      <c r="C87" s="1882"/>
      <c r="D87" s="1879"/>
      <c r="E87" s="1899">
        <f t="shared" si="2"/>
        <v>0</v>
      </c>
      <c r="F87" s="1899" t="str">
        <f t="shared" si="3"/>
        <v>0</v>
      </c>
    </row>
    <row r="88" spans="1:6" x14ac:dyDescent="0.25">
      <c r="A88" s="1881"/>
      <c r="B88" s="1902"/>
      <c r="C88" s="1882"/>
      <c r="D88" s="1879"/>
      <c r="E88" s="1899">
        <f t="shared" si="2"/>
        <v>0</v>
      </c>
      <c r="F88" s="1899" t="str">
        <f t="shared" si="3"/>
        <v>0</v>
      </c>
    </row>
    <row r="89" spans="1:6" x14ac:dyDescent="0.25">
      <c r="A89" s="1881"/>
      <c r="B89" s="1902"/>
      <c r="C89" s="1882"/>
      <c r="D89" s="1879"/>
      <c r="E89" s="1899">
        <f t="shared" si="2"/>
        <v>0</v>
      </c>
      <c r="F89" s="1899" t="str">
        <f t="shared" si="3"/>
        <v>0</v>
      </c>
    </row>
    <row r="90" spans="1:6" x14ac:dyDescent="0.25">
      <c r="A90" s="1881"/>
      <c r="B90" s="1902"/>
      <c r="C90" s="1882"/>
      <c r="D90" s="1879"/>
      <c r="E90" s="1899">
        <f t="shared" si="2"/>
        <v>0</v>
      </c>
      <c r="F90" s="1899" t="str">
        <f t="shared" si="3"/>
        <v>0</v>
      </c>
    </row>
    <row r="91" spans="1:6" x14ac:dyDescent="0.25">
      <c r="A91" s="1881"/>
      <c r="B91" s="1902"/>
      <c r="C91" s="1882"/>
      <c r="D91" s="1879"/>
      <c r="E91" s="1899">
        <f t="shared" si="2"/>
        <v>0</v>
      </c>
      <c r="F91" s="1899" t="str">
        <f t="shared" si="3"/>
        <v>0</v>
      </c>
    </row>
    <row r="92" spans="1:6" x14ac:dyDescent="0.25">
      <c r="A92" s="1881"/>
      <c r="B92" s="1902"/>
      <c r="C92" s="1882"/>
      <c r="D92" s="1879"/>
      <c r="E92" s="1899">
        <f t="shared" si="2"/>
        <v>0</v>
      </c>
      <c r="F92" s="1899" t="str">
        <f t="shared" si="3"/>
        <v>0</v>
      </c>
    </row>
    <row r="93" spans="1:6" x14ac:dyDescent="0.25">
      <c r="A93" s="1881"/>
      <c r="B93" s="1902"/>
      <c r="C93" s="1882"/>
      <c r="D93" s="1879"/>
      <c r="E93" s="1899">
        <f t="shared" si="2"/>
        <v>0</v>
      </c>
      <c r="F93" s="1899" t="str">
        <f t="shared" si="3"/>
        <v>0</v>
      </c>
    </row>
    <row r="94" spans="1:6" x14ac:dyDescent="0.25">
      <c r="A94" s="1881"/>
      <c r="B94" s="1902"/>
      <c r="C94" s="1882"/>
      <c r="D94" s="1879"/>
      <c r="E94" s="1899">
        <f t="shared" si="2"/>
        <v>0</v>
      </c>
      <c r="F94" s="1899" t="str">
        <f t="shared" si="3"/>
        <v>0</v>
      </c>
    </row>
    <row r="95" spans="1:6" x14ac:dyDescent="0.25">
      <c r="A95" s="1881"/>
      <c r="B95" s="1902"/>
      <c r="C95" s="1882"/>
      <c r="D95" s="1879"/>
      <c r="E95" s="1899">
        <f t="shared" si="2"/>
        <v>0</v>
      </c>
      <c r="F95" s="1899" t="str">
        <f t="shared" si="3"/>
        <v>0</v>
      </c>
    </row>
    <row r="96" spans="1:6" x14ac:dyDescent="0.25">
      <c r="A96" s="1881"/>
      <c r="B96" s="1902"/>
      <c r="C96" s="1882"/>
      <c r="D96" s="1879"/>
      <c r="E96" s="1899">
        <f t="shared" si="2"/>
        <v>0</v>
      </c>
      <c r="F96" s="1899" t="str">
        <f t="shared" si="3"/>
        <v>0</v>
      </c>
    </row>
    <row r="97" spans="1:6" x14ac:dyDescent="0.25">
      <c r="A97" s="1881"/>
      <c r="B97" s="1902"/>
      <c r="C97" s="1882"/>
      <c r="D97" s="1879"/>
      <c r="E97" s="1899">
        <f t="shared" si="2"/>
        <v>0</v>
      </c>
      <c r="F97" s="1899" t="str">
        <f t="shared" si="3"/>
        <v>0</v>
      </c>
    </row>
    <row r="98" spans="1:6" x14ac:dyDescent="0.25">
      <c r="A98" s="1881"/>
      <c r="B98" s="1902"/>
      <c r="C98" s="1882"/>
      <c r="D98" s="1879"/>
      <c r="E98" s="1899">
        <f t="shared" si="2"/>
        <v>0</v>
      </c>
      <c r="F98" s="1899" t="str">
        <f t="shared" si="3"/>
        <v>0</v>
      </c>
    </row>
    <row r="99" spans="1:6" x14ac:dyDescent="0.25">
      <c r="A99" s="1881"/>
      <c r="B99" s="1902"/>
      <c r="C99" s="1882"/>
      <c r="D99" s="1879"/>
      <c r="E99" s="1899">
        <f t="shared" si="2"/>
        <v>0</v>
      </c>
      <c r="F99" s="1899" t="str">
        <f t="shared" si="3"/>
        <v>0</v>
      </c>
    </row>
    <row r="100" spans="1:6" x14ac:dyDescent="0.25">
      <c r="A100" s="1881"/>
      <c r="B100" s="1902"/>
      <c r="C100" s="1882"/>
      <c r="D100" s="1879"/>
      <c r="E100" s="1899">
        <f t="shared" si="2"/>
        <v>0</v>
      </c>
      <c r="F100" s="1899" t="str">
        <f t="shared" si="3"/>
        <v>0</v>
      </c>
    </row>
    <row r="101" spans="1:6" x14ac:dyDescent="0.25">
      <c r="A101" s="1881"/>
      <c r="B101" s="1902"/>
      <c r="C101" s="1882"/>
      <c r="D101" s="1879"/>
      <c r="E101" s="1899">
        <f t="shared" si="2"/>
        <v>0</v>
      </c>
      <c r="F101" s="1899" t="str">
        <f t="shared" si="3"/>
        <v>0</v>
      </c>
    </row>
    <row r="102" spans="1:6" x14ac:dyDescent="0.25">
      <c r="A102" s="1881"/>
      <c r="B102" s="1902"/>
      <c r="C102" s="1882"/>
      <c r="D102" s="1879"/>
      <c r="E102" s="1899">
        <f t="shared" si="2"/>
        <v>0</v>
      </c>
      <c r="F102" s="1899" t="str">
        <f t="shared" si="3"/>
        <v>0</v>
      </c>
    </row>
    <row r="103" spans="1:6" x14ac:dyDescent="0.25">
      <c r="A103" s="1881"/>
      <c r="B103" s="1902"/>
      <c r="C103" s="1882"/>
      <c r="D103" s="1879"/>
      <c r="E103" s="1899">
        <f t="shared" si="2"/>
        <v>0</v>
      </c>
      <c r="F103" s="1899" t="str">
        <f t="shared" si="3"/>
        <v>0</v>
      </c>
    </row>
    <row r="104" spans="1:6" x14ac:dyDescent="0.25">
      <c r="A104" s="1881"/>
      <c r="B104" s="1902"/>
      <c r="C104" s="1882"/>
      <c r="D104" s="1879"/>
      <c r="E104" s="1899">
        <f t="shared" si="2"/>
        <v>0</v>
      </c>
      <c r="F104" s="1899" t="str">
        <f t="shared" si="3"/>
        <v>0</v>
      </c>
    </row>
    <row r="105" spans="1:6" x14ac:dyDescent="0.25">
      <c r="A105" s="1881"/>
      <c r="B105" s="1902"/>
      <c r="C105" s="1882"/>
      <c r="D105" s="1879"/>
      <c r="E105" s="1899">
        <f t="shared" si="2"/>
        <v>0</v>
      </c>
      <c r="F105" s="1899" t="str">
        <f t="shared" si="3"/>
        <v>0</v>
      </c>
    </row>
    <row r="106" spans="1:6" x14ac:dyDescent="0.25">
      <c r="A106" s="1881"/>
      <c r="B106" s="1902"/>
      <c r="C106" s="1882"/>
      <c r="D106" s="1879"/>
      <c r="E106" s="1899">
        <f t="shared" si="2"/>
        <v>0</v>
      </c>
      <c r="F106" s="1899" t="str">
        <f t="shared" si="3"/>
        <v>0</v>
      </c>
    </row>
    <row r="107" spans="1:6" x14ac:dyDescent="0.25">
      <c r="A107" s="1881"/>
      <c r="B107" s="1902"/>
      <c r="C107" s="1882"/>
      <c r="D107" s="1879"/>
      <c r="E107" s="1899">
        <f t="shared" si="2"/>
        <v>0</v>
      </c>
      <c r="F107" s="1899" t="str">
        <f t="shared" si="3"/>
        <v>0</v>
      </c>
    </row>
    <row r="108" spans="1:6" x14ac:dyDescent="0.25">
      <c r="A108" s="1881"/>
      <c r="B108" s="1902"/>
      <c r="C108" s="1882"/>
      <c r="D108" s="1879"/>
      <c r="E108" s="1899">
        <f t="shared" si="2"/>
        <v>0</v>
      </c>
      <c r="F108" s="1899" t="str">
        <f t="shared" si="3"/>
        <v>0</v>
      </c>
    </row>
    <row r="109" spans="1:6" x14ac:dyDescent="0.25">
      <c r="A109" s="1881"/>
      <c r="B109" s="1902"/>
      <c r="C109" s="1882"/>
      <c r="D109" s="1879"/>
      <c r="E109" s="1899">
        <f t="shared" si="2"/>
        <v>0</v>
      </c>
      <c r="F109" s="1899" t="str">
        <f t="shared" si="3"/>
        <v>0</v>
      </c>
    </row>
    <row r="110" spans="1:6" x14ac:dyDescent="0.25">
      <c r="A110" s="1881"/>
      <c r="B110" s="1902"/>
      <c r="C110" s="1882"/>
      <c r="D110" s="1879"/>
      <c r="E110" s="1899">
        <f t="shared" si="2"/>
        <v>0</v>
      </c>
      <c r="F110" s="1899" t="str">
        <f t="shared" si="3"/>
        <v>0</v>
      </c>
    </row>
    <row r="111" spans="1:6" x14ac:dyDescent="0.25">
      <c r="A111" s="1881"/>
      <c r="B111" s="1902"/>
      <c r="C111" s="1882"/>
      <c r="D111" s="1879"/>
      <c r="E111" s="1899">
        <f t="shared" si="2"/>
        <v>0</v>
      </c>
      <c r="F111" s="1899" t="str">
        <f t="shared" si="3"/>
        <v>0</v>
      </c>
    </row>
    <row r="112" spans="1:6" x14ac:dyDescent="0.25">
      <c r="A112" s="1881"/>
      <c r="B112" s="1902"/>
      <c r="C112" s="1882"/>
      <c r="D112" s="1879"/>
      <c r="E112" s="1899">
        <f t="shared" si="2"/>
        <v>0</v>
      </c>
      <c r="F112" s="1899" t="str">
        <f t="shared" si="3"/>
        <v>0</v>
      </c>
    </row>
    <row r="113" spans="1:6" x14ac:dyDescent="0.25">
      <c r="A113" s="1881"/>
      <c r="B113" s="1902"/>
      <c r="C113" s="1882"/>
      <c r="D113" s="1879"/>
      <c r="E113" s="1899">
        <f t="shared" si="2"/>
        <v>0</v>
      </c>
      <c r="F113" s="1899" t="str">
        <f t="shared" si="3"/>
        <v>0</v>
      </c>
    </row>
    <row r="114" spans="1:6" x14ac:dyDescent="0.25">
      <c r="A114" s="1881"/>
      <c r="B114" s="1902"/>
      <c r="C114" s="1882"/>
      <c r="D114" s="1879"/>
      <c r="E114" s="1899">
        <f t="shared" si="2"/>
        <v>0</v>
      </c>
      <c r="F114" s="1899" t="str">
        <f t="shared" si="3"/>
        <v>0</v>
      </c>
    </row>
    <row r="115" spans="1:6" x14ac:dyDescent="0.25">
      <c r="A115" s="1881"/>
      <c r="B115" s="1902"/>
      <c r="C115" s="1882"/>
      <c r="D115" s="1879"/>
      <c r="E115" s="1899">
        <f t="shared" si="2"/>
        <v>0</v>
      </c>
      <c r="F115" s="1899" t="str">
        <f t="shared" si="3"/>
        <v>0</v>
      </c>
    </row>
    <row r="116" spans="1:6" x14ac:dyDescent="0.25">
      <c r="A116" s="1881"/>
      <c r="B116" s="1902"/>
      <c r="C116" s="1882"/>
      <c r="D116" s="1879"/>
      <c r="E116" s="1899">
        <f t="shared" si="2"/>
        <v>0</v>
      </c>
      <c r="F116" s="1899" t="str">
        <f t="shared" si="3"/>
        <v>0</v>
      </c>
    </row>
    <row r="117" spans="1:6" hidden="1" x14ac:dyDescent="0.25">
      <c r="A117" s="1881"/>
      <c r="B117" s="1902"/>
      <c r="C117" s="1882"/>
      <c r="D117" s="1879"/>
      <c r="E117" s="1899">
        <f t="shared" si="2"/>
        <v>0</v>
      </c>
      <c r="F117" s="1899" t="str">
        <f t="shared" si="3"/>
        <v>0</v>
      </c>
    </row>
    <row r="118" spans="1:6" hidden="1" x14ac:dyDescent="0.25">
      <c r="A118" s="1881"/>
      <c r="B118" s="1902"/>
      <c r="C118" s="1882"/>
      <c r="D118" s="1879"/>
      <c r="E118" s="1899">
        <f t="shared" si="2"/>
        <v>0</v>
      </c>
      <c r="F118" s="1899" t="str">
        <f t="shared" si="3"/>
        <v>0</v>
      </c>
    </row>
    <row r="119" spans="1:6" hidden="1" x14ac:dyDescent="0.25">
      <c r="A119" s="1881"/>
      <c r="B119" s="1902"/>
      <c r="C119" s="1882"/>
      <c r="D119" s="1879"/>
      <c r="E119" s="1899">
        <f t="shared" si="2"/>
        <v>0</v>
      </c>
      <c r="F119" s="1899" t="str">
        <f t="shared" si="3"/>
        <v>0</v>
      </c>
    </row>
    <row r="120" spans="1:6" hidden="1" x14ac:dyDescent="0.25">
      <c r="A120" s="1881"/>
      <c r="B120" s="1902"/>
      <c r="C120" s="1882"/>
      <c r="D120" s="1879"/>
      <c r="E120" s="1899">
        <f t="shared" si="2"/>
        <v>0</v>
      </c>
      <c r="F120" s="1899" t="str">
        <f t="shared" si="3"/>
        <v>0</v>
      </c>
    </row>
    <row r="121" spans="1:6" hidden="1" x14ac:dyDescent="0.25">
      <c r="A121" s="1881"/>
      <c r="B121" s="1902"/>
      <c r="C121" s="1882"/>
      <c r="D121" s="1879"/>
      <c r="E121" s="1899">
        <f t="shared" si="2"/>
        <v>0</v>
      </c>
      <c r="F121" s="1899" t="str">
        <f t="shared" si="3"/>
        <v>0</v>
      </c>
    </row>
    <row r="122" spans="1:6" x14ac:dyDescent="0.25">
      <c r="A122" s="1881"/>
      <c r="B122" s="1902"/>
      <c r="C122" s="1882"/>
      <c r="D122" s="1879"/>
      <c r="E122" s="1899">
        <f t="shared" si="2"/>
        <v>0</v>
      </c>
      <c r="F122" s="1899" t="str">
        <f t="shared" si="3"/>
        <v>0</v>
      </c>
    </row>
    <row r="123" spans="1:6" x14ac:dyDescent="0.25">
      <c r="A123" s="1881"/>
      <c r="B123" s="1902"/>
      <c r="C123" s="1882"/>
      <c r="D123" s="1879"/>
      <c r="E123" s="1899">
        <f t="shared" si="2"/>
        <v>0</v>
      </c>
      <c r="F123" s="1899" t="str">
        <f t="shared" si="3"/>
        <v>0</v>
      </c>
    </row>
    <row r="124" spans="1:6" x14ac:dyDescent="0.25">
      <c r="A124" s="1881"/>
      <c r="B124" s="1902"/>
      <c r="C124" s="1882"/>
      <c r="D124" s="1879"/>
      <c r="E124" s="1899">
        <f t="shared" si="2"/>
        <v>0</v>
      </c>
      <c r="F124" s="1899" t="str">
        <f t="shared" si="3"/>
        <v>0</v>
      </c>
    </row>
    <row r="125" spans="1:6" x14ac:dyDescent="0.25">
      <c r="A125" s="1881"/>
      <c r="B125" s="1902"/>
      <c r="C125" s="1882"/>
      <c r="D125" s="1879"/>
      <c r="E125" s="1899">
        <f t="shared" si="2"/>
        <v>0</v>
      </c>
      <c r="F125" s="1899" t="str">
        <f t="shared" si="3"/>
        <v>0</v>
      </c>
    </row>
    <row r="126" spans="1:6" x14ac:dyDescent="0.25">
      <c r="A126" s="2121"/>
      <c r="B126" s="2122"/>
      <c r="C126" s="2123"/>
      <c r="D126" s="2124"/>
      <c r="E126" s="2125"/>
      <c r="F126" s="2127" t="s">
        <v>2178</v>
      </c>
    </row>
    <row r="127" spans="1:6" ht="60" x14ac:dyDescent="0.25">
      <c r="A127" s="1870" t="s">
        <v>1795</v>
      </c>
      <c r="B127" s="1871" t="s">
        <v>1796</v>
      </c>
      <c r="C127" s="1870" t="s">
        <v>1797</v>
      </c>
      <c r="D127" s="1872" t="s">
        <v>1798</v>
      </c>
      <c r="E127" s="1872" t="s">
        <v>1799</v>
      </c>
      <c r="F127" s="1872" t="s">
        <v>1800</v>
      </c>
    </row>
    <row r="128" spans="1:6" x14ac:dyDescent="0.25">
      <c r="A128" s="1881"/>
      <c r="B128" s="1902"/>
      <c r="C128" s="1882"/>
      <c r="D128" s="1879"/>
      <c r="E128" s="1899">
        <f t="shared" si="2"/>
        <v>0</v>
      </c>
      <c r="F128" s="1899" t="str">
        <f t="shared" si="3"/>
        <v>0</v>
      </c>
    </row>
    <row r="129" spans="1:6" x14ac:dyDescent="0.25">
      <c r="A129" s="1881"/>
      <c r="B129" s="1902"/>
      <c r="C129" s="1882"/>
      <c r="D129" s="1879"/>
      <c r="E129" s="1899">
        <f t="shared" si="2"/>
        <v>0</v>
      </c>
      <c r="F129" s="1899" t="str">
        <f t="shared" si="3"/>
        <v>0</v>
      </c>
    </row>
    <row r="130" spans="1:6" x14ac:dyDescent="0.25">
      <c r="A130" s="1881"/>
      <c r="B130" s="1902"/>
      <c r="C130" s="1882"/>
      <c r="D130" s="1879"/>
      <c r="E130" s="1899">
        <f t="shared" si="2"/>
        <v>0</v>
      </c>
      <c r="F130" s="1899" t="str">
        <f t="shared" si="3"/>
        <v>0</v>
      </c>
    </row>
    <row r="131" spans="1:6" x14ac:dyDescent="0.25">
      <c r="A131" s="1881"/>
      <c r="B131" s="1902"/>
      <c r="C131" s="1882"/>
      <c r="D131" s="1879"/>
      <c r="E131" s="1899">
        <f t="shared" si="2"/>
        <v>0</v>
      </c>
      <c r="F131" s="1899" t="str">
        <f t="shared" si="3"/>
        <v>0</v>
      </c>
    </row>
    <row r="132" spans="1:6" x14ac:dyDescent="0.25">
      <c r="A132" s="1881"/>
      <c r="B132" s="1902"/>
      <c r="C132" s="1882"/>
      <c r="D132" s="1879"/>
      <c r="E132" s="1899">
        <f t="shared" si="2"/>
        <v>0</v>
      </c>
      <c r="F132" s="1899" t="str">
        <f t="shared" si="3"/>
        <v>0</v>
      </c>
    </row>
    <row r="133" spans="1:6" x14ac:dyDescent="0.25">
      <c r="A133" s="1881"/>
      <c r="B133" s="1902"/>
      <c r="C133" s="1882"/>
      <c r="D133" s="1879"/>
      <c r="E133" s="1899">
        <f t="shared" si="2"/>
        <v>0</v>
      </c>
      <c r="F133" s="1899" t="str">
        <f t="shared" si="3"/>
        <v>0</v>
      </c>
    </row>
    <row r="134" spans="1:6" x14ac:dyDescent="0.25">
      <c r="A134" s="1881"/>
      <c r="B134" s="1902"/>
      <c r="C134" s="1882"/>
      <c r="D134" s="1879"/>
      <c r="E134" s="1899">
        <f t="shared" si="2"/>
        <v>0</v>
      </c>
      <c r="F134" s="1899" t="str">
        <f t="shared" si="3"/>
        <v>0</v>
      </c>
    </row>
    <row r="135" spans="1:6" x14ac:dyDescent="0.25">
      <c r="A135" s="1881"/>
      <c r="B135" s="1902"/>
      <c r="C135" s="1882"/>
      <c r="D135" s="1879"/>
      <c r="E135" s="1899">
        <f t="shared" si="2"/>
        <v>0</v>
      </c>
      <c r="F135" s="1899" t="str">
        <f t="shared" si="3"/>
        <v>0</v>
      </c>
    </row>
    <row r="136" spans="1:6" x14ac:dyDescent="0.25">
      <c r="A136" s="1881"/>
      <c r="B136" s="1902"/>
      <c r="C136" s="1882"/>
      <c r="D136" s="1879"/>
      <c r="E136" s="1899">
        <f t="shared" si="2"/>
        <v>0</v>
      </c>
      <c r="F136" s="1899" t="str">
        <f t="shared" si="3"/>
        <v>0</v>
      </c>
    </row>
    <row r="137" spans="1:6" x14ac:dyDescent="0.25">
      <c r="A137" s="1881"/>
      <c r="B137" s="1902"/>
      <c r="C137" s="1882"/>
      <c r="D137" s="1879"/>
      <c r="E137" s="1899">
        <f t="shared" si="2"/>
        <v>0</v>
      </c>
      <c r="F137" s="1899" t="str">
        <f t="shared" si="3"/>
        <v>0</v>
      </c>
    </row>
    <row r="138" spans="1:6" x14ac:dyDescent="0.25">
      <c r="A138" s="1881"/>
      <c r="B138" s="1902"/>
      <c r="C138" s="1882"/>
      <c r="D138" s="1879"/>
      <c r="E138" s="1899">
        <f t="shared" si="2"/>
        <v>0</v>
      </c>
      <c r="F138" s="1899" t="str">
        <f t="shared" si="3"/>
        <v>0</v>
      </c>
    </row>
    <row r="139" spans="1:6" x14ac:dyDescent="0.25">
      <c r="A139" s="1881"/>
      <c r="B139" s="1902"/>
      <c r="C139" s="1882"/>
      <c r="D139" s="1879"/>
      <c r="E139" s="1899">
        <f t="shared" si="2"/>
        <v>0</v>
      </c>
      <c r="F139" s="1899" t="str">
        <f t="shared" si="3"/>
        <v>0</v>
      </c>
    </row>
    <row r="140" spans="1:6" x14ac:dyDescent="0.25">
      <c r="A140" s="1881"/>
      <c r="B140" s="1902"/>
      <c r="C140" s="1882"/>
      <c r="D140" s="1879"/>
      <c r="E140" s="1899">
        <f t="shared" si="2"/>
        <v>0</v>
      </c>
      <c r="F140" s="1899" t="str">
        <f t="shared" si="3"/>
        <v>0</v>
      </c>
    </row>
    <row r="141" spans="1:6" x14ac:dyDescent="0.25">
      <c r="A141" s="1881"/>
      <c r="B141" s="1902"/>
      <c r="C141" s="1882"/>
      <c r="D141" s="1879"/>
      <c r="E141" s="1899">
        <f t="shared" si="2"/>
        <v>0</v>
      </c>
      <c r="F141" s="1899" t="str">
        <f t="shared" si="3"/>
        <v>0</v>
      </c>
    </row>
    <row r="142" spans="1:6" x14ac:dyDescent="0.25">
      <c r="A142" s="1881"/>
      <c r="B142" s="1902"/>
      <c r="C142" s="1882"/>
      <c r="D142" s="1879"/>
      <c r="E142" s="1899">
        <f t="shared" si="2"/>
        <v>0</v>
      </c>
      <c r="F142" s="1899" t="str">
        <f t="shared" si="3"/>
        <v>0</v>
      </c>
    </row>
    <row r="143" spans="1:6" x14ac:dyDescent="0.25">
      <c r="A143" s="1881"/>
      <c r="B143" s="1902"/>
      <c r="C143" s="1882"/>
      <c r="D143" s="1879"/>
      <c r="E143" s="1899">
        <f t="shared" si="2"/>
        <v>0</v>
      </c>
      <c r="F143" s="1899" t="str">
        <f t="shared" si="3"/>
        <v>0</v>
      </c>
    </row>
    <row r="144" spans="1:6" x14ac:dyDescent="0.25">
      <c r="A144" s="1881"/>
      <c r="B144" s="1902"/>
      <c r="C144" s="1882"/>
      <c r="D144" s="1879"/>
      <c r="E144" s="1899">
        <f t="shared" si="2"/>
        <v>0</v>
      </c>
      <c r="F144" s="1899" t="str">
        <f t="shared" si="3"/>
        <v>0</v>
      </c>
    </row>
    <row r="145" spans="1:6" x14ac:dyDescent="0.25">
      <c r="A145" s="1881"/>
      <c r="B145" s="1903"/>
      <c r="C145" s="1882"/>
      <c r="D145" s="1879"/>
      <c r="E145" s="1899">
        <f t="shared" si="2"/>
        <v>0</v>
      </c>
      <c r="F145" s="1899" t="str">
        <f t="shared" si="3"/>
        <v>0</v>
      </c>
    </row>
    <row r="146" spans="1:6" x14ac:dyDescent="0.25">
      <c r="A146" s="1883" t="s">
        <v>155</v>
      </c>
      <c r="B146" s="1904"/>
      <c r="C146" s="1884"/>
      <c r="D146" s="1885">
        <f>SUM(D18:D145)</f>
        <v>0</v>
      </c>
      <c r="E146" s="1886">
        <f>SUM(E18:E145)</f>
        <v>0</v>
      </c>
      <c r="F146" s="1887">
        <f>SUM(F18:F145)</f>
        <v>0</v>
      </c>
    </row>
  </sheetData>
  <sheetProtection selectLockedCells="1"/>
  <mergeCells count="7">
    <mergeCell ref="A2:F2"/>
    <mergeCell ref="A15:F15"/>
    <mergeCell ref="A4:F5"/>
    <mergeCell ref="A7:F7"/>
    <mergeCell ref="A10:F10"/>
    <mergeCell ref="A11:F11"/>
    <mergeCell ref="A13:F13"/>
  </mergeCells>
  <pageMargins left="0.2" right="0.2" top="0.5" bottom="0.25" header="0" footer="0.3"/>
  <pageSetup scale="83" firstPageNumber="29" fitToHeight="0" orientation="landscape" r:id="rId1"/>
  <headerFooter>
    <evenHeader>&amp;RPage 29a</evenHeader>
    <firstHeader>&amp;RPage 29</firstHeader>
  </headerFooter>
  <rowBreaks count="2" manualBreakCount="2">
    <brk id="34" max="16383" man="1"/>
    <brk id="125" max="16383" man="1"/>
  </rowBreaks>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B3:B1048576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6" tint="0.59999389629810485"/>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83" t="s">
        <v>1660</v>
      </c>
      <c r="B5" s="2484"/>
      <c r="C5" s="2484"/>
      <c r="D5" s="2484"/>
      <c r="E5" s="2484"/>
      <c r="F5" s="2484"/>
      <c r="G5" s="2485"/>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1886</v>
      </c>
      <c r="B10" s="803"/>
      <c r="C10" s="807"/>
      <c r="D10" s="804"/>
      <c r="E10" s="1799">
        <v>1892825</v>
      </c>
      <c r="F10" s="805"/>
      <c r="G10" s="806"/>
      <c r="H10" s="157"/>
      <c r="I10" s="157"/>
    </row>
    <row r="11" spans="1:13" s="542" customFormat="1" ht="22.5" customHeight="1" x14ac:dyDescent="0.2">
      <c r="A11" s="248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89"/>
      <c r="C11" s="2489"/>
      <c r="D11" s="2490"/>
      <c r="E11" s="1800">
        <v>265669</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38081197</v>
      </c>
      <c r="F19" s="1801"/>
      <c r="G19" s="1803">
        <f>'Expenditures 15-22'!K33-SUM('Expenditures 15-22'!G33,'Expenditures 15-22'!I33)+'Expenditures 15-22'!D229</f>
        <v>38081197</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4381371</v>
      </c>
      <c r="F21" s="1804"/>
      <c r="G21" s="1807">
        <f>'Expenditures 15-22'!K42-SUM('Expenditures 15-22'!G42,'Expenditures 15-22'!I42)+'Expenditures 15-22'!K120-SUM('Expenditures 15-22'!G120,'Expenditures 15-22'!I120)+'Expenditures 15-22'!K180-SUM('Expenditures 15-22'!G180,'Expenditures 15-22'!I180)+'Expenditures 15-22'!D238</f>
        <v>4381371</v>
      </c>
      <c r="H21" s="817"/>
      <c r="I21" s="157"/>
    </row>
    <row r="22" spans="1:9" s="542" customFormat="1" ht="12" customHeight="1" x14ac:dyDescent="0.2">
      <c r="A22" s="824" t="s">
        <v>560</v>
      </c>
      <c r="B22" s="825"/>
      <c r="C22" s="823">
        <v>2200</v>
      </c>
      <c r="D22" s="1804"/>
      <c r="E22" s="1806">
        <f>'Expenditures 15-22'!K47-SUM('Expenditures 15-22'!G47,'Expenditures 15-22'!I47)+'Expenditures 15-22'!D243</f>
        <v>2734158</v>
      </c>
      <c r="F22" s="1804"/>
      <c r="G22" s="1807">
        <f>'Expenditures 15-22'!K47-SUM('Expenditures 15-22'!G47,'Expenditures 15-22'!I47)+'Expenditures 15-22'!D243</f>
        <v>2734158</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2865130</v>
      </c>
      <c r="F23" s="1804"/>
      <c r="G23" s="1806">
        <f>'Expenditures 15-22'!K53-SUM('Expenditures 15-22'!G53,'Expenditures 15-22'!I53)+'Expenditures 15-22'!D257+'Expenditures 15-22'!K330-SUM('Expenditures 15-22'!G330,'Expenditures 15-22'!I330)</f>
        <v>2865130</v>
      </c>
      <c r="H23" s="817"/>
      <c r="I23" s="157"/>
    </row>
    <row r="24" spans="1:9" s="542" customFormat="1" ht="12" customHeight="1" x14ac:dyDescent="0.2">
      <c r="A24" s="824" t="s">
        <v>562</v>
      </c>
      <c r="B24" s="825"/>
      <c r="C24" s="823">
        <v>2400</v>
      </c>
      <c r="D24" s="1804"/>
      <c r="E24" s="1806">
        <f>'Expenditures 15-22'!K57-SUM('Expenditures 15-22'!G57,'Expenditures 15-22'!I57)+'Expenditures 15-22'!D261</f>
        <v>3418178</v>
      </c>
      <c r="F24" s="1804"/>
      <c r="G24" s="1807">
        <f>'Expenditures 15-22'!K57-SUM('Expenditures 15-22'!G57,'Expenditures 15-22'!I57)+'Expenditures 15-22'!D261</f>
        <v>3418178</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80046</v>
      </c>
      <c r="E26" s="1806">
        <f>'Expenditures 15-22'!K122-SUM('Expenditures 15-22'!G122,'Expenditures 15-22'!I122)+E7</f>
        <v>0</v>
      </c>
      <c r="F26" s="1806">
        <f>'Expenditures 15-22'!K59-SUM('Expenditures 15-22'!G59,'Expenditures 15-22'!I59)+'Expenditures 15-22'!D263-E7</f>
        <v>80046</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539164</v>
      </c>
      <c r="E27" s="1806">
        <f>E8</f>
        <v>0</v>
      </c>
      <c r="F27" s="1806">
        <f>'Expenditures 15-22'!K60-SUM('Expenditures 15-22'!G60,'Expenditures 15-22'!I60)+'Expenditures 15-22'!D264-E8</f>
        <v>539164</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6385079</v>
      </c>
      <c r="F28" s="1808">
        <f>'Expenditures 15-22'!K61-SUM('Expenditures 15-22'!G61,'Expenditures 15-22'!I61)+'Expenditures 15-22'!K124-SUM('Expenditures 15-22'!G124,'Expenditures 15-22'!I124)+'Expenditures 15-22'!D266-E9</f>
        <v>6385079</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3213198</v>
      </c>
      <c r="F29" s="1804"/>
      <c r="G29" s="1807">
        <f>'Expenditures 15-22'!K62-SUM('Expenditures 15-22'!G62,'Expenditures 15-22'!I62)+'Expenditures 15-22'!K125-SUM('Expenditures 15-22'!G125,'Expenditures 15-22'!I125)+'Expenditures 15-22'!K182-SUM('Expenditures 15-22'!G182,'Expenditures 15-22'!I182)+'Expenditures 15-22'!D267</f>
        <v>3213198</v>
      </c>
      <c r="H29" s="815"/>
    </row>
    <row r="30" spans="1:9" ht="12" customHeight="1" x14ac:dyDescent="0.2">
      <c r="A30" s="824" t="s">
        <v>100</v>
      </c>
      <c r="B30" s="827"/>
      <c r="C30" s="823">
        <v>2560</v>
      </c>
      <c r="D30" s="1804"/>
      <c r="E30" s="1806">
        <f>'Expenditures 15-22'!K63-SUM('Expenditures 15-22'!G63,'Expenditures 15-22'!I63)+'Expenditures 15-22'!D268-E10</f>
        <v>2016006</v>
      </c>
      <c r="F30" s="1804"/>
      <c r="G30" s="1806">
        <f>'Expenditures 15-22'!K63-SUM('Expenditures 15-22'!G63,'Expenditures 15-22'!I63)+'Expenditures 15-22'!D268-E10</f>
        <v>2016006</v>
      </c>
    </row>
    <row r="31" spans="1:9" ht="12" customHeight="1" x14ac:dyDescent="0.2">
      <c r="A31" s="824" t="s">
        <v>101</v>
      </c>
      <c r="B31" s="827"/>
      <c r="C31" s="823">
        <v>2570</v>
      </c>
      <c r="D31" s="1806">
        <f>'Expenditures 15-22'!K64-SUM('Expenditures 15-22'!G64,'Expenditures 15-22'!I64)+'Expenditures 15-22'!D269-E12</f>
        <v>43266</v>
      </c>
      <c r="E31" s="1806">
        <f>E12</f>
        <v>0</v>
      </c>
      <c r="F31" s="1806">
        <f>'Expenditures 15-22'!K64-SUM('Expenditures 15-22'!G64,'Expenditures 15-22'!I64)+'Expenditures 15-22'!D269-E12</f>
        <v>43266</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52</v>
      </c>
      <c r="F33" s="1804"/>
      <c r="G33" s="1806">
        <f>'Expenditures 15-22'!K67-SUM('Expenditures 15-22'!G67,'Expenditures 15-22'!I67)+'Expenditures 15-22'!D272</f>
        <v>52</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46709</v>
      </c>
      <c r="F35" s="1804"/>
      <c r="G35" s="1806">
        <f>'Expenditures 15-22'!K69-SUM('Expenditures 15-22'!G69,'Expenditures 15-22'!I69)+'Expenditures 15-22'!D274</f>
        <v>46709</v>
      </c>
    </row>
    <row r="36" spans="1:7" ht="12" customHeight="1" x14ac:dyDescent="0.2">
      <c r="A36" s="824" t="s">
        <v>400</v>
      </c>
      <c r="B36" s="827"/>
      <c r="C36" s="823">
        <v>2640</v>
      </c>
      <c r="D36" s="1806">
        <f>'Expenditures 15-22'!K70-SUM('Expenditures 15-22'!G70,'Expenditures 15-22'!I70)+'Expenditures 15-22'!D275-E13</f>
        <v>347385</v>
      </c>
      <c r="E36" s="1806">
        <f>E13</f>
        <v>0</v>
      </c>
      <c r="F36" s="1806">
        <f>'Expenditures 15-22'!K70-SUM('Expenditures 15-22'!G70,'Expenditures 15-22'!I70)+'Expenditures 15-22'!D275-E13</f>
        <v>347385</v>
      </c>
      <c r="G36" s="1806">
        <f>E13</f>
        <v>0</v>
      </c>
    </row>
    <row r="37" spans="1:7" ht="12" customHeight="1" x14ac:dyDescent="0.2">
      <c r="A37" s="824" t="s">
        <v>401</v>
      </c>
      <c r="B37" s="827"/>
      <c r="C37" s="823">
        <v>2660</v>
      </c>
      <c r="D37" s="1806">
        <f>'Expenditures 15-22'!K71-SUM('Expenditures 15-22'!G71,'Expenditures 15-22'!I71)+'Expenditures 15-22'!D276-E14</f>
        <v>1708062</v>
      </c>
      <c r="E37" s="1806">
        <f>E14</f>
        <v>0</v>
      </c>
      <c r="F37" s="1806">
        <f>'Expenditures 15-22'!K71-SUM('Expenditures 15-22'!G71,'Expenditures 15-22'!I71)+'Expenditures 15-22'!D276-E14</f>
        <v>1708062</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24764</v>
      </c>
      <c r="F38" s="1804"/>
      <c r="G38" s="1806">
        <f>'Expenditures 15-22'!K73-SUM('Expenditures 15-22'!G73,'Expenditures 15-22'!I73)+'Expenditures 15-22'!K128-SUM('Expenditures 15-22'!G128,'Expenditures 15-22'!I128)+'Expenditures 15-22'!K183-SUM('Expenditures 15-22'!G183,'Expenditures 15-22'!I183)+'Expenditures 15-22'!D278</f>
        <v>24764</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1783053</v>
      </c>
      <c r="F39" s="1804"/>
      <c r="G39" s="1806">
        <f>'Expenditures 15-22'!K75-SUM('Expenditures 15-22'!G75,'Expenditures 15-22'!I75)+'Expenditures 15-22'!K130-SUM('Expenditures 15-22'!G130,'Expenditures 15-22'!I130)+'Expenditures 15-22'!K185-SUM('Expenditures 15-22'!G185,'Expenditures 15-22'!I185)+'Expenditures 15-22'!D280</f>
        <v>1783053</v>
      </c>
    </row>
    <row r="40" spans="1:7" ht="12" customHeight="1" x14ac:dyDescent="0.2">
      <c r="A40" s="820" t="s">
        <v>1793</v>
      </c>
      <c r="B40" s="821"/>
      <c r="C40" s="823"/>
      <c r="D40" s="1804"/>
      <c r="E40" s="1808">
        <f>-'Contracts Paid in CY 29'!F146</f>
        <v>0</v>
      </c>
      <c r="F40" s="1804"/>
      <c r="G40" s="1808">
        <f>-'Contracts Paid in CY 29'!F146</f>
        <v>0</v>
      </c>
    </row>
    <row r="41" spans="1:7" ht="12" customHeight="1" x14ac:dyDescent="0.2">
      <c r="A41" s="828" t="s">
        <v>155</v>
      </c>
      <c r="B41" s="829"/>
      <c r="C41" s="830"/>
      <c r="D41" s="1808">
        <f>SUM(D19:D39)</f>
        <v>2717923</v>
      </c>
      <c r="E41" s="1808">
        <f>SUM(E19:E40)</f>
        <v>64948895</v>
      </c>
      <c r="F41" s="1808">
        <f>SUM(F19:F39)</f>
        <v>9103002</v>
      </c>
      <c r="G41" s="1808">
        <f>SUM(G19:G40)</f>
        <v>58563816</v>
      </c>
    </row>
    <row r="42" spans="1:7" x14ac:dyDescent="0.2">
      <c r="A42" s="817"/>
      <c r="B42" s="157"/>
      <c r="C42" s="831"/>
      <c r="D42" s="2486" t="s">
        <v>519</v>
      </c>
      <c r="E42" s="2487"/>
      <c r="F42" s="832" t="s">
        <v>520</v>
      </c>
      <c r="G42" s="833"/>
    </row>
    <row r="43" spans="1:7" ht="12" customHeight="1" x14ac:dyDescent="0.2">
      <c r="A43" s="817"/>
      <c r="B43" s="157"/>
      <c r="C43" s="831"/>
      <c r="D43" s="1457" t="s">
        <v>470</v>
      </c>
      <c r="E43" s="1809">
        <f>D41</f>
        <v>2717923</v>
      </c>
      <c r="F43" s="1457" t="s">
        <v>470</v>
      </c>
      <c r="G43" s="1809">
        <f>F41</f>
        <v>9103002</v>
      </c>
    </row>
    <row r="44" spans="1:7" ht="12" customHeight="1" x14ac:dyDescent="0.2">
      <c r="A44" s="817"/>
      <c r="B44" s="157"/>
      <c r="C44" s="831"/>
      <c r="D44" s="1457" t="s">
        <v>471</v>
      </c>
      <c r="E44" s="1809">
        <f>E41</f>
        <v>64948895</v>
      </c>
      <c r="F44" s="1457" t="s">
        <v>471</v>
      </c>
      <c r="G44" s="1809">
        <f>G41</f>
        <v>58563816</v>
      </c>
    </row>
    <row r="45" spans="1:7" ht="12" customHeight="1" x14ac:dyDescent="0.2">
      <c r="A45" s="817"/>
      <c r="B45" s="157"/>
      <c r="C45" s="157"/>
      <c r="D45" s="1458" t="s">
        <v>999</v>
      </c>
      <c r="E45" s="1810">
        <f>(E43/E44)</f>
        <v>4.1847101478785745E-2</v>
      </c>
      <c r="F45" s="1458" t="s">
        <v>999</v>
      </c>
      <c r="G45" s="1810">
        <f>(G43/G44)</f>
        <v>0.15543730961793883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6" tint="0.59999389629810485"/>
    <pageSetUpPr fitToPage="1"/>
  </sheetPr>
  <dimension ref="A1:O97"/>
  <sheetViews>
    <sheetView showGridLines="0" zoomScale="110" zoomScaleNormal="110" workbookViewId="0">
      <selection activeCell="C27" sqref="C27"/>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505" t="s">
        <v>1363</v>
      </c>
      <c r="B1" s="2505"/>
      <c r="C1" s="2505"/>
      <c r="D1" s="2505"/>
      <c r="E1" s="2505"/>
      <c r="F1" s="2505"/>
    </row>
    <row r="2" spans="1:15" x14ac:dyDescent="0.2">
      <c r="A2" s="1512" t="s">
        <v>1870</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506" t="s">
        <v>1529</v>
      </c>
      <c r="B5" s="2507"/>
      <c r="C5" s="2508"/>
      <c r="D5" s="2508"/>
      <c r="E5" s="2508"/>
      <c r="F5" s="2508"/>
      <c r="G5" s="1506"/>
      <c r="L5" s="1506"/>
      <c r="M5" s="1854"/>
      <c r="N5" s="1854"/>
      <c r="O5" s="1854"/>
    </row>
    <row r="6" spans="1:15" ht="12" customHeight="1" x14ac:dyDescent="0.25">
      <c r="A6" s="1479"/>
      <c r="B6" s="1480"/>
      <c r="C6" s="2509" t="str">
        <f>COVER!A17</f>
        <v xml:space="preserve">   Danville CCSD 118</v>
      </c>
      <c r="D6" s="2509"/>
      <c r="E6" s="2509"/>
      <c r="F6" s="1481"/>
      <c r="G6" s="1506"/>
      <c r="L6" s="1506"/>
      <c r="M6" s="1854"/>
      <c r="N6" s="1854"/>
      <c r="O6" s="1854"/>
    </row>
    <row r="7" spans="1:15" ht="11.25" customHeight="1" thickBot="1" x14ac:dyDescent="0.3">
      <c r="A7" s="1479"/>
      <c r="B7" s="1480"/>
      <c r="C7" s="2510">
        <f>COVER!A13</f>
        <v>54092118024</v>
      </c>
      <c r="D7" s="2510"/>
      <c r="E7" s="2510"/>
      <c r="F7" s="1481"/>
      <c r="G7" s="1506"/>
      <c r="L7" s="1506"/>
      <c r="M7" s="1854"/>
      <c r="N7" s="1854"/>
      <c r="O7" s="1854"/>
    </row>
    <row r="8" spans="1:15" ht="25.5" customHeight="1" thickBot="1" x14ac:dyDescent="0.25">
      <c r="A8" s="1518" t="s">
        <v>1866</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2043</v>
      </c>
      <c r="D26" s="1494" t="s">
        <v>2043</v>
      </c>
      <c r="E26" s="1497"/>
      <c r="F26" s="1496" t="s">
        <v>2067</v>
      </c>
      <c r="G26" s="1506"/>
      <c r="H26" s="1506">
        <f t="shared" si="0"/>
        <v>5</v>
      </c>
      <c r="I26" s="1506">
        <f t="shared" si="1"/>
        <v>5</v>
      </c>
      <c r="J26" s="1506">
        <f t="shared" si="2"/>
        <v>0</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5</v>
      </c>
      <c r="I34" s="1506">
        <f>SUM(I11:I32)</f>
        <v>5</v>
      </c>
      <c r="J34" s="1506">
        <f>SUM(J11:J32)</f>
        <v>0</v>
      </c>
      <c r="K34" s="1506">
        <f>SUM(H34:J34)</f>
        <v>10</v>
      </c>
      <c r="L34" s="1506"/>
      <c r="M34" s="1854"/>
      <c r="N34" s="1854"/>
      <c r="O34" s="1854"/>
    </row>
    <row r="35" spans="1:15" ht="12" customHeight="1" x14ac:dyDescent="0.2">
      <c r="A35" s="1499" t="s">
        <v>1376</v>
      </c>
      <c r="B35" s="1500"/>
      <c r="C35" s="2511"/>
      <c r="D35" s="2511"/>
      <c r="E35" s="2511"/>
      <c r="F35" s="2512"/>
    </row>
    <row r="36" spans="1:15" ht="12" customHeight="1" x14ac:dyDescent="0.2">
      <c r="A36" s="2494"/>
      <c r="B36" s="2495"/>
      <c r="C36" s="2495"/>
      <c r="D36" s="2495"/>
      <c r="E36" s="2495"/>
      <c r="F36" s="2496"/>
    </row>
    <row r="37" spans="1:15" ht="12" customHeight="1" x14ac:dyDescent="0.2">
      <c r="A37" s="2494"/>
      <c r="B37" s="2495"/>
      <c r="C37" s="2495"/>
      <c r="D37" s="2495"/>
      <c r="E37" s="2495"/>
      <c r="F37" s="2496"/>
    </row>
    <row r="38" spans="1:15" ht="12" customHeight="1" x14ac:dyDescent="0.2">
      <c r="A38" s="2497"/>
      <c r="B38" s="2498"/>
      <c r="C38" s="2498"/>
      <c r="D38" s="2498"/>
      <c r="E38" s="2498"/>
      <c r="F38" s="2499"/>
    </row>
    <row r="39" spans="1:15" ht="4.5" hidden="1" customHeight="1" x14ac:dyDescent="0.2">
      <c r="A39" s="1501"/>
      <c r="B39" s="1501"/>
      <c r="C39" s="1501"/>
      <c r="D39" s="1501"/>
      <c r="E39" s="1501"/>
      <c r="F39" s="1501"/>
    </row>
    <row r="40" spans="1:15" s="1498" customFormat="1" ht="12" customHeight="1" x14ac:dyDescent="0.25">
      <c r="A40" s="1502" t="s">
        <v>1375</v>
      </c>
      <c r="B40" s="1503"/>
      <c r="C40" s="2500"/>
      <c r="D40" s="2500"/>
      <c r="E40" s="2500"/>
      <c r="F40" s="2501"/>
      <c r="H40" s="1507"/>
      <c r="I40" s="1507"/>
      <c r="J40" s="1507"/>
      <c r="K40" s="1507"/>
    </row>
    <row r="41" spans="1:15" s="1498" customFormat="1" ht="12" customHeight="1" x14ac:dyDescent="0.25">
      <c r="A41" s="2502"/>
      <c r="B41" s="2503"/>
      <c r="C41" s="2503"/>
      <c r="D41" s="2503"/>
      <c r="E41" s="2503"/>
      <c r="F41" s="2504"/>
      <c r="H41" s="1507"/>
      <c r="I41" s="1507"/>
      <c r="J41" s="1507"/>
      <c r="K41" s="1507"/>
    </row>
    <row r="42" spans="1:15" s="1498" customFormat="1" ht="12" customHeight="1" x14ac:dyDescent="0.25">
      <c r="A42" s="2502"/>
      <c r="B42" s="2503"/>
      <c r="C42" s="2503"/>
      <c r="D42" s="2503"/>
      <c r="E42" s="2503"/>
      <c r="F42" s="2504"/>
      <c r="H42" s="1507"/>
      <c r="I42" s="1507"/>
      <c r="J42" s="1507"/>
      <c r="K42" s="1507"/>
    </row>
    <row r="43" spans="1:15" s="1498" customFormat="1" ht="15" x14ac:dyDescent="0.25">
      <c r="A43" s="2491"/>
      <c r="B43" s="2492"/>
      <c r="C43" s="2492"/>
      <c r="D43" s="2492"/>
      <c r="E43" s="2492"/>
      <c r="F43" s="2493"/>
      <c r="H43" s="1507"/>
      <c r="I43" s="1507"/>
      <c r="J43" s="1507"/>
      <c r="K43" s="1507"/>
    </row>
    <row r="44" spans="1:15" s="1498" customFormat="1" ht="12" hidden="1" customHeight="1" x14ac:dyDescent="0.25">
      <c r="A44" s="2491"/>
      <c r="B44" s="2492"/>
      <c r="C44" s="2492"/>
      <c r="D44" s="2492"/>
      <c r="E44" s="2492"/>
      <c r="F44" s="2493"/>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59999389629810485"/>
    <pageSetUpPr fitToPage="1"/>
  </sheetPr>
  <dimension ref="A1:N83"/>
  <sheetViews>
    <sheetView showGridLines="0" topLeftCell="A4" zoomScaleNormal="100" workbookViewId="0">
      <selection activeCell="C37" sqref="C37:J38"/>
    </sheetView>
  </sheetViews>
  <sheetFormatPr defaultColWidth="9.140625" defaultRowHeight="12.75" x14ac:dyDescent="0.2"/>
  <cols>
    <col min="1" max="1" width="2.85546875" style="1913" customWidth="1"/>
    <col min="2" max="2" width="3" style="1913" customWidth="1"/>
    <col min="3" max="3" width="48.5703125" style="1913" customWidth="1"/>
    <col min="4" max="4" width="7.42578125" style="1913" customWidth="1"/>
    <col min="5" max="5" width="11.28515625" style="1913" customWidth="1"/>
    <col min="6" max="6" width="10.85546875" style="1913" customWidth="1"/>
    <col min="7" max="8" width="9.140625" style="1913"/>
    <col min="9" max="9" width="11.140625" style="1913" customWidth="1"/>
    <col min="10" max="10" width="10.85546875" style="1913" customWidth="1"/>
    <col min="11" max="11" width="9.140625" style="1913"/>
    <col min="12" max="12" width="14.140625" style="1913" customWidth="1"/>
    <col min="13" max="13" width="9.42578125" style="1913" bestFit="1" customWidth="1"/>
    <col min="14" max="14" width="18.7109375" style="1913" customWidth="1"/>
    <col min="15" max="16384" width="9.140625" style="1913"/>
  </cols>
  <sheetData>
    <row r="1" spans="1:14" x14ac:dyDescent="0.2">
      <c r="A1" s="1971"/>
      <c r="B1" s="1972"/>
      <c r="C1" s="1972"/>
      <c r="D1" s="1972"/>
      <c r="E1" s="1972"/>
      <c r="F1" s="1972"/>
      <c r="G1" s="1987" t="s">
        <v>402</v>
      </c>
      <c r="H1" s="1988"/>
      <c r="I1" s="1972"/>
      <c r="J1" s="1972"/>
      <c r="K1" s="1972"/>
      <c r="L1" s="1972"/>
      <c r="M1" s="1972"/>
      <c r="N1" s="1973"/>
    </row>
    <row r="2" spans="1:14" x14ac:dyDescent="0.2">
      <c r="A2" s="1989"/>
      <c r="B2" s="838"/>
      <c r="C2" s="838"/>
      <c r="D2" s="838"/>
      <c r="E2" s="838"/>
      <c r="F2" s="838"/>
      <c r="G2" s="1915" t="s">
        <v>1994</v>
      </c>
      <c r="H2" s="1912"/>
      <c r="I2" s="838"/>
      <c r="J2" s="838"/>
      <c r="K2" s="838"/>
      <c r="L2" s="838"/>
      <c r="M2" s="838"/>
      <c r="N2" s="1990"/>
    </row>
    <row r="3" spans="1:14" x14ac:dyDescent="0.2">
      <c r="A3" s="1989"/>
      <c r="B3" s="838"/>
      <c r="C3" s="838"/>
      <c r="D3" s="838"/>
      <c r="E3" s="838"/>
      <c r="F3" s="838"/>
      <c r="G3" s="1915" t="s">
        <v>403</v>
      </c>
      <c r="H3" s="838"/>
      <c r="I3" s="838"/>
      <c r="J3" s="838"/>
      <c r="K3" s="838"/>
      <c r="L3" s="838"/>
      <c r="M3" s="838"/>
      <c r="N3" s="1990"/>
    </row>
    <row r="4" spans="1:14" x14ac:dyDescent="0.2">
      <c r="A4" s="1989"/>
      <c r="B4" s="838"/>
      <c r="C4" s="838"/>
      <c r="D4" s="838"/>
      <c r="E4" s="838"/>
      <c r="F4" s="838"/>
      <c r="G4" s="1915" t="s">
        <v>863</v>
      </c>
      <c r="H4" s="838"/>
      <c r="I4" s="838"/>
      <c r="J4" s="838"/>
      <c r="K4" s="838"/>
      <c r="L4" s="838"/>
      <c r="M4" s="838"/>
      <c r="N4" s="1990"/>
    </row>
    <row r="5" spans="1:14" x14ac:dyDescent="0.2">
      <c r="A5" s="1989"/>
      <c r="B5" s="838"/>
      <c r="C5" s="838"/>
      <c r="D5" s="838"/>
      <c r="E5" s="838"/>
      <c r="F5" s="1915"/>
      <c r="G5" s="1915"/>
      <c r="H5" s="838"/>
      <c r="I5" s="838"/>
      <c r="J5" s="838"/>
      <c r="K5" s="838"/>
      <c r="L5" s="838"/>
      <c r="M5" s="838"/>
      <c r="N5" s="1990"/>
    </row>
    <row r="6" spans="1:14" x14ac:dyDescent="0.2">
      <c r="A6" s="1991" t="s">
        <v>667</v>
      </c>
      <c r="B6" s="1376"/>
      <c r="C6" s="1376"/>
      <c r="D6" s="1376"/>
      <c r="E6" s="1377"/>
      <c r="F6" s="1914"/>
      <c r="G6" s="1915"/>
      <c r="H6" s="838"/>
      <c r="I6" s="1916" t="s">
        <v>1021</v>
      </c>
      <c r="J6" s="2531" t="str">
        <f>COVER!A17</f>
        <v xml:space="preserve">   Danville CCSD 118</v>
      </c>
      <c r="K6" s="2531"/>
      <c r="L6" s="2545"/>
      <c r="M6" s="838"/>
      <c r="N6" s="1990"/>
    </row>
    <row r="7" spans="1:14" x14ac:dyDescent="0.2">
      <c r="A7" s="2546" t="s">
        <v>864</v>
      </c>
      <c r="B7" s="2547"/>
      <c r="C7" s="2547"/>
      <c r="D7" s="2547"/>
      <c r="E7" s="2548"/>
      <c r="F7" s="839"/>
      <c r="G7" s="838"/>
      <c r="H7" s="838"/>
      <c r="I7" s="1916" t="s">
        <v>369</v>
      </c>
      <c r="J7" s="2533">
        <f>COVER!A13</f>
        <v>54092118024</v>
      </c>
      <c r="K7" s="2533"/>
      <c r="L7" s="2533"/>
      <c r="M7" s="838"/>
      <c r="N7" s="1990"/>
    </row>
    <row r="8" spans="1:14" x14ac:dyDescent="0.2">
      <c r="A8" s="1992"/>
      <c r="B8" s="1917"/>
      <c r="C8" s="1917"/>
      <c r="D8" s="1917"/>
      <c r="E8" s="1918"/>
      <c r="F8" s="1919"/>
      <c r="G8" s="1905"/>
      <c r="H8" s="1905"/>
      <c r="I8" s="1905"/>
      <c r="J8" s="1905"/>
      <c r="K8" s="1905"/>
      <c r="L8" s="1905"/>
      <c r="M8" s="838"/>
      <c r="N8" s="1990"/>
    </row>
    <row r="9" spans="1:14" x14ac:dyDescent="0.2">
      <c r="A9" s="1993"/>
      <c r="B9" s="840"/>
      <c r="C9" s="840"/>
      <c r="D9" s="841"/>
      <c r="E9" s="1920" t="s">
        <v>2010</v>
      </c>
      <c r="F9" s="1856"/>
      <c r="G9" s="1856"/>
      <c r="H9" s="1856"/>
      <c r="I9" s="1921" t="s">
        <v>2011</v>
      </c>
      <c r="J9" s="1856"/>
      <c r="K9" s="1856"/>
      <c r="L9" s="1857"/>
      <c r="M9" s="838"/>
      <c r="N9" s="1990"/>
    </row>
    <row r="10" spans="1:14" x14ac:dyDescent="0.2">
      <c r="A10" s="1994"/>
      <c r="B10" s="1922"/>
      <c r="C10" s="1923"/>
      <c r="D10" s="1924"/>
      <c r="E10" s="1925" t="s">
        <v>422</v>
      </c>
      <c r="F10" s="1926" t="s">
        <v>423</v>
      </c>
      <c r="G10" s="1927" t="s">
        <v>429</v>
      </c>
      <c r="H10" s="1928"/>
      <c r="I10" s="1926" t="s">
        <v>422</v>
      </c>
      <c r="J10" s="1926" t="s">
        <v>423</v>
      </c>
      <c r="K10" s="1927" t="s">
        <v>429</v>
      </c>
      <c r="L10" s="1926"/>
      <c r="M10" s="838"/>
      <c r="N10" s="1990"/>
    </row>
    <row r="11" spans="1:14" ht="51" x14ac:dyDescent="0.2">
      <c r="A11" s="2549" t="s">
        <v>478</v>
      </c>
      <c r="B11" s="2550"/>
      <c r="C11" s="2551"/>
      <c r="D11" s="1929" t="s">
        <v>866</v>
      </c>
      <c r="E11" s="1929" t="s">
        <v>64</v>
      </c>
      <c r="F11" s="1929" t="s">
        <v>6</v>
      </c>
      <c r="G11" s="1930" t="s">
        <v>2012</v>
      </c>
      <c r="H11" s="1931" t="s">
        <v>155</v>
      </c>
      <c r="I11" s="1929" t="s">
        <v>64</v>
      </c>
      <c r="J11" s="1929" t="s">
        <v>6</v>
      </c>
      <c r="K11" s="1930" t="s">
        <v>1993</v>
      </c>
      <c r="L11" s="1931" t="s">
        <v>155</v>
      </c>
      <c r="M11" s="838"/>
      <c r="N11" s="1990"/>
    </row>
    <row r="12" spans="1:14" x14ac:dyDescent="0.2">
      <c r="A12" s="1995">
        <v>1</v>
      </c>
      <c r="B12" s="1932" t="s">
        <v>813</v>
      </c>
      <c r="C12" s="842"/>
      <c r="D12" s="1933">
        <v>2320</v>
      </c>
      <c r="E12" s="1936">
        <f>'Expenditures 15-22'!K50</f>
        <v>421539</v>
      </c>
      <c r="F12" s="1934"/>
      <c r="G12" s="1960">
        <f>G68</f>
        <v>42238</v>
      </c>
      <c r="H12" s="1936">
        <f t="shared" ref="H12:H18" si="0">SUM(E12:G12)</f>
        <v>463777</v>
      </c>
      <c r="I12" s="1935">
        <v>0</v>
      </c>
      <c r="J12" s="1934"/>
      <c r="K12" s="1935"/>
      <c r="L12" s="1936">
        <f t="shared" ref="L12:L18" si="1">SUM(I12:K12)</f>
        <v>0</v>
      </c>
      <c r="M12" s="838"/>
      <c r="N12" s="1990"/>
    </row>
    <row r="13" spans="1:14" x14ac:dyDescent="0.2">
      <c r="A13" s="1995">
        <v>2</v>
      </c>
      <c r="B13" s="1932" t="s">
        <v>42</v>
      </c>
      <c r="C13" s="842"/>
      <c r="D13" s="1933">
        <v>2330</v>
      </c>
      <c r="E13" s="1936">
        <f>'Expenditures 15-22'!K51</f>
        <v>360178</v>
      </c>
      <c r="F13" s="1934"/>
      <c r="G13" s="1960">
        <f>H68</f>
        <v>711104</v>
      </c>
      <c r="H13" s="1936">
        <f t="shared" si="0"/>
        <v>1071282</v>
      </c>
      <c r="I13" s="1935">
        <v>1145982</v>
      </c>
      <c r="J13" s="1934"/>
      <c r="K13" s="1935"/>
      <c r="L13" s="1936">
        <f t="shared" si="1"/>
        <v>1145982</v>
      </c>
      <c r="M13" s="838"/>
      <c r="N13" s="1990"/>
    </row>
    <row r="14" spans="1:14" x14ac:dyDescent="0.2">
      <c r="A14" s="1995">
        <v>3</v>
      </c>
      <c r="B14" s="1932" t="s">
        <v>43</v>
      </c>
      <c r="C14" s="842"/>
      <c r="D14" s="1937">
        <v>2490</v>
      </c>
      <c r="E14" s="1936">
        <f>'Expenditures 15-22'!K56</f>
        <v>0</v>
      </c>
      <c r="F14" s="1934"/>
      <c r="G14" s="1960">
        <f>I68</f>
        <v>488940</v>
      </c>
      <c r="H14" s="1936">
        <f t="shared" si="0"/>
        <v>488940</v>
      </c>
      <c r="I14" s="1935">
        <v>0</v>
      </c>
      <c r="J14" s="1934"/>
      <c r="K14" s="1935"/>
      <c r="L14" s="1936">
        <f t="shared" si="1"/>
        <v>0</v>
      </c>
      <c r="M14" s="838"/>
      <c r="N14" s="1990"/>
    </row>
    <row r="15" spans="1:14" x14ac:dyDescent="0.2">
      <c r="A15" s="1995">
        <v>4</v>
      </c>
      <c r="B15" s="1932" t="s">
        <v>1059</v>
      </c>
      <c r="C15" s="842"/>
      <c r="D15" s="1933">
        <v>2510</v>
      </c>
      <c r="E15" s="1936">
        <f>'Expenditures 15-22'!K59</f>
        <v>79104</v>
      </c>
      <c r="F15" s="1936">
        <f>'Expenditures 15-22'!K122</f>
        <v>0</v>
      </c>
      <c r="G15" s="1960">
        <f>J68</f>
        <v>321601</v>
      </c>
      <c r="H15" s="1936">
        <f t="shared" si="0"/>
        <v>400705</v>
      </c>
      <c r="I15" s="1935">
        <v>103705</v>
      </c>
      <c r="J15" s="1935"/>
      <c r="K15" s="1935"/>
      <c r="L15" s="1936">
        <f t="shared" si="1"/>
        <v>103705</v>
      </c>
      <c r="M15" s="838"/>
      <c r="N15" s="1990"/>
    </row>
    <row r="16" spans="1:14" x14ac:dyDescent="0.2">
      <c r="A16" s="1995">
        <v>5</v>
      </c>
      <c r="B16" s="1932" t="s">
        <v>101</v>
      </c>
      <c r="C16" s="842"/>
      <c r="D16" s="1933">
        <v>2570</v>
      </c>
      <c r="E16" s="1936">
        <f>'Expenditures 15-22'!K64</f>
        <v>40541</v>
      </c>
      <c r="F16" s="1934"/>
      <c r="G16" s="1960">
        <f>K68</f>
        <v>0</v>
      </c>
      <c r="H16" s="1936">
        <f t="shared" si="0"/>
        <v>40541</v>
      </c>
      <c r="I16" s="1935">
        <v>72000</v>
      </c>
      <c r="J16" s="1934"/>
      <c r="K16" s="1935"/>
      <c r="L16" s="1936">
        <f t="shared" si="1"/>
        <v>72000</v>
      </c>
      <c r="M16" s="838"/>
      <c r="N16" s="1990"/>
    </row>
    <row r="17" spans="1:14" x14ac:dyDescent="0.2">
      <c r="A17" s="1995">
        <v>6</v>
      </c>
      <c r="B17" s="1932" t="s">
        <v>1051</v>
      </c>
      <c r="C17" s="842"/>
      <c r="D17" s="1933">
        <v>2610</v>
      </c>
      <c r="E17" s="1936">
        <f>'Expenditures 15-22'!K67</f>
        <v>44</v>
      </c>
      <c r="F17" s="1934"/>
      <c r="G17" s="1960">
        <f>L68</f>
        <v>0</v>
      </c>
      <c r="H17" s="1936">
        <f t="shared" si="0"/>
        <v>44</v>
      </c>
      <c r="I17" s="1935"/>
      <c r="J17" s="1934"/>
      <c r="K17" s="1935"/>
      <c r="L17" s="1936">
        <f t="shared" si="1"/>
        <v>0</v>
      </c>
      <c r="M17" s="838"/>
      <c r="N17" s="1990"/>
    </row>
    <row r="18" spans="1:14" ht="26.25" customHeight="1" x14ac:dyDescent="0.2">
      <c r="A18" s="1996">
        <v>7</v>
      </c>
      <c r="B18" s="2552" t="s">
        <v>7</v>
      </c>
      <c r="C18" s="2553"/>
      <c r="D18" s="2554"/>
      <c r="E18" s="1938"/>
      <c r="F18" s="1938"/>
      <c r="G18" s="1935"/>
      <c r="H18" s="1939">
        <f t="shared" si="0"/>
        <v>0</v>
      </c>
      <c r="I18" s="1935"/>
      <c r="J18" s="1935"/>
      <c r="K18" s="1935"/>
      <c r="L18" s="1936">
        <f t="shared" si="1"/>
        <v>0</v>
      </c>
      <c r="M18" s="838"/>
      <c r="N18" s="1990"/>
    </row>
    <row r="19" spans="1:14" ht="13.5" thickBot="1" x14ac:dyDescent="0.25">
      <c r="A19" s="1995">
        <v>8</v>
      </c>
      <c r="B19" s="1940" t="s">
        <v>1151</v>
      </c>
      <c r="C19" s="838"/>
      <c r="D19" s="1941"/>
      <c r="E19" s="1942">
        <f t="shared" ref="E19:L19" si="2">SUM(E12:E17)-E18</f>
        <v>901406</v>
      </c>
      <c r="F19" s="1942">
        <f t="shared" si="2"/>
        <v>0</v>
      </c>
      <c r="G19" s="1942">
        <f t="shared" ref="G19" si="3">SUM(G12:G17)-G18</f>
        <v>1563883</v>
      </c>
      <c r="H19" s="1942">
        <f t="shared" si="2"/>
        <v>2465289</v>
      </c>
      <c r="I19" s="1942">
        <f t="shared" si="2"/>
        <v>1321687</v>
      </c>
      <c r="J19" s="1942">
        <f t="shared" si="2"/>
        <v>0</v>
      </c>
      <c r="K19" s="1942">
        <f t="shared" si="2"/>
        <v>0</v>
      </c>
      <c r="L19" s="1942">
        <f t="shared" si="2"/>
        <v>1321687</v>
      </c>
      <c r="M19" s="838"/>
      <c r="N19" s="1990"/>
    </row>
    <row r="20" spans="1:14" ht="13.5" thickTop="1" x14ac:dyDescent="0.2">
      <c r="A20" s="1995">
        <v>9</v>
      </c>
      <c r="B20" s="2555" t="s">
        <v>2013</v>
      </c>
      <c r="C20" s="2555"/>
      <c r="D20" s="2556"/>
      <c r="E20" s="1943"/>
      <c r="F20" s="1943"/>
      <c r="G20" s="1943"/>
      <c r="H20" s="1943"/>
      <c r="I20" s="1943"/>
      <c r="J20" s="1943"/>
      <c r="K20" s="1943"/>
      <c r="L20" s="1944">
        <f>IF(AND(H19&gt;0,L19&gt;0),(((L19-H19)/H19)),"Enter Budget Data")</f>
        <v>-0.46388151652808252</v>
      </c>
      <c r="M20" s="838"/>
      <c r="N20" s="1990"/>
    </row>
    <row r="21" spans="1:14" x14ac:dyDescent="0.2">
      <c r="A21" s="1997" t="s">
        <v>194</v>
      </c>
      <c r="B21" s="1998" t="s">
        <v>2038</v>
      </c>
      <c r="C21" s="838"/>
      <c r="D21" s="1945"/>
      <c r="E21" s="1946"/>
      <c r="F21" s="1947"/>
      <c r="G21" s="1947"/>
      <c r="H21" s="1947"/>
      <c r="I21" s="1947"/>
      <c r="J21" s="1947"/>
      <c r="K21" s="1947"/>
      <c r="L21" s="1948"/>
      <c r="M21" s="838"/>
      <c r="N21" s="1990"/>
    </row>
    <row r="22" spans="1:14" x14ac:dyDescent="0.2">
      <c r="A22" s="1989"/>
      <c r="B22" s="1999"/>
      <c r="C22" s="838"/>
      <c r="D22" s="838"/>
      <c r="E22" s="838"/>
      <c r="F22" s="838"/>
      <c r="G22" s="838"/>
      <c r="H22" s="838"/>
      <c r="I22" s="838"/>
      <c r="J22" s="838"/>
      <c r="K22" s="838"/>
      <c r="L22" s="838"/>
      <c r="M22" s="838"/>
      <c r="N22" s="1990"/>
    </row>
    <row r="23" spans="1:14" x14ac:dyDescent="0.2">
      <c r="A23" s="2000" t="s">
        <v>132</v>
      </c>
      <c r="B23" s="1999"/>
      <c r="C23" s="838"/>
      <c r="D23" s="838"/>
      <c r="E23" s="838"/>
      <c r="F23" s="838"/>
      <c r="G23" s="838"/>
      <c r="H23" s="838"/>
      <c r="I23" s="838"/>
      <c r="J23" s="838"/>
      <c r="K23" s="838"/>
      <c r="L23" s="838"/>
      <c r="M23" s="838"/>
      <c r="N23" s="1990"/>
    </row>
    <row r="24" spans="1:14" x14ac:dyDescent="0.2">
      <c r="A24" s="2001" t="s">
        <v>2014</v>
      </c>
      <c r="B24" s="2002"/>
      <c r="C24" s="2003"/>
      <c r="D24" s="2003"/>
      <c r="E24" s="2003"/>
      <c r="F24" s="2003"/>
      <c r="G24" s="2003"/>
      <c r="H24" s="2003"/>
      <c r="I24" s="2003"/>
      <c r="J24" s="2003"/>
      <c r="K24" s="2003"/>
      <c r="L24" s="838"/>
      <c r="M24" s="838"/>
      <c r="N24" s="1990"/>
    </row>
    <row r="25" spans="1:14" x14ac:dyDescent="0.2">
      <c r="A25" s="2001" t="s">
        <v>2015</v>
      </c>
      <c r="B25" s="2002"/>
      <c r="C25" s="2003"/>
      <c r="D25" s="2003"/>
      <c r="E25" s="2003"/>
      <c r="F25" s="2003"/>
      <c r="G25" s="2003"/>
      <c r="H25" s="2003"/>
      <c r="I25" s="2003"/>
      <c r="J25" s="2003"/>
      <c r="K25" s="2003"/>
      <c r="L25" s="838"/>
      <c r="M25" s="838"/>
      <c r="N25" s="1990"/>
    </row>
    <row r="26" spans="1:14" x14ac:dyDescent="0.2">
      <c r="A26" s="2004"/>
      <c r="B26" s="1999"/>
      <c r="C26" s="838"/>
      <c r="D26" s="838"/>
      <c r="E26" s="838"/>
      <c r="F26" s="838"/>
      <c r="G26" s="838"/>
      <c r="H26" s="838"/>
      <c r="I26" s="838"/>
      <c r="J26" s="838"/>
      <c r="K26" s="838"/>
      <c r="L26" s="838"/>
      <c r="M26" s="838"/>
      <c r="N26" s="1990"/>
    </row>
    <row r="27" spans="1:14" x14ac:dyDescent="0.2">
      <c r="A27" s="1989"/>
      <c r="B27" s="1999"/>
      <c r="C27" s="2557"/>
      <c r="D27" s="2557"/>
      <c r="E27" s="843"/>
      <c r="F27" s="2558"/>
      <c r="G27" s="2558"/>
      <c r="H27" s="2558"/>
      <c r="I27" s="838"/>
      <c r="J27" s="838"/>
      <c r="K27" s="838"/>
      <c r="L27" s="838"/>
      <c r="M27" s="838"/>
      <c r="N27" s="1990"/>
    </row>
    <row r="28" spans="1:14" x14ac:dyDescent="0.2">
      <c r="A28" s="1989"/>
      <c r="B28" s="1999"/>
      <c r="C28" s="1949" t="s">
        <v>1026</v>
      </c>
      <c r="D28" s="844"/>
      <c r="E28" s="1950"/>
      <c r="F28" s="2559" t="s">
        <v>1492</v>
      </c>
      <c r="G28" s="2559"/>
      <c r="H28" s="2559"/>
      <c r="I28" s="838"/>
      <c r="J28" s="838"/>
      <c r="K28" s="838"/>
      <c r="L28" s="838"/>
      <c r="M28" s="838"/>
      <c r="N28" s="1990"/>
    </row>
    <row r="29" spans="1:14" x14ac:dyDescent="0.2">
      <c r="A29" s="1989"/>
      <c r="B29" s="1999"/>
      <c r="C29" s="2560"/>
      <c r="D29" s="2560"/>
      <c r="E29" s="845"/>
      <c r="F29" s="2560"/>
      <c r="G29" s="2560"/>
      <c r="H29" s="2560"/>
      <c r="I29" s="838"/>
      <c r="J29" s="838"/>
      <c r="K29" s="838"/>
      <c r="L29" s="838"/>
      <c r="M29" s="838"/>
      <c r="N29" s="1990"/>
    </row>
    <row r="30" spans="1:14" x14ac:dyDescent="0.2">
      <c r="A30" s="1989"/>
      <c r="B30" s="1999"/>
      <c r="C30" s="1952" t="s">
        <v>1544</v>
      </c>
      <c r="D30" s="838"/>
      <c r="E30" s="1951"/>
      <c r="F30" s="2544" t="s">
        <v>1493</v>
      </c>
      <c r="G30" s="2544"/>
      <c r="H30" s="2544"/>
      <c r="I30" s="838"/>
      <c r="J30" s="838"/>
      <c r="K30" s="838"/>
      <c r="L30" s="838"/>
      <c r="M30" s="838"/>
      <c r="N30" s="1990"/>
    </row>
    <row r="31" spans="1:14" x14ac:dyDescent="0.2">
      <c r="A31" s="1989"/>
      <c r="B31" s="1999"/>
      <c r="C31" s="2005"/>
      <c r="D31" s="838"/>
      <c r="E31" s="1945"/>
      <c r="F31" s="1946"/>
      <c r="G31" s="1946"/>
      <c r="H31" s="1946"/>
      <c r="I31" s="838"/>
      <c r="J31" s="838"/>
      <c r="K31" s="838"/>
      <c r="L31" s="838"/>
      <c r="M31" s="838"/>
      <c r="N31" s="1990"/>
    </row>
    <row r="32" spans="1:14" x14ac:dyDescent="0.2">
      <c r="A32" s="1989"/>
      <c r="B32" s="2006" t="s">
        <v>1027</v>
      </c>
      <c r="C32" s="838"/>
      <c r="D32" s="838"/>
      <c r="E32" s="838"/>
      <c r="F32" s="838"/>
      <c r="G32" s="838"/>
      <c r="H32" s="838"/>
      <c r="I32" s="838"/>
      <c r="J32" s="838"/>
      <c r="K32" s="838"/>
      <c r="L32" s="838"/>
      <c r="M32" s="838"/>
      <c r="N32" s="1990"/>
    </row>
    <row r="33" spans="1:14" x14ac:dyDescent="0.2">
      <c r="A33" s="1989"/>
      <c r="B33" s="2007"/>
      <c r="C33" s="838"/>
      <c r="D33" s="838"/>
      <c r="E33" s="838"/>
      <c r="F33" s="838"/>
      <c r="G33" s="838"/>
      <c r="H33" s="838"/>
      <c r="I33" s="838"/>
      <c r="J33" s="838"/>
      <c r="K33" s="838"/>
      <c r="L33" s="838"/>
      <c r="M33" s="838"/>
      <c r="N33" s="1990"/>
    </row>
    <row r="34" spans="1:14" x14ac:dyDescent="0.2">
      <c r="A34" s="1989"/>
      <c r="B34" s="846"/>
      <c r="C34" s="2521" t="s">
        <v>2016</v>
      </c>
      <c r="D34" s="2522"/>
      <c r="E34" s="2522"/>
      <c r="F34" s="2522"/>
      <c r="G34" s="2522"/>
      <c r="H34" s="2522"/>
      <c r="I34" s="2522"/>
      <c r="J34" s="2522"/>
      <c r="K34" s="2008"/>
      <c r="L34" s="838"/>
      <c r="M34" s="838"/>
      <c r="N34" s="1990"/>
    </row>
    <row r="35" spans="1:14" x14ac:dyDescent="0.2">
      <c r="A35" s="1989"/>
      <c r="B35" s="838"/>
      <c r="C35" s="2522"/>
      <c r="D35" s="2522"/>
      <c r="E35" s="2522"/>
      <c r="F35" s="2522"/>
      <c r="G35" s="2522"/>
      <c r="H35" s="2522"/>
      <c r="I35" s="2522"/>
      <c r="J35" s="2522"/>
      <c r="K35" s="2008"/>
      <c r="L35" s="838"/>
      <c r="M35" s="838"/>
      <c r="N35" s="1990"/>
    </row>
    <row r="36" spans="1:14" x14ac:dyDescent="0.2">
      <c r="A36" s="1989"/>
      <c r="B36" s="838"/>
      <c r="C36" s="2009"/>
      <c r="D36" s="838"/>
      <c r="E36" s="838"/>
      <c r="F36" s="838"/>
      <c r="G36" s="838"/>
      <c r="H36" s="838"/>
      <c r="I36" s="838"/>
      <c r="J36" s="838"/>
      <c r="K36" s="838"/>
      <c r="L36" s="838"/>
      <c r="M36" s="838"/>
      <c r="N36" s="1990"/>
    </row>
    <row r="37" spans="1:14" x14ac:dyDescent="0.2">
      <c r="A37" s="1989"/>
      <c r="B37" s="846"/>
      <c r="C37" s="2521" t="s">
        <v>2017</v>
      </c>
      <c r="D37" s="2522"/>
      <c r="E37" s="2522"/>
      <c r="F37" s="2522"/>
      <c r="G37" s="2522"/>
      <c r="H37" s="2522"/>
      <c r="I37" s="2522"/>
      <c r="J37" s="2522"/>
      <c r="K37" s="2008"/>
      <c r="L37" s="2010"/>
      <c r="M37" s="838"/>
      <c r="N37" s="1990"/>
    </row>
    <row r="38" spans="1:14" x14ac:dyDescent="0.2">
      <c r="A38" s="1989"/>
      <c r="B38" s="838"/>
      <c r="C38" s="2522"/>
      <c r="D38" s="2522"/>
      <c r="E38" s="2522"/>
      <c r="F38" s="2522"/>
      <c r="G38" s="2522"/>
      <c r="H38" s="2522"/>
      <c r="I38" s="2522"/>
      <c r="J38" s="2522"/>
      <c r="K38" s="2008"/>
      <c r="L38" s="2010"/>
      <c r="M38" s="838"/>
      <c r="N38" s="1990"/>
    </row>
    <row r="39" spans="1:14" x14ac:dyDescent="0.2">
      <c r="A39" s="1989"/>
      <c r="B39" s="838"/>
      <c r="C39" s="2009"/>
      <c r="D39" s="838"/>
      <c r="E39" s="1953"/>
      <c r="F39" s="1954"/>
      <c r="G39" s="1954"/>
      <c r="H39" s="1953"/>
      <c r="I39" s="838"/>
      <c r="J39" s="838"/>
      <c r="K39" s="838"/>
      <c r="L39" s="838"/>
      <c r="M39" s="838"/>
      <c r="N39" s="1990"/>
    </row>
    <row r="40" spans="1:14" x14ac:dyDescent="0.2">
      <c r="A40" s="1989"/>
      <c r="B40" s="846" t="s">
        <v>1159</v>
      </c>
      <c r="C40" s="2523" t="s">
        <v>2018</v>
      </c>
      <c r="D40" s="2524"/>
      <c r="E40" s="2524"/>
      <c r="F40" s="2524"/>
      <c r="G40" s="2524"/>
      <c r="H40" s="2524"/>
      <c r="I40" s="2524"/>
      <c r="J40" s="2524"/>
      <c r="K40" s="1955"/>
      <c r="L40" s="838"/>
      <c r="M40" s="838"/>
      <c r="N40" s="1990"/>
    </row>
    <row r="41" spans="1:14" x14ac:dyDescent="0.2">
      <c r="A41" s="1989"/>
      <c r="B41" s="838"/>
      <c r="C41" s="2011"/>
      <c r="D41" s="2011"/>
      <c r="E41" s="2011"/>
      <c r="F41" s="2011"/>
      <c r="G41" s="2011"/>
      <c r="H41" s="2011"/>
      <c r="I41" s="2011"/>
      <c r="J41" s="2011"/>
      <c r="K41" s="2011"/>
      <c r="L41" s="838"/>
      <c r="M41" s="838"/>
      <c r="N41" s="1990"/>
    </row>
    <row r="42" spans="1:14" ht="13.5" thickBot="1" x14ac:dyDescent="0.25">
      <c r="A42" s="2012"/>
      <c r="B42" s="2013"/>
      <c r="C42" s="2013"/>
      <c r="D42" s="2013"/>
      <c r="E42" s="2013"/>
      <c r="F42" s="2013"/>
      <c r="G42" s="2013"/>
      <c r="H42" s="2013"/>
      <c r="I42" s="2013"/>
      <c r="J42" s="2013"/>
      <c r="K42" s="2013"/>
      <c r="L42" s="2013"/>
      <c r="M42" s="2013"/>
      <c r="N42" s="2014"/>
    </row>
    <row r="43" spans="1:14" ht="27" thickBot="1" x14ac:dyDescent="0.45">
      <c r="A43" s="2525" t="s">
        <v>2019</v>
      </c>
      <c r="B43" s="2526"/>
      <c r="C43" s="2526"/>
      <c r="D43" s="2526"/>
      <c r="E43" s="2526"/>
      <c r="F43" s="2526"/>
      <c r="G43" s="2526"/>
      <c r="H43" s="2526"/>
      <c r="I43" s="2526"/>
      <c r="J43" s="2526"/>
      <c r="K43" s="2526"/>
      <c r="L43" s="2526"/>
      <c r="M43" s="2526"/>
      <c r="N43" s="2527"/>
    </row>
    <row r="44" spans="1:14" x14ac:dyDescent="0.2">
      <c r="A44" s="1974"/>
      <c r="B44" s="1975"/>
      <c r="C44" s="1975"/>
      <c r="D44" s="1975"/>
      <c r="E44" s="1975"/>
      <c r="F44" s="1975"/>
      <c r="G44" s="1975"/>
      <c r="H44" s="1975"/>
      <c r="I44" s="1975"/>
      <c r="J44" s="1975"/>
      <c r="K44" s="1975"/>
      <c r="L44" s="1975"/>
      <c r="M44" s="1975"/>
      <c r="N44" s="1976"/>
    </row>
    <row r="45" spans="1:14" x14ac:dyDescent="0.2">
      <c r="A45" s="1974" t="s">
        <v>2020</v>
      </c>
      <c r="B45" s="1975"/>
      <c r="C45" s="1975"/>
      <c r="D45" s="1975"/>
      <c r="E45" s="1975"/>
      <c r="F45" s="1975"/>
      <c r="G45" s="1975"/>
      <c r="H45" s="1975"/>
      <c r="I45" s="1975"/>
      <c r="J45" s="1975"/>
      <c r="K45" s="1975"/>
      <c r="L45" s="1975"/>
      <c r="M45" s="1975"/>
      <c r="N45" s="1976"/>
    </row>
    <row r="46" spans="1:14" x14ac:dyDescent="0.2">
      <c r="A46" s="2528" t="s">
        <v>2021</v>
      </c>
      <c r="B46" s="2529"/>
      <c r="C46" s="2529"/>
      <c r="D46" s="2529"/>
      <c r="E46" s="2529"/>
      <c r="F46" s="2529"/>
      <c r="G46" s="2529"/>
      <c r="H46" s="2529"/>
      <c r="I46" s="2529"/>
      <c r="J46" s="2529"/>
      <c r="K46" s="2529"/>
      <c r="L46" s="2529"/>
      <c r="M46" s="2529"/>
      <c r="N46" s="2530"/>
    </row>
    <row r="47" spans="1:14" x14ac:dyDescent="0.2">
      <c r="A47" s="2528"/>
      <c r="B47" s="2529"/>
      <c r="C47" s="2529"/>
      <c r="D47" s="2529"/>
      <c r="E47" s="2529"/>
      <c r="F47" s="2529"/>
      <c r="G47" s="2529"/>
      <c r="H47" s="2529"/>
      <c r="I47" s="2529"/>
      <c r="J47" s="2529"/>
      <c r="K47" s="2529"/>
      <c r="L47" s="2529"/>
      <c r="M47" s="2529"/>
      <c r="N47" s="2530"/>
    </row>
    <row r="48" spans="1:14" x14ac:dyDescent="0.2">
      <c r="A48" s="1977"/>
      <c r="B48" s="1975"/>
      <c r="C48" s="1975"/>
      <c r="D48" s="1978"/>
      <c r="E48" s="1978"/>
      <c r="F48" s="1978"/>
      <c r="G48" s="1978"/>
      <c r="H48" s="1978"/>
      <c r="I48" s="1978"/>
      <c r="J48" s="1978"/>
      <c r="K48" s="1978"/>
      <c r="L48" s="1978"/>
      <c r="M48" s="1978"/>
      <c r="N48" s="1979"/>
    </row>
    <row r="49" spans="1:14" s="2019" customFormat="1" ht="15.75" x14ac:dyDescent="0.25">
      <c r="A49" s="2020" t="s">
        <v>2037</v>
      </c>
      <c r="B49" s="2016"/>
      <c r="C49" s="2016"/>
      <c r="D49" s="2017"/>
      <c r="E49" s="2017"/>
      <c r="F49" s="2017"/>
      <c r="G49" s="2017"/>
      <c r="H49" s="2017"/>
      <c r="I49" s="2017"/>
      <c r="J49" s="2017"/>
      <c r="K49" s="2017"/>
      <c r="L49" s="2017"/>
      <c r="M49" s="2017"/>
      <c r="N49" s="2018"/>
    </row>
    <row r="50" spans="1:14" ht="15" x14ac:dyDescent="0.25">
      <c r="A50" s="2020" t="s">
        <v>2036</v>
      </c>
      <c r="B50" s="1975"/>
      <c r="C50" s="1975"/>
      <c r="D50" s="1975"/>
      <c r="E50" s="1975"/>
      <c r="F50" s="1975"/>
      <c r="G50" s="1975"/>
      <c r="H50" s="1975"/>
      <c r="I50" s="1975"/>
      <c r="J50" s="1975"/>
      <c r="K50" s="1975"/>
      <c r="L50" s="1975"/>
      <c r="M50" s="1975"/>
      <c r="N50" s="1976"/>
    </row>
    <row r="51" spans="1:14" x14ac:dyDescent="0.2">
      <c r="A51" s="1974"/>
      <c r="B51" s="1975"/>
      <c r="C51" s="1975"/>
      <c r="D51" s="1975"/>
      <c r="E51" s="1975"/>
      <c r="F51" s="1975"/>
      <c r="G51" s="1975"/>
      <c r="H51" s="1975"/>
      <c r="I51" s="1975"/>
      <c r="J51" s="1975"/>
      <c r="K51" s="1975"/>
      <c r="L51" s="1975"/>
      <c r="M51" s="1975"/>
      <c r="N51" s="1976"/>
    </row>
    <row r="52" spans="1:14" x14ac:dyDescent="0.2">
      <c r="A52" s="1974"/>
      <c r="B52" s="1975"/>
      <c r="C52" s="1975"/>
      <c r="D52" s="1975"/>
      <c r="E52" s="1975"/>
      <c r="F52" s="1975"/>
      <c r="G52" s="1975"/>
      <c r="H52" s="1975"/>
      <c r="I52" s="1975"/>
      <c r="J52" s="1975"/>
      <c r="K52" s="1916" t="s">
        <v>1021</v>
      </c>
      <c r="L52" s="2531" t="str">
        <f>J6</f>
        <v xml:space="preserve">   Danville CCSD 118</v>
      </c>
      <c r="M52" s="2531"/>
      <c r="N52" s="2532"/>
    </row>
    <row r="53" spans="1:14" x14ac:dyDescent="0.2">
      <c r="A53" s="1974"/>
      <c r="B53" s="1975"/>
      <c r="C53" s="1975"/>
      <c r="D53" s="1975"/>
      <c r="E53" s="1975"/>
      <c r="F53" s="1975"/>
      <c r="G53" s="1975"/>
      <c r="H53" s="1975"/>
      <c r="I53" s="1975"/>
      <c r="J53" s="1975"/>
      <c r="K53" s="1916" t="s">
        <v>369</v>
      </c>
      <c r="L53" s="2533">
        <f>J7</f>
        <v>54092118024</v>
      </c>
      <c r="M53" s="2533"/>
      <c r="N53" s="2534"/>
    </row>
    <row r="54" spans="1:14" ht="13.5" thickBot="1" x14ac:dyDescent="0.25">
      <c r="A54" s="1974"/>
      <c r="B54" s="1975"/>
      <c r="C54" s="1975"/>
      <c r="D54" s="1975"/>
      <c r="E54" s="1975"/>
      <c r="F54" s="1975"/>
      <c r="G54" s="1975"/>
      <c r="H54" s="1975"/>
      <c r="I54" s="1975"/>
      <c r="J54" s="1975"/>
      <c r="K54" s="1975"/>
      <c r="L54" s="1975"/>
      <c r="M54" s="1975"/>
      <c r="N54" s="1976"/>
    </row>
    <row r="55" spans="1:14" x14ac:dyDescent="0.2">
      <c r="A55" s="2535"/>
      <c r="B55" s="2536"/>
      <c r="C55" s="2536"/>
      <c r="D55" s="1962"/>
      <c r="E55" s="1962"/>
      <c r="F55" s="1962"/>
      <c r="G55" s="2537" t="s">
        <v>2022</v>
      </c>
      <c r="H55" s="2537"/>
      <c r="I55" s="2537"/>
      <c r="J55" s="2537"/>
      <c r="K55" s="2537"/>
      <c r="L55" s="2537"/>
      <c r="M55" s="2537"/>
      <c r="N55" s="2538"/>
    </row>
    <row r="56" spans="1:14" ht="63.75" x14ac:dyDescent="0.2">
      <c r="A56" s="2539" t="s">
        <v>2023</v>
      </c>
      <c r="B56" s="2540"/>
      <c r="C56" s="2541"/>
      <c r="D56" s="1956" t="s">
        <v>2024</v>
      </c>
      <c r="E56" s="1956" t="s">
        <v>2025</v>
      </c>
      <c r="F56" s="1963"/>
      <c r="G56" s="1956" t="s">
        <v>2026</v>
      </c>
      <c r="H56" s="1956" t="s">
        <v>2027</v>
      </c>
      <c r="I56" s="1956" t="s">
        <v>2028</v>
      </c>
      <c r="J56" s="1956" t="s">
        <v>2029</v>
      </c>
      <c r="K56" s="1956" t="s">
        <v>2030</v>
      </c>
      <c r="L56" s="1956" t="s">
        <v>2031</v>
      </c>
      <c r="M56" s="1956" t="s">
        <v>2032</v>
      </c>
      <c r="N56" s="1957" t="s">
        <v>2039</v>
      </c>
    </row>
    <row r="57" spans="1:14" ht="24.75" customHeight="1" x14ac:dyDescent="0.2">
      <c r="A57" s="2542" t="s">
        <v>296</v>
      </c>
      <c r="B57" s="2543"/>
      <c r="C57" s="2543"/>
      <c r="D57" s="1958">
        <v>2361</v>
      </c>
      <c r="E57" s="1968">
        <f>'Expenditures 15-22'!K319</f>
        <v>0</v>
      </c>
      <c r="F57" s="1964"/>
      <c r="G57" s="2021"/>
      <c r="H57" s="2022"/>
      <c r="I57" s="2022"/>
      <c r="J57" s="2022"/>
      <c r="K57" s="2022"/>
      <c r="L57" s="2022"/>
      <c r="M57" s="2022"/>
      <c r="N57" s="1967">
        <f>IF((SUM(G57:M57))=E57,SUM(G57:M57),"Column N does not agree with Column E")</f>
        <v>0</v>
      </c>
    </row>
    <row r="58" spans="1:14" ht="24" customHeight="1" x14ac:dyDescent="0.2">
      <c r="A58" s="2519" t="s">
        <v>2033</v>
      </c>
      <c r="B58" s="2520"/>
      <c r="C58" s="2520"/>
      <c r="D58" s="1959">
        <v>2362</v>
      </c>
      <c r="E58" s="1969">
        <f>'Expenditures 15-22'!K320</f>
        <v>306943</v>
      </c>
      <c r="F58" s="1964"/>
      <c r="G58" s="2023"/>
      <c r="H58" s="2024">
        <v>216943</v>
      </c>
      <c r="I58" s="2024">
        <v>90000</v>
      </c>
      <c r="J58" s="2024"/>
      <c r="K58" s="2024"/>
      <c r="L58" s="2024"/>
      <c r="M58" s="2024"/>
      <c r="N58" s="1967">
        <f>IF((SUM(G58:M58))=E58,SUM(G58:M58),"Column N does not agree with Column E")</f>
        <v>306943</v>
      </c>
    </row>
    <row r="59" spans="1:14" ht="24.75" customHeight="1" x14ac:dyDescent="0.2">
      <c r="A59" s="2513" t="s">
        <v>297</v>
      </c>
      <c r="B59" s="2514"/>
      <c r="C59" s="2514"/>
      <c r="D59" s="1959">
        <v>2363</v>
      </c>
      <c r="E59" s="1969">
        <f>'Expenditures 15-22'!K321</f>
        <v>0</v>
      </c>
      <c r="F59" s="1964"/>
      <c r="G59" s="2023"/>
      <c r="H59" s="2024"/>
      <c r="I59" s="2024"/>
      <c r="J59" s="2024"/>
      <c r="K59" s="2024"/>
      <c r="L59" s="2024"/>
      <c r="M59" s="2024"/>
      <c r="N59" s="1967">
        <f>IF((SUM(G59:M59))=E59,SUM(G59:M59),"Column N does not agree with Column E")</f>
        <v>0</v>
      </c>
    </row>
    <row r="60" spans="1:14" ht="24" customHeight="1" x14ac:dyDescent="0.2">
      <c r="A60" s="2513" t="s">
        <v>236</v>
      </c>
      <c r="B60" s="2514"/>
      <c r="C60" s="2514"/>
      <c r="D60" s="1959">
        <v>2364</v>
      </c>
      <c r="E60" s="1969">
        <f>'Expenditures 15-22'!K322</f>
        <v>200793</v>
      </c>
      <c r="F60" s="1964"/>
      <c r="G60" s="2023"/>
      <c r="H60" s="2024"/>
      <c r="I60" s="2024"/>
      <c r="J60" s="2024">
        <v>200793</v>
      </c>
      <c r="K60" s="2024"/>
      <c r="L60" s="2024"/>
      <c r="M60" s="2024"/>
      <c r="N60" s="1967">
        <f t="shared" ref="N60:N67" si="4">IF((SUM(G60:M60))=E60,SUM(G60:M60),"Column N does not agree with Column E")</f>
        <v>200793</v>
      </c>
    </row>
    <row r="61" spans="1:14" ht="24.75" customHeight="1" x14ac:dyDescent="0.2">
      <c r="A61" s="2513" t="s">
        <v>697</v>
      </c>
      <c r="B61" s="2514"/>
      <c r="C61" s="2514"/>
      <c r="D61" s="1959">
        <v>2365</v>
      </c>
      <c r="E61" s="1969">
        <f>'Expenditures 15-22'!K323</f>
        <v>0</v>
      </c>
      <c r="F61" s="1964"/>
      <c r="G61" s="2023"/>
      <c r="H61" s="2024"/>
      <c r="I61" s="2024"/>
      <c r="J61" s="2024"/>
      <c r="K61" s="2024"/>
      <c r="L61" s="2024"/>
      <c r="M61" s="2024"/>
      <c r="N61" s="1967">
        <f t="shared" si="4"/>
        <v>0</v>
      </c>
    </row>
    <row r="62" spans="1:14" ht="24" customHeight="1" x14ac:dyDescent="0.2">
      <c r="A62" s="2513" t="s">
        <v>237</v>
      </c>
      <c r="B62" s="2514"/>
      <c r="C62" s="2514"/>
      <c r="D62" s="1959">
        <v>2366</v>
      </c>
      <c r="E62" s="1969">
        <f>'Expenditures 15-22'!K324</f>
        <v>0</v>
      </c>
      <c r="F62" s="1964"/>
      <c r="G62" s="2023"/>
      <c r="H62" s="2024"/>
      <c r="I62" s="2024"/>
      <c r="J62" s="2024"/>
      <c r="K62" s="2024"/>
      <c r="L62" s="2024"/>
      <c r="M62" s="2024"/>
      <c r="N62" s="1967">
        <f t="shared" si="4"/>
        <v>0</v>
      </c>
    </row>
    <row r="63" spans="1:14" ht="24" customHeight="1" x14ac:dyDescent="0.2">
      <c r="A63" s="2519" t="s">
        <v>1022</v>
      </c>
      <c r="B63" s="2520"/>
      <c r="C63" s="2520"/>
      <c r="D63" s="1959">
        <v>2367</v>
      </c>
      <c r="E63" s="1969">
        <f>'Expenditures 15-22'!K325</f>
        <v>1013909</v>
      </c>
      <c r="F63" s="1964"/>
      <c r="G63" s="2023"/>
      <c r="H63" s="2024">
        <v>494161</v>
      </c>
      <c r="I63" s="2024">
        <v>398940</v>
      </c>
      <c r="J63" s="2024">
        <v>120808</v>
      </c>
      <c r="K63" s="2024"/>
      <c r="L63" s="2024"/>
      <c r="M63" s="2024"/>
      <c r="N63" s="1967">
        <f t="shared" si="4"/>
        <v>1013909</v>
      </c>
    </row>
    <row r="64" spans="1:14" ht="24" customHeight="1" x14ac:dyDescent="0.2">
      <c r="A64" s="2513" t="s">
        <v>1023</v>
      </c>
      <c r="B64" s="2514"/>
      <c r="C64" s="2514"/>
      <c r="D64" s="1959">
        <v>2368</v>
      </c>
      <c r="E64" s="1969">
        <f>'Expenditures 15-22'!K326</f>
        <v>0</v>
      </c>
      <c r="F64" s="1964"/>
      <c r="G64" s="2023"/>
      <c r="H64" s="2024"/>
      <c r="I64" s="2024"/>
      <c r="J64" s="2024"/>
      <c r="K64" s="2024"/>
      <c r="L64" s="2024"/>
      <c r="M64" s="2024"/>
      <c r="N64" s="1967">
        <f t="shared" si="4"/>
        <v>0</v>
      </c>
    </row>
    <row r="65" spans="1:14" ht="24" customHeight="1" x14ac:dyDescent="0.2">
      <c r="A65" s="2513" t="s">
        <v>965</v>
      </c>
      <c r="B65" s="2514"/>
      <c r="C65" s="2514"/>
      <c r="D65" s="1959">
        <v>2369</v>
      </c>
      <c r="E65" s="1969">
        <f>'Expenditures 15-22'!K327</f>
        <v>42238</v>
      </c>
      <c r="F65" s="1964"/>
      <c r="G65" s="2023">
        <v>42238</v>
      </c>
      <c r="H65" s="2024"/>
      <c r="I65" s="2024"/>
      <c r="J65" s="2024"/>
      <c r="K65" s="2024"/>
      <c r="L65" s="2024"/>
      <c r="M65" s="2024"/>
      <c r="N65" s="1967">
        <f t="shared" si="4"/>
        <v>42238</v>
      </c>
    </row>
    <row r="66" spans="1:14" ht="24" customHeight="1" x14ac:dyDescent="0.2">
      <c r="A66" s="2513" t="s">
        <v>469</v>
      </c>
      <c r="B66" s="2514"/>
      <c r="C66" s="2514"/>
      <c r="D66" s="1959">
        <v>2371</v>
      </c>
      <c r="E66" s="1969">
        <f>'Expenditures 15-22'!K328</f>
        <v>0</v>
      </c>
      <c r="F66" s="1964"/>
      <c r="G66" s="2023"/>
      <c r="H66" s="2024"/>
      <c r="I66" s="2024"/>
      <c r="J66" s="2024"/>
      <c r="K66" s="2024"/>
      <c r="L66" s="2024"/>
      <c r="M66" s="2024"/>
      <c r="N66" s="1967">
        <f t="shared" si="4"/>
        <v>0</v>
      </c>
    </row>
    <row r="67" spans="1:14" ht="24.75" customHeight="1" x14ac:dyDescent="0.2">
      <c r="A67" s="2515" t="s">
        <v>2034</v>
      </c>
      <c r="B67" s="2516"/>
      <c r="C67" s="2516"/>
      <c r="D67" s="1961">
        <v>2372</v>
      </c>
      <c r="E67" s="1970">
        <f>'Expenditures 15-22'!K329</f>
        <v>0</v>
      </c>
      <c r="F67" s="1964"/>
      <c r="G67" s="2025"/>
      <c r="H67" s="2026"/>
      <c r="I67" s="2026"/>
      <c r="J67" s="2026"/>
      <c r="K67" s="2026"/>
      <c r="L67" s="2026"/>
      <c r="M67" s="2026"/>
      <c r="N67" s="1967">
        <f t="shared" si="4"/>
        <v>0</v>
      </c>
    </row>
    <row r="68" spans="1:14" x14ac:dyDescent="0.2">
      <c r="A68" s="2517" t="s">
        <v>1151</v>
      </c>
      <c r="B68" s="2518"/>
      <c r="C68" s="2518"/>
      <c r="D68" s="1962"/>
      <c r="E68" s="1966">
        <f>SUM(E57:E67)</f>
        <v>1563883</v>
      </c>
      <c r="F68" s="1965"/>
      <c r="G68" s="1966">
        <f t="shared" ref="G68:N68" si="5">SUM(G57:G67)</f>
        <v>42238</v>
      </c>
      <c r="H68" s="1966">
        <f t="shared" si="5"/>
        <v>711104</v>
      </c>
      <c r="I68" s="1966">
        <f t="shared" si="5"/>
        <v>488940</v>
      </c>
      <c r="J68" s="1966">
        <f t="shared" si="5"/>
        <v>321601</v>
      </c>
      <c r="K68" s="1966">
        <f t="shared" si="5"/>
        <v>0</v>
      </c>
      <c r="L68" s="1966">
        <f t="shared" si="5"/>
        <v>0</v>
      </c>
      <c r="M68" s="1966">
        <f t="shared" si="5"/>
        <v>0</v>
      </c>
      <c r="N68" s="1980">
        <f t="shared" si="5"/>
        <v>1563883</v>
      </c>
    </row>
    <row r="69" spans="1:14" x14ac:dyDescent="0.2">
      <c r="A69" s="1981"/>
      <c r="B69" s="1982"/>
      <c r="C69" s="1982"/>
      <c r="D69" s="1982"/>
      <c r="E69" s="1982"/>
      <c r="F69" s="1982"/>
      <c r="G69" s="1982"/>
      <c r="H69" s="1982"/>
      <c r="I69" s="1982"/>
      <c r="J69" s="1982"/>
      <c r="K69" s="1982"/>
      <c r="L69" s="1982"/>
      <c r="M69" s="1982"/>
      <c r="N69" s="1983"/>
    </row>
    <row r="70" spans="1:14" ht="15.75" x14ac:dyDescent="0.25">
      <c r="A70" s="2015" t="s">
        <v>2035</v>
      </c>
      <c r="B70" s="1982"/>
      <c r="C70" s="1982"/>
      <c r="D70" s="1982"/>
      <c r="E70" s="1982"/>
      <c r="F70" s="1982"/>
      <c r="G70" s="1982"/>
      <c r="H70" s="1982"/>
      <c r="I70" s="1982"/>
      <c r="J70" s="1982"/>
      <c r="K70" s="1982"/>
      <c r="L70" s="1982"/>
      <c r="M70" s="1982"/>
      <c r="N70" s="1983"/>
    </row>
    <row r="71" spans="1:14" x14ac:dyDescent="0.2">
      <c r="A71" s="1981"/>
      <c r="B71" s="1982"/>
      <c r="C71" s="1982"/>
      <c r="D71" s="1982"/>
      <c r="E71" s="1982"/>
      <c r="F71" s="1982"/>
      <c r="G71" s="1982"/>
      <c r="H71" s="1982"/>
      <c r="I71" s="1982"/>
      <c r="J71" s="1982"/>
      <c r="K71" s="1982"/>
      <c r="L71" s="1982"/>
      <c r="M71" s="1982"/>
      <c r="N71" s="1983"/>
    </row>
    <row r="72" spans="1:14" x14ac:dyDescent="0.2">
      <c r="A72" s="1981"/>
      <c r="B72" s="1982"/>
      <c r="C72" s="1982"/>
      <c r="D72" s="1982"/>
      <c r="E72" s="1982"/>
      <c r="F72" s="1982"/>
      <c r="G72" s="1982"/>
      <c r="H72" s="1982"/>
      <c r="I72" s="1982"/>
      <c r="J72" s="1982"/>
      <c r="K72" s="1982"/>
      <c r="L72" s="1982"/>
      <c r="M72" s="1982"/>
      <c r="N72" s="1983"/>
    </row>
    <row r="73" spans="1:14" x14ac:dyDescent="0.2">
      <c r="A73" s="1981"/>
      <c r="B73" s="1982"/>
      <c r="C73" s="1982"/>
      <c r="D73" s="1982"/>
      <c r="E73" s="1982"/>
      <c r="F73" s="1982"/>
      <c r="G73" s="1982"/>
      <c r="H73" s="1982"/>
      <c r="I73" s="1982"/>
      <c r="J73" s="1982"/>
      <c r="K73" s="1982"/>
      <c r="L73" s="1982"/>
      <c r="M73" s="1982"/>
      <c r="N73" s="1983"/>
    </row>
    <row r="74" spans="1:14" x14ac:dyDescent="0.2">
      <c r="A74" s="1981"/>
      <c r="B74" s="1982"/>
      <c r="C74" s="1982"/>
      <c r="D74" s="1982"/>
      <c r="E74" s="1982"/>
      <c r="F74" s="1982"/>
      <c r="G74" s="1982"/>
      <c r="H74" s="1982"/>
      <c r="I74" s="1982"/>
      <c r="J74" s="1982"/>
      <c r="K74" s="1982"/>
      <c r="L74" s="1982"/>
      <c r="M74" s="1982"/>
      <c r="N74" s="1983"/>
    </row>
    <row r="75" spans="1:14" x14ac:dyDescent="0.2">
      <c r="A75" s="1981"/>
      <c r="B75" s="1982"/>
      <c r="C75" s="1982"/>
      <c r="D75" s="1982"/>
      <c r="E75" s="1982"/>
      <c r="F75" s="1982"/>
      <c r="G75" s="1982"/>
      <c r="H75" s="1982"/>
      <c r="I75" s="1982"/>
      <c r="J75" s="1982"/>
      <c r="K75" s="1982"/>
      <c r="L75" s="1982"/>
      <c r="M75" s="1982"/>
      <c r="N75" s="1983"/>
    </row>
    <row r="76" spans="1:14" x14ac:dyDescent="0.2">
      <c r="A76" s="1981"/>
      <c r="B76" s="1982"/>
      <c r="C76" s="1982"/>
      <c r="D76" s="1982"/>
      <c r="E76" s="1982"/>
      <c r="F76" s="1982"/>
      <c r="G76" s="1982"/>
      <c r="H76" s="1982"/>
      <c r="I76" s="1982"/>
      <c r="J76" s="1982"/>
      <c r="K76" s="1982"/>
      <c r="L76" s="1982"/>
      <c r="M76" s="1982"/>
      <c r="N76" s="1983"/>
    </row>
    <row r="77" spans="1:14" x14ac:dyDescent="0.2">
      <c r="A77" s="1981"/>
      <c r="B77" s="1982"/>
      <c r="C77" s="1982"/>
      <c r="D77" s="1982"/>
      <c r="E77" s="1982"/>
      <c r="F77" s="1982"/>
      <c r="G77" s="1982"/>
      <c r="H77" s="1982"/>
      <c r="I77" s="1982"/>
      <c r="J77" s="1982"/>
      <c r="K77" s="1982"/>
      <c r="L77" s="1982"/>
      <c r="M77" s="1982"/>
      <c r="N77" s="1983"/>
    </row>
    <row r="78" spans="1:14" x14ac:dyDescent="0.2">
      <c r="A78" s="1981"/>
      <c r="B78" s="1982"/>
      <c r="C78" s="1982"/>
      <c r="D78" s="1982"/>
      <c r="E78" s="1982"/>
      <c r="F78" s="1982"/>
      <c r="G78" s="1982"/>
      <c r="H78" s="1982"/>
      <c r="I78" s="1982"/>
      <c r="J78" s="1982"/>
      <c r="K78" s="1982"/>
      <c r="L78" s="1982"/>
      <c r="M78" s="1982"/>
      <c r="N78" s="1983"/>
    </row>
    <row r="79" spans="1:14" x14ac:dyDescent="0.2">
      <c r="A79" s="1981"/>
      <c r="B79" s="1982"/>
      <c r="C79" s="1982"/>
      <c r="D79" s="1982"/>
      <c r="E79" s="1982"/>
      <c r="F79" s="1982"/>
      <c r="G79" s="1982"/>
      <c r="H79" s="1982"/>
      <c r="I79" s="1982"/>
      <c r="J79" s="1982"/>
      <c r="K79" s="1982"/>
      <c r="L79" s="1982"/>
      <c r="M79" s="1982"/>
      <c r="N79" s="1983"/>
    </row>
    <row r="80" spans="1:14" x14ac:dyDescent="0.2">
      <c r="A80" s="1981"/>
      <c r="B80" s="1982"/>
      <c r="C80" s="1982"/>
      <c r="D80" s="1982"/>
      <c r="E80" s="1982"/>
      <c r="F80" s="1982"/>
      <c r="G80" s="1982"/>
      <c r="H80" s="1982"/>
      <c r="I80" s="1982"/>
      <c r="J80" s="1982"/>
      <c r="K80" s="1982"/>
      <c r="L80" s="1982"/>
      <c r="M80" s="1982"/>
      <c r="N80" s="1983"/>
    </row>
    <row r="81" spans="1:14" x14ac:dyDescent="0.2">
      <c r="A81" s="1981"/>
      <c r="B81" s="1982"/>
      <c r="C81" s="1982"/>
      <c r="D81" s="1982"/>
      <c r="E81" s="1982"/>
      <c r="F81" s="1982"/>
      <c r="G81" s="1982"/>
      <c r="H81" s="1982"/>
      <c r="I81" s="1982"/>
      <c r="J81" s="1982"/>
      <c r="K81" s="1982"/>
      <c r="L81" s="1982"/>
      <c r="M81" s="1982"/>
      <c r="N81" s="1983"/>
    </row>
    <row r="82" spans="1:14" x14ac:dyDescent="0.2">
      <c r="A82" s="1981"/>
      <c r="B82" s="1982"/>
      <c r="C82" s="1982"/>
      <c r="D82" s="1982"/>
      <c r="E82" s="1982"/>
      <c r="F82" s="1982"/>
      <c r="G82" s="1982"/>
      <c r="H82" s="1982"/>
      <c r="I82" s="1982"/>
      <c r="J82" s="1982"/>
      <c r="K82" s="1982"/>
      <c r="L82" s="1982"/>
      <c r="M82" s="1982"/>
      <c r="N82" s="1983"/>
    </row>
    <row r="83" spans="1:14" ht="13.5" thickBot="1" x14ac:dyDescent="0.25">
      <c r="A83" s="1984"/>
      <c r="B83" s="1985"/>
      <c r="C83" s="1985"/>
      <c r="D83" s="1985"/>
      <c r="E83" s="1985"/>
      <c r="F83" s="1985"/>
      <c r="G83" s="1985"/>
      <c r="H83" s="1985"/>
      <c r="I83" s="1985"/>
      <c r="J83" s="1985"/>
      <c r="K83" s="1985"/>
      <c r="L83" s="1985"/>
      <c r="M83" s="1985"/>
      <c r="N83" s="1986"/>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59999389629810485"/>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1822</v>
      </c>
      <c r="C4" s="157" t="s">
        <v>1159</v>
      </c>
      <c r="D4" s="164" t="s">
        <v>10</v>
      </c>
      <c r="E4" s="165" t="s">
        <v>22</v>
      </c>
    </row>
    <row r="5" spans="1:5" x14ac:dyDescent="0.2">
      <c r="A5" s="163" t="s">
        <v>1824</v>
      </c>
      <c r="C5" s="157" t="s">
        <v>1159</v>
      </c>
      <c r="D5" s="164" t="s">
        <v>10</v>
      </c>
      <c r="E5" s="165" t="s">
        <v>22</v>
      </c>
    </row>
    <row r="6" spans="1:5" x14ac:dyDescent="0.2">
      <c r="A6" s="163" t="s">
        <v>1823</v>
      </c>
      <c r="C6" s="157" t="s">
        <v>1159</v>
      </c>
      <c r="D6" s="162" t="s">
        <v>11</v>
      </c>
      <c r="E6" s="165" t="s">
        <v>935</v>
      </c>
    </row>
    <row r="7" spans="1:5" x14ac:dyDescent="0.2">
      <c r="A7" s="163" t="s">
        <v>1825</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1826</v>
      </c>
      <c r="C11" s="157" t="s">
        <v>1159</v>
      </c>
      <c r="D11" s="164" t="s">
        <v>14</v>
      </c>
      <c r="E11" s="165" t="s">
        <v>1146</v>
      </c>
    </row>
    <row r="12" spans="1:5" x14ac:dyDescent="0.2">
      <c r="B12" s="164" t="s">
        <v>1827</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1828</v>
      </c>
      <c r="C15" s="157" t="s">
        <v>1159</v>
      </c>
      <c r="D15" s="164" t="s">
        <v>17</v>
      </c>
      <c r="E15" s="165" t="s">
        <v>631</v>
      </c>
    </row>
    <row r="16" spans="1:5" x14ac:dyDescent="0.2">
      <c r="A16" s="167"/>
      <c r="B16" s="157" t="s">
        <v>1829</v>
      </c>
      <c r="C16" s="157" t="s">
        <v>1159</v>
      </c>
      <c r="D16" s="164" t="s">
        <v>676</v>
      </c>
      <c r="E16" s="165" t="s">
        <v>1033</v>
      </c>
    </row>
    <row r="17" spans="1:5" x14ac:dyDescent="0.2">
      <c r="B17" s="162" t="s">
        <v>981</v>
      </c>
      <c r="C17" s="157" t="s">
        <v>1159</v>
      </c>
    </row>
    <row r="18" spans="1:5" x14ac:dyDescent="0.2">
      <c r="B18" s="162" t="s">
        <v>1835</v>
      </c>
      <c r="D18" s="164" t="s">
        <v>18</v>
      </c>
      <c r="E18" s="165" t="s">
        <v>1034</v>
      </c>
    </row>
    <row r="19" spans="1:5" x14ac:dyDescent="0.2">
      <c r="A19" s="163" t="s">
        <v>1090</v>
      </c>
      <c r="C19" s="157" t="s">
        <v>1159</v>
      </c>
      <c r="D19" s="164"/>
      <c r="E19" s="166"/>
    </row>
    <row r="20" spans="1:5" x14ac:dyDescent="0.2">
      <c r="B20" s="162" t="s">
        <v>1830</v>
      </c>
      <c r="C20" s="157" t="s">
        <v>1159</v>
      </c>
      <c r="D20" s="164" t="s">
        <v>19</v>
      </c>
      <c r="E20" s="165" t="s">
        <v>51</v>
      </c>
    </row>
    <row r="21" spans="1:5" x14ac:dyDescent="0.2">
      <c r="B21" s="162" t="s">
        <v>1831</v>
      </c>
      <c r="C21" s="157" t="s">
        <v>1159</v>
      </c>
      <c r="D21" s="164" t="s">
        <v>20</v>
      </c>
      <c r="E21" s="165" t="s">
        <v>1593</v>
      </c>
    </row>
    <row r="22" spans="1:5" x14ac:dyDescent="0.2">
      <c r="A22" s="163"/>
      <c r="B22" s="157" t="s">
        <v>1819</v>
      </c>
      <c r="C22" s="157" t="s">
        <v>1159</v>
      </c>
      <c r="D22" s="162" t="s">
        <v>1821</v>
      </c>
      <c r="E22" s="1469" t="s">
        <v>1594</v>
      </c>
    </row>
    <row r="23" spans="1:5" x14ac:dyDescent="0.2">
      <c r="A23" s="163"/>
      <c r="B23" s="157" t="s">
        <v>1820</v>
      </c>
      <c r="D23" s="162" t="s">
        <v>632</v>
      </c>
      <c r="E23" s="1469" t="s">
        <v>953</v>
      </c>
    </row>
    <row r="24" spans="1:5" x14ac:dyDescent="0.2">
      <c r="A24" s="163" t="s">
        <v>1592</v>
      </c>
      <c r="C24" s="157" t="s">
        <v>1159</v>
      </c>
      <c r="D24" s="162" t="s">
        <v>1377</v>
      </c>
      <c r="E24" s="165" t="s">
        <v>954</v>
      </c>
    </row>
    <row r="25" spans="1:5" x14ac:dyDescent="0.2">
      <c r="A25" s="163" t="s">
        <v>1832</v>
      </c>
      <c r="C25" s="157" t="s">
        <v>1159</v>
      </c>
      <c r="D25" s="164" t="s">
        <v>21</v>
      </c>
      <c r="E25" s="1469" t="s">
        <v>2040</v>
      </c>
    </row>
    <row r="26" spans="1:5" x14ac:dyDescent="0.2">
      <c r="A26" s="163" t="s">
        <v>1833</v>
      </c>
      <c r="C26" s="157" t="s">
        <v>1159</v>
      </c>
      <c r="D26" s="164" t="s">
        <v>559</v>
      </c>
      <c r="E26" s="1469" t="s">
        <v>678</v>
      </c>
    </row>
    <row r="27" spans="1:5" x14ac:dyDescent="0.2">
      <c r="A27" s="163" t="s">
        <v>1834</v>
      </c>
      <c r="C27" s="157" t="s">
        <v>1159</v>
      </c>
      <c r="D27" s="164" t="s">
        <v>553</v>
      </c>
      <c r="E27" s="1469" t="s">
        <v>1350</v>
      </c>
    </row>
    <row r="28" spans="1:5" x14ac:dyDescent="0.2">
      <c r="A28" s="163" t="s">
        <v>1836</v>
      </c>
      <c r="D28" s="164" t="s">
        <v>679</v>
      </c>
      <c r="E28" s="1469" t="s">
        <v>1359</v>
      </c>
    </row>
    <row r="29" spans="1:5" x14ac:dyDescent="0.2">
      <c r="A29" s="163" t="s">
        <v>1837</v>
      </c>
      <c r="D29" s="164" t="s">
        <v>1378</v>
      </c>
      <c r="E29" s="1469" t="s">
        <v>2041</v>
      </c>
    </row>
    <row r="30" spans="1:5" x14ac:dyDescent="0.2">
      <c r="A30" s="168" t="s">
        <v>1838</v>
      </c>
      <c r="C30" s="157" t="s">
        <v>1159</v>
      </c>
      <c r="D30" s="164" t="s">
        <v>40</v>
      </c>
      <c r="E30" s="165" t="s">
        <v>975</v>
      </c>
    </row>
    <row r="31" spans="1:5" x14ac:dyDescent="0.2">
      <c r="A31" s="163" t="s">
        <v>1504</v>
      </c>
      <c r="C31" s="157" t="s">
        <v>1159</v>
      </c>
      <c r="D31" s="162"/>
      <c r="E31" s="166"/>
    </row>
    <row r="32" spans="1:5" x14ac:dyDescent="0.2">
      <c r="B32" s="162" t="s">
        <v>1839</v>
      </c>
      <c r="C32" s="157" t="s">
        <v>1159</v>
      </c>
      <c r="D32" s="164" t="s">
        <v>1505</v>
      </c>
      <c r="E32" s="165" t="s">
        <v>2042</v>
      </c>
    </row>
    <row r="33" spans="1:5" x14ac:dyDescent="0.2">
      <c r="A33" s="167"/>
      <c r="D33" s="164"/>
      <c r="E33" s="166"/>
    </row>
    <row r="34" spans="1:5" x14ac:dyDescent="0.2">
      <c r="A34" s="167"/>
      <c r="D34" s="164"/>
      <c r="E34" s="166"/>
    </row>
    <row r="35" spans="1:5" ht="15.75" customHeight="1" thickBot="1" x14ac:dyDescent="0.25">
      <c r="A35" s="2246" t="s">
        <v>1056</v>
      </c>
      <c r="B35" s="2246"/>
      <c r="C35" s="2246"/>
      <c r="D35" s="2246"/>
      <c r="E35" s="224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43" t="s">
        <v>686</v>
      </c>
      <c r="B40" s="2243"/>
      <c r="C40" s="2243"/>
      <c r="D40" s="2243"/>
      <c r="E40" s="2243"/>
    </row>
    <row r="41" spans="1:5" x14ac:dyDescent="0.2">
      <c r="A41" s="2244" t="s">
        <v>1591</v>
      </c>
      <c r="B41" s="2244"/>
      <c r="C41" s="2244"/>
      <c r="D41" s="2244"/>
      <c r="E41" s="2244"/>
    </row>
    <row r="42" spans="1:5" ht="12.75" customHeight="1" x14ac:dyDescent="0.2">
      <c r="A42" s="2245" t="s">
        <v>1015</v>
      </c>
      <c r="B42" s="2245"/>
      <c r="C42" s="2245"/>
      <c r="D42" s="2245"/>
      <c r="E42" s="2245"/>
    </row>
    <row r="43" spans="1:5" ht="6.75" customHeight="1" x14ac:dyDescent="0.2">
      <c r="A43" s="162"/>
      <c r="B43" s="171"/>
    </row>
    <row r="44" spans="1:5" x14ac:dyDescent="0.2">
      <c r="A44" s="180" t="s">
        <v>976</v>
      </c>
      <c r="B44" s="181" t="s">
        <v>1862</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5" t="s">
        <v>1749</v>
      </c>
    </row>
    <row r="60" spans="1:3" x14ac:dyDescent="0.2">
      <c r="A60" s="191"/>
      <c r="B60" s="1255" t="s">
        <v>1750</v>
      </c>
    </row>
    <row r="61" spans="1:3" ht="6" customHeight="1" x14ac:dyDescent="0.2">
      <c r="A61" s="192"/>
      <c r="B61" s="184"/>
    </row>
    <row r="62" spans="1:3" x14ac:dyDescent="0.2">
      <c r="A62" s="164" t="s">
        <v>1599</v>
      </c>
      <c r="B62" s="193" t="s">
        <v>1746</v>
      </c>
    </row>
    <row r="63" spans="1:3" x14ac:dyDescent="0.2">
      <c r="A63" s="183"/>
      <c r="B63" s="164" t="s">
        <v>1761</v>
      </c>
    </row>
    <row r="64" spans="1:3" x14ac:dyDescent="0.2">
      <c r="A64" s="190"/>
      <c r="B64" s="1257"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6" t="s">
        <v>1602</v>
      </c>
    </row>
    <row r="72" spans="1:9" ht="9" customHeight="1" x14ac:dyDescent="0.2">
      <c r="A72" s="187"/>
      <c r="B72" s="194"/>
    </row>
    <row r="73" spans="1:9" x14ac:dyDescent="0.2">
      <c r="A73" s="184" t="s">
        <v>1603</v>
      </c>
      <c r="B73" s="164" t="s">
        <v>1757</v>
      </c>
    </row>
    <row r="74" spans="1:9" x14ac:dyDescent="0.2">
      <c r="A74" s="184"/>
      <c r="B74" s="164" t="s">
        <v>1756</v>
      </c>
    </row>
    <row r="75" spans="1:9" ht="8.25" customHeight="1" x14ac:dyDescent="0.2">
      <c r="A75" s="184"/>
      <c r="B75" s="184"/>
    </row>
    <row r="76" spans="1:9" ht="12.2" customHeight="1" x14ac:dyDescent="0.2">
      <c r="A76" s="184" t="s">
        <v>1604</v>
      </c>
      <c r="B76" s="193" t="s">
        <v>1758</v>
      </c>
    </row>
    <row r="77" spans="1:9" ht="12.2" customHeight="1" x14ac:dyDescent="0.2">
      <c r="A77" s="185"/>
      <c r="B77" s="164" t="s">
        <v>1605</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8"/>
  <sheetViews>
    <sheetView showGridLines="0" zoomScale="110" zoomScaleNormal="110" workbookViewId="0">
      <selection activeCell="B16" sqref="B16"/>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27" t="s">
        <v>2085</v>
      </c>
    </row>
    <row r="6" spans="1:2" x14ac:dyDescent="0.2">
      <c r="A6" s="847">
        <v>2</v>
      </c>
      <c r="B6" s="2027" t="s">
        <v>2070</v>
      </c>
    </row>
    <row r="7" spans="1:2" x14ac:dyDescent="0.2">
      <c r="A7" s="847">
        <v>3</v>
      </c>
      <c r="B7" s="2027" t="s">
        <v>2071</v>
      </c>
    </row>
    <row r="8" spans="1:2" x14ac:dyDescent="0.2">
      <c r="A8" s="847">
        <v>4</v>
      </c>
      <c r="B8" s="2027" t="s">
        <v>2072</v>
      </c>
    </row>
    <row r="9" spans="1:2" x14ac:dyDescent="0.2">
      <c r="A9" s="848">
        <v>5</v>
      </c>
      <c r="B9" s="2027" t="s">
        <v>2073</v>
      </c>
    </row>
    <row r="10" spans="1:2" x14ac:dyDescent="0.2">
      <c r="A10" s="848">
        <v>6</v>
      </c>
      <c r="B10" s="2027" t="s">
        <v>2086</v>
      </c>
    </row>
    <row r="11" spans="1:2" x14ac:dyDescent="0.2">
      <c r="A11" s="848">
        <v>7</v>
      </c>
      <c r="B11" s="2027" t="s">
        <v>2074</v>
      </c>
    </row>
    <row r="12" spans="1:2" x14ac:dyDescent="0.2">
      <c r="A12" s="848">
        <v>8</v>
      </c>
      <c r="B12" s="2027" t="s">
        <v>2087</v>
      </c>
    </row>
    <row r="13" spans="1:2" x14ac:dyDescent="0.2">
      <c r="A13" s="848">
        <v>9</v>
      </c>
      <c r="B13" s="2027" t="s">
        <v>2075</v>
      </c>
    </row>
    <row r="14" spans="1:2" x14ac:dyDescent="0.2">
      <c r="A14" s="848"/>
      <c r="B14" s="2028" t="s">
        <v>2201</v>
      </c>
    </row>
    <row r="15" spans="1:2" x14ac:dyDescent="0.2">
      <c r="A15" s="2029">
        <v>10</v>
      </c>
      <c r="B15" s="2027" t="s">
        <v>2076</v>
      </c>
    </row>
    <row r="16" spans="1:2" x14ac:dyDescent="0.2">
      <c r="A16" s="848">
        <v>11</v>
      </c>
      <c r="B16" s="2027" t="s">
        <v>2077</v>
      </c>
    </row>
    <row r="17" spans="1:2" x14ac:dyDescent="0.2">
      <c r="A17" s="848">
        <v>12</v>
      </c>
      <c r="B17" s="2027" t="s">
        <v>2197</v>
      </c>
    </row>
    <row r="18" spans="1:2" x14ac:dyDescent="0.2">
      <c r="A18" s="848">
        <v>13</v>
      </c>
      <c r="B18" s="2027" t="s">
        <v>2200</v>
      </c>
    </row>
    <row r="19" spans="1:2" x14ac:dyDescent="0.2">
      <c r="A19" s="848">
        <v>14</v>
      </c>
      <c r="B19" s="2027" t="s">
        <v>2088</v>
      </c>
    </row>
    <row r="20" spans="1:2" x14ac:dyDescent="0.2">
      <c r="A20" s="848"/>
      <c r="B20" s="2027" t="s">
        <v>2078</v>
      </c>
    </row>
    <row r="21" spans="1:2" x14ac:dyDescent="0.2">
      <c r="A21" s="848">
        <v>15</v>
      </c>
      <c r="B21" s="2027" t="s">
        <v>2079</v>
      </c>
    </row>
    <row r="22" spans="1:2" x14ac:dyDescent="0.2">
      <c r="A22" s="848">
        <v>16</v>
      </c>
      <c r="B22" s="2027" t="s">
        <v>2089</v>
      </c>
    </row>
    <row r="23" spans="1:2" x14ac:dyDescent="0.2">
      <c r="A23" s="848">
        <v>17</v>
      </c>
      <c r="B23" s="2027" t="s">
        <v>2080</v>
      </c>
    </row>
    <row r="24" spans="1:2" x14ac:dyDescent="0.2">
      <c r="A24" s="848">
        <v>18</v>
      </c>
      <c r="B24" s="2027" t="s">
        <v>2084</v>
      </c>
    </row>
    <row r="25" spans="1:2" x14ac:dyDescent="0.2">
      <c r="A25" s="848">
        <v>19</v>
      </c>
      <c r="B25" s="2027" t="s">
        <v>2081</v>
      </c>
    </row>
    <row r="26" spans="1:2" x14ac:dyDescent="0.2">
      <c r="A26" s="848">
        <v>20</v>
      </c>
      <c r="B26" s="2027" t="s">
        <v>2082</v>
      </c>
    </row>
    <row r="27" spans="1:2" x14ac:dyDescent="0.2">
      <c r="A27" s="848">
        <v>21</v>
      </c>
      <c r="B27" s="2027" t="s">
        <v>2083</v>
      </c>
    </row>
    <row r="28" spans="1:2" x14ac:dyDescent="0.2">
      <c r="A28" s="848">
        <v>22</v>
      </c>
      <c r="B28" s="2027" t="s">
        <v>2198</v>
      </c>
    </row>
    <row r="29" spans="1:2" x14ac:dyDescent="0.2">
      <c r="A29" s="848">
        <v>23</v>
      </c>
      <c r="B29" s="2027" t="s">
        <v>2090</v>
      </c>
    </row>
    <row r="30" spans="1:2" x14ac:dyDescent="0.2">
      <c r="A30" s="848">
        <v>24</v>
      </c>
      <c r="B30" s="2027" t="s">
        <v>2068</v>
      </c>
    </row>
    <row r="31" spans="1:2" x14ac:dyDescent="0.2">
      <c r="A31" s="848"/>
      <c r="B31" s="2027" t="s">
        <v>2069</v>
      </c>
    </row>
    <row r="32" spans="1:2" x14ac:dyDescent="0.2">
      <c r="A32" s="848" t="s">
        <v>1159</v>
      </c>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row>
    <row r="70" spans="1:2" x14ac:dyDescent="0.2">
      <c r="A70" s="848"/>
    </row>
    <row r="71" spans="1:2" x14ac:dyDescent="0.2">
      <c r="A71" s="848"/>
    </row>
    <row r="72" spans="1:2" x14ac:dyDescent="0.2">
      <c r="A72" s="848"/>
    </row>
    <row r="73" spans="1:2" x14ac:dyDescent="0.2">
      <c r="A73" s="848"/>
    </row>
    <row r="74" spans="1:2" x14ac:dyDescent="0.2">
      <c r="A74" s="848"/>
    </row>
    <row r="75" spans="1:2" x14ac:dyDescent="0.2">
      <c r="A75" s="848"/>
    </row>
    <row r="76" spans="1:2" x14ac:dyDescent="0.2">
      <c r="A76" s="848"/>
    </row>
    <row r="77" spans="1:2" x14ac:dyDescent="0.2">
      <c r="A77" s="848"/>
      <c r="B77" s="253" t="str">
        <f>COVER!A17</f>
        <v xml:space="preserve">   Danville CCSD 118</v>
      </c>
    </row>
    <row r="78" spans="1:2" x14ac:dyDescent="0.2">
      <c r="B78" s="849">
        <f>COVER!A13</f>
        <v>54092118024</v>
      </c>
    </row>
  </sheetData>
  <phoneticPr fontId="15" type="noConversion"/>
  <pageMargins left="0.2" right="0.2" top="1.17" bottom="0.75" header="0.19" footer="0.16"/>
  <pageSetup scale="9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9" tint="0.59999389629810485"/>
  </sheetPr>
  <dimension ref="A11:F18"/>
  <sheetViews>
    <sheetView showGridLines="0" zoomScale="110" zoomScaleNormal="110" workbookViewId="0">
      <selection activeCell="C10" sqref="C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1965</v>
      </c>
    </row>
    <row r="17" spans="1:2" ht="6" customHeight="1" x14ac:dyDescent="0.2"/>
    <row r="18" spans="1:2" ht="24.75" customHeight="1" x14ac:dyDescent="0.2">
      <c r="A18" s="2561" t="s">
        <v>1665</v>
      </c>
      <c r="B18" s="2561"/>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64" r:id="rId4">
          <objectPr defaultSize="0" r:id="rId5">
            <anchor moveWithCells="1">
              <from>
                <xdr:col>1</xdr:col>
                <xdr:colOff>0</xdr:colOff>
                <xdr:row>1</xdr:row>
                <xdr:rowOff>0</xdr:rowOff>
              </from>
              <to>
                <xdr:col>1</xdr:col>
                <xdr:colOff>771525</xdr:colOff>
                <xdr:row>5</xdr:row>
                <xdr:rowOff>28575</xdr:rowOff>
              </to>
            </anchor>
          </objectPr>
        </oleObject>
      </mc:Choice>
      <mc:Fallback>
        <oleObject progId="Acrobat Document" dvAspect="DVASPECT_ICON" shapeId="45064" r:id="rId4"/>
      </mc:Fallback>
    </mc:AlternateContent>
    <mc:AlternateContent xmlns:mc="http://schemas.openxmlformats.org/markup-compatibility/2006">
      <mc:Choice Requires="x14">
        <oleObject progId="Acrobat Document" dvAspect="DVASPECT_ICON" shapeId="45065" r:id="rId6">
          <objectPr defaultSize="0" r:id="rId7">
            <anchor moveWithCells="1">
              <from>
                <xdr:col>1</xdr:col>
                <xdr:colOff>1095375</xdr:colOff>
                <xdr:row>1</xdr:row>
                <xdr:rowOff>38100</xdr:rowOff>
              </from>
              <to>
                <xdr:col>1</xdr:col>
                <xdr:colOff>1866900</xdr:colOff>
                <xdr:row>5</xdr:row>
                <xdr:rowOff>66675</xdr:rowOff>
              </to>
            </anchor>
          </objectPr>
        </oleObject>
      </mc:Choice>
      <mc:Fallback>
        <oleObject progId="Acrobat Document" dvAspect="DVASPECT_ICON" shapeId="45065" r:id="rId6"/>
      </mc:Fallback>
    </mc:AlternateContent>
    <mc:AlternateContent xmlns:mc="http://schemas.openxmlformats.org/markup-compatibility/2006">
      <mc:Choice Requires="x14">
        <oleObject progId="Acrobat Document" dvAspect="DVASPECT_ICON" shapeId="45066" r:id="rId8">
          <objectPr defaultSize="0" r:id="rId9">
            <anchor moveWithCells="1">
              <from>
                <xdr:col>1</xdr:col>
                <xdr:colOff>2152650</xdr:colOff>
                <xdr:row>1</xdr:row>
                <xdr:rowOff>66675</xdr:rowOff>
              </from>
              <to>
                <xdr:col>1</xdr:col>
                <xdr:colOff>3067050</xdr:colOff>
                <xdr:row>5</xdr:row>
                <xdr:rowOff>152400</xdr:rowOff>
              </to>
            </anchor>
          </objectPr>
        </oleObject>
      </mc:Choice>
      <mc:Fallback>
        <oleObject progId="Acrobat Document" dvAspect="DVASPECT_ICON" shapeId="45066" r:id="rId8"/>
      </mc:Fallback>
    </mc:AlternateContent>
    <mc:AlternateContent xmlns:mc="http://schemas.openxmlformats.org/markup-compatibility/2006">
      <mc:Choice Requires="x14">
        <oleObject progId="Acrobat Document" dvAspect="DVASPECT_ICON" shapeId="45067" r:id="rId10">
          <objectPr defaultSize="0" r:id="rId11">
            <anchor moveWithCells="1">
              <from>
                <xdr:col>1</xdr:col>
                <xdr:colOff>3286125</xdr:colOff>
                <xdr:row>1</xdr:row>
                <xdr:rowOff>57150</xdr:rowOff>
              </from>
              <to>
                <xdr:col>2</xdr:col>
                <xdr:colOff>114300</xdr:colOff>
                <xdr:row>5</xdr:row>
                <xdr:rowOff>133350</xdr:rowOff>
              </to>
            </anchor>
          </objectPr>
        </oleObject>
      </mc:Choice>
      <mc:Fallback>
        <oleObject progId="Acrobat Document" dvAspect="DVASPECT_ICON" shapeId="45067"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6" tint="0.59999389629810485"/>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2" t="s">
        <v>1669</v>
      </c>
      <c r="B1" s="2563"/>
      <c r="C1" s="2563"/>
      <c r="D1" s="2563"/>
      <c r="E1" s="2563"/>
      <c r="F1" s="2564"/>
    </row>
    <row r="2" spans="1:8" ht="45" customHeight="1" x14ac:dyDescent="0.2">
      <c r="A2" s="257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3"/>
      <c r="C2" s="2573"/>
      <c r="D2" s="2573"/>
      <c r="E2" s="2573"/>
      <c r="F2" s="2574"/>
      <c r="G2" s="853"/>
      <c r="H2" s="853"/>
    </row>
    <row r="3" spans="1:8" ht="57" customHeight="1" x14ac:dyDescent="0.2">
      <c r="A3" s="2575" t="s">
        <v>1964</v>
      </c>
      <c r="B3" s="2576"/>
      <c r="C3" s="2576"/>
      <c r="D3" s="2576"/>
      <c r="E3" s="2576"/>
      <c r="F3" s="2577"/>
      <c r="G3" s="853"/>
      <c r="H3" s="853"/>
    </row>
    <row r="4" spans="1:8" ht="14.25" customHeight="1" x14ac:dyDescent="0.2">
      <c r="A4" s="258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2"/>
      <c r="C4" s="2582"/>
      <c r="D4" s="2582"/>
      <c r="E4" s="2582"/>
      <c r="F4" s="2583"/>
      <c r="G4" s="853"/>
      <c r="H4" s="853"/>
    </row>
    <row r="5" spans="1:8" ht="14.25" customHeight="1" x14ac:dyDescent="0.2">
      <c r="A5" s="258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5"/>
      <c r="C5" s="2585"/>
      <c r="D5" s="2585"/>
      <c r="E5" s="2585"/>
      <c r="F5" s="2586"/>
      <c r="G5" s="853"/>
      <c r="H5" s="853"/>
    </row>
    <row r="6" spans="1:8" s="854" customFormat="1" ht="41.25" customHeight="1" x14ac:dyDescent="0.2">
      <c r="A6" s="2578" t="s">
        <v>1670</v>
      </c>
      <c r="B6" s="2579"/>
      <c r="C6" s="2579"/>
      <c r="D6" s="2579"/>
      <c r="E6" s="2579"/>
      <c r="F6" s="2580"/>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2">
        <f>'Acct Summary 7-8'!C8</f>
        <v>60372504</v>
      </c>
      <c r="C8" s="1812">
        <f>'Acct Summary 7-8'!D8</f>
        <v>5302133</v>
      </c>
      <c r="D8" s="1812">
        <f>'Acct Summary 7-8'!F8</f>
        <v>5577682</v>
      </c>
      <c r="E8" s="1812">
        <f>'Acct Summary 7-8'!I8</f>
        <v>210290</v>
      </c>
      <c r="F8" s="1812">
        <f>SUM(B8:E8)</f>
        <v>71462609</v>
      </c>
    </row>
    <row r="9" spans="1:8" s="858" customFormat="1" ht="14.25" customHeight="1" thickBot="1" x14ac:dyDescent="0.25">
      <c r="A9" s="857" t="s">
        <v>1353</v>
      </c>
      <c r="B9" s="1813">
        <f>'Acct Summary 7-8'!C17</f>
        <v>61867807</v>
      </c>
      <c r="C9" s="1813">
        <f>'Acct Summary 7-8'!D17</f>
        <v>5021387</v>
      </c>
      <c r="D9" s="1813">
        <f>'Acct Summary 7-8'!F17</f>
        <v>3277558</v>
      </c>
      <c r="E9" s="1812"/>
      <c r="F9" s="1812">
        <f>SUM(B9:E9)</f>
        <v>70166752</v>
      </c>
    </row>
    <row r="10" spans="1:8" s="858" customFormat="1" ht="14.25" thickTop="1" thickBot="1" x14ac:dyDescent="0.25">
      <c r="A10" s="859" t="s">
        <v>1354</v>
      </c>
      <c r="B10" s="1814">
        <f>(B8-B9)</f>
        <v>-1495303</v>
      </c>
      <c r="C10" s="1814">
        <f>(C8-C9)</f>
        <v>280746</v>
      </c>
      <c r="D10" s="1814">
        <f>(D8-D9)</f>
        <v>2300124</v>
      </c>
      <c r="E10" s="1813">
        <f>(E8-E9)</f>
        <v>210290</v>
      </c>
      <c r="F10" s="1815">
        <f>SUM(F8-F9)</f>
        <v>1295857</v>
      </c>
    </row>
    <row r="11" spans="1:8" s="858" customFormat="1" ht="14.25" thickTop="1" thickBot="1" x14ac:dyDescent="0.25">
      <c r="A11" s="860" t="s">
        <v>1895</v>
      </c>
      <c r="B11" s="1816">
        <f>'Acct Summary 7-8'!C81</f>
        <v>18766268</v>
      </c>
      <c r="C11" s="1816">
        <f>'Acct Summary 7-8'!D81</f>
        <v>3462051</v>
      </c>
      <c r="D11" s="1816">
        <f>'Acct Summary 7-8'!F81</f>
        <v>5274509</v>
      </c>
      <c r="E11" s="1816">
        <f>'Acct Summary 7-8'!I81</f>
        <v>3317316</v>
      </c>
      <c r="F11" s="1817">
        <f>SUM(B11:E11)</f>
        <v>30820144</v>
      </c>
    </row>
    <row r="12" spans="1:8" ht="16.5" customHeight="1" thickTop="1" x14ac:dyDescent="0.2">
      <c r="A12" s="861"/>
      <c r="B12" s="862"/>
      <c r="C12" s="2566" t="str">
        <f>IF(AND(F10&lt;0,F11&gt;=0,ABS(F10*3)&gt;ABS(F11)),A16,IF(AND(F10&lt;0,F11&gt;0,ABS(F10*3)&lt;=ABS(F11)),A17,IF(AND(F10&lt;0,F11&lt;0),A16,IF(F11=0,A19,A18))))</f>
        <v>Balanced - no deficit reduction plan is required.</v>
      </c>
      <c r="D12" s="2567"/>
      <c r="E12" s="2567"/>
      <c r="F12" s="2568"/>
    </row>
    <row r="13" spans="1:8" ht="19.5" customHeight="1" x14ac:dyDescent="0.2">
      <c r="A13" s="863"/>
      <c r="B13" s="864"/>
      <c r="C13" s="2566"/>
      <c r="D13" s="2567"/>
      <c r="E13" s="2567"/>
      <c r="F13" s="2568"/>
      <c r="H13" s="853"/>
    </row>
    <row r="14" spans="1:8" ht="19.5" customHeight="1" x14ac:dyDescent="0.2">
      <c r="A14" s="863"/>
      <c r="B14" s="864"/>
      <c r="C14" s="2566"/>
      <c r="D14" s="2567"/>
      <c r="E14" s="2567"/>
      <c r="F14" s="2568"/>
      <c r="H14" s="853"/>
    </row>
    <row r="15" spans="1:8" ht="17.25" customHeight="1" x14ac:dyDescent="0.2">
      <c r="A15" s="863"/>
      <c r="B15" s="864"/>
      <c r="C15" s="2569"/>
      <c r="D15" s="2570"/>
      <c r="E15" s="2570"/>
      <c r="F15" s="2571"/>
      <c r="H15" s="853"/>
    </row>
    <row r="16" spans="1:8" s="288" customFormat="1" ht="51.75" hidden="1" customHeight="1" x14ac:dyDescent="0.2">
      <c r="A16" s="2565" t="s">
        <v>1666</v>
      </c>
      <c r="B16" s="2565"/>
      <c r="C16" s="2565"/>
      <c r="D16" s="2565"/>
      <c r="E16" s="2565"/>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4" colorId="8" zoomScale="110" zoomScaleNormal="11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587" t="s">
        <v>660</v>
      </c>
      <c r="B3" s="2588"/>
      <c r="C3" s="2588"/>
      <c r="D3" s="2589"/>
    </row>
    <row r="4" spans="1:4" x14ac:dyDescent="0.2">
      <c r="A4" s="931" t="s">
        <v>1671</v>
      </c>
      <c r="B4" s="932"/>
      <c r="C4" s="933"/>
      <c r="D4" s="934"/>
    </row>
    <row r="5" spans="1:4" ht="21" customHeight="1" x14ac:dyDescent="0.2">
      <c r="A5" s="927"/>
      <c r="B5" s="928">
        <v>1</v>
      </c>
      <c r="C5" s="929" t="s">
        <v>1966</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98" t="s">
        <v>1487</v>
      </c>
      <c r="D7" s="2599"/>
    </row>
    <row r="8" spans="1:4" s="542" customFormat="1" ht="12.75" x14ac:dyDescent="0.2">
      <c r="A8" s="917"/>
      <c r="B8" s="872"/>
      <c r="C8" s="875" t="s">
        <v>1486</v>
      </c>
      <c r="D8" s="876"/>
    </row>
    <row r="9" spans="1:4" s="542" customFormat="1" ht="14.25" customHeight="1" x14ac:dyDescent="0.2">
      <c r="A9" s="917"/>
      <c r="B9" s="872">
        <f>B7+1</f>
        <v>4</v>
      </c>
      <c r="C9" s="873" t="s">
        <v>1871</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90" t="s">
        <v>1001</v>
      </c>
      <c r="B15" s="2591"/>
      <c r="C15" s="2591"/>
      <c r="D15" s="2592"/>
    </row>
    <row r="16" spans="1:4" s="542" customFormat="1" ht="24" customHeight="1" x14ac:dyDescent="0.2">
      <c r="A16" s="2593" t="s">
        <v>658</v>
      </c>
      <c r="B16" s="2594"/>
      <c r="C16" s="2594"/>
      <c r="D16" s="2595"/>
    </row>
    <row r="17" spans="1:10" s="542" customFormat="1" ht="12.75" customHeight="1" x14ac:dyDescent="0.2">
      <c r="A17" s="935" t="s">
        <v>1672</v>
      </c>
      <c r="B17" s="936"/>
      <c r="C17" s="937"/>
      <c r="D17" s="938"/>
    </row>
    <row r="18" spans="1:10" s="542" customFormat="1" ht="12.75" customHeight="1" x14ac:dyDescent="0.2">
      <c r="A18" s="939" t="s">
        <v>1967</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602" t="s">
        <v>311</v>
      </c>
      <c r="D21" s="2603"/>
    </row>
    <row r="22" spans="1:10" ht="12.75" x14ac:dyDescent="0.2">
      <c r="A22" s="918"/>
      <c r="B22" s="919">
        <v>2</v>
      </c>
      <c r="C22" s="2600" t="s">
        <v>1507</v>
      </c>
      <c r="D22" s="2601"/>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604" t="s">
        <v>533</v>
      </c>
      <c r="D43" s="2605"/>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96" t="s">
        <v>779</v>
      </c>
      <c r="D56" s="2597"/>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1872</v>
      </c>
      <c r="D66" s="904"/>
    </row>
    <row r="67" spans="1:4" x14ac:dyDescent="0.2">
      <c r="A67" s="898"/>
      <c r="B67" s="919"/>
      <c r="C67" s="926" t="s">
        <v>1014</v>
      </c>
      <c r="D67" s="904"/>
    </row>
    <row r="68" spans="1:4" x14ac:dyDescent="0.2">
      <c r="A68" s="879"/>
      <c r="B68" s="889"/>
      <c r="C68" s="881" t="s">
        <v>1873</v>
      </c>
      <c r="D68" s="903" t="str">
        <f>IF('Short-Term Long-Term Debt 24'!F49=SUM(,'Acct Summary 7-8'!C33:K33),"OK","ERROR!")</f>
        <v>ERROR!</v>
      </c>
    </row>
    <row r="69" spans="1:4" x14ac:dyDescent="0.2">
      <c r="A69" s="879"/>
      <c r="B69" s="889"/>
      <c r="C69" s="881" t="s">
        <v>1874</v>
      </c>
      <c r="D69" s="903" t="str">
        <f>IF('Expenditures 15-22'!H170&lt;&gt;'Short-Term Long-Term Debt 24'!H49,"ERROR!","OK")</f>
        <v>OK</v>
      </c>
    </row>
    <row r="70" spans="1:4" x14ac:dyDescent="0.2">
      <c r="A70" s="877"/>
      <c r="B70" s="899">
        <f>B66+1</f>
        <v>9</v>
      </c>
      <c r="C70" s="2596" t="s">
        <v>1674</v>
      </c>
      <c r="D70" s="2597"/>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1875</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1980</v>
      </c>
      <c r="D78" s="903" t="str">
        <f>IF(ISNUMBER('Acct Summary 7-8'!C9),"OK","ENTRY IS REQUIRED!")</f>
        <v>OK</v>
      </c>
    </row>
    <row r="79" spans="1:4" x14ac:dyDescent="0.2">
      <c r="A79" s="898"/>
      <c r="B79" s="899">
        <f>B74+1+1</f>
        <v>12</v>
      </c>
      <c r="C79" s="909" t="s">
        <v>1863</v>
      </c>
      <c r="D79" s="910" t="str">
        <f>IF(OR(COVER!$B$6="X",'PCTC-OEPP 27-28'!F79&gt;0),"OK","PLEASE ENTER 9 MO ADA.")</f>
        <v>OK</v>
      </c>
    </row>
    <row r="80" spans="1:4" x14ac:dyDescent="0.2">
      <c r="A80" s="877"/>
      <c r="B80" s="899">
        <v>13</v>
      </c>
      <c r="C80" s="909" t="s">
        <v>1968</v>
      </c>
      <c r="D80" s="910" t="str">
        <f>IF(OR(COVER!$B$6="X",ISNUMBER('PCTC-OEPP 27-28'!F172)),"OK","PLEASE ENTER AMOUNT or 0.")</f>
        <v>OK</v>
      </c>
    </row>
    <row r="81" spans="1:4" x14ac:dyDescent="0.2">
      <c r="A81" s="877"/>
      <c r="B81" s="899">
        <v>14</v>
      </c>
      <c r="C81" s="909" t="s">
        <v>1969</v>
      </c>
      <c r="D81" s="910" t="str">
        <f>IF(OR(COVER!$B$6="X",ISNUMBER('PCTC-OEPP 27-28'!F173)),"OK","PLEASE ENTER AMOUNT or 0.")</f>
        <v>OK</v>
      </c>
    </row>
    <row r="82" spans="1:4" ht="22.5" x14ac:dyDescent="0.2">
      <c r="A82" s="877"/>
      <c r="B82" s="899">
        <v>15</v>
      </c>
      <c r="C82" s="909" t="s">
        <v>1876</v>
      </c>
      <c r="D82" s="1894" t="str">
        <f>IF('Contracts Paid in CY 29'!$D$146&gt;0,"OK","PLEASE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tabColor rgb="FFFF0000"/>
  </sheetPr>
  <dimension ref="A1:G7893"/>
  <sheetViews>
    <sheetView zoomScaleNormal="100" workbookViewId="0">
      <pane ySplit="1" topLeftCell="A26" activePane="bottomLeft" state="frozen"/>
      <selection activeCell="W22" sqref="W22"/>
      <selection pane="bottomLeft" activeCell="F59" sqref="F59"/>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1959</v>
      </c>
      <c r="F1" s="1542" t="s">
        <v>1960</v>
      </c>
      <c r="G1" s="1893" t="s">
        <v>1970</v>
      </c>
    </row>
    <row r="2" spans="1:7" ht="15.75" x14ac:dyDescent="0.25">
      <c r="A2" t="s">
        <v>260</v>
      </c>
      <c r="B2" s="135">
        <f>COVER!A13</f>
        <v>54092118024</v>
      </c>
      <c r="E2" s="1541">
        <v>2020</v>
      </c>
      <c r="F2" s="1541">
        <v>1</v>
      </c>
      <c r="G2" s="1892">
        <v>101000300</v>
      </c>
    </row>
    <row r="3" spans="1:7" ht="15" x14ac:dyDescent="0.25">
      <c r="A3" t="s">
        <v>950</v>
      </c>
      <c r="B3" s="135" t="str">
        <f>COVER!A15</f>
        <v>Vermilion</v>
      </c>
      <c r="E3" s="1829" t="s">
        <v>1963</v>
      </c>
      <c r="F3" s="1829" t="s">
        <v>1962</v>
      </c>
      <c r="G3" s="1892">
        <v>101000400</v>
      </c>
    </row>
    <row r="4" spans="1:7" ht="15" x14ac:dyDescent="0.25">
      <c r="A4" t="s">
        <v>1000</v>
      </c>
      <c r="B4" s="135" t="str">
        <f>COVER!A17</f>
        <v xml:space="preserve">   Danville CCSD 118</v>
      </c>
      <c r="E4" s="1827">
        <v>44119</v>
      </c>
      <c r="F4" s="1828">
        <v>44151</v>
      </c>
      <c r="G4" s="1892">
        <v>101000600</v>
      </c>
    </row>
    <row r="5" spans="1:7" ht="15" x14ac:dyDescent="0.25">
      <c r="A5" t="s">
        <v>699</v>
      </c>
      <c r="B5" s="135" t="str">
        <f>COVER!A38</f>
        <v>Dr. Alicia Geddis</v>
      </c>
      <c r="G5" s="1892">
        <v>101000800</v>
      </c>
    </row>
    <row r="6" spans="1:7" ht="15" x14ac:dyDescent="0.25">
      <c r="A6" t="s">
        <v>704</v>
      </c>
      <c r="B6" s="135">
        <f>COVER!P35</f>
        <v>0</v>
      </c>
      <c r="G6" s="1892">
        <v>102100300</v>
      </c>
    </row>
    <row r="7" spans="1:7" ht="15" x14ac:dyDescent="0.25">
      <c r="A7" t="s">
        <v>700</v>
      </c>
      <c r="B7" s="135">
        <f>COVER!I38</f>
        <v>0</v>
      </c>
      <c r="G7" s="1892">
        <v>102100400</v>
      </c>
    </row>
    <row r="8" spans="1:7" ht="15" x14ac:dyDescent="0.25">
      <c r="A8" t="s">
        <v>701</v>
      </c>
      <c r="B8" s="135">
        <f>COVER!T38</f>
        <v>0</v>
      </c>
      <c r="G8" s="1892">
        <v>102100600</v>
      </c>
    </row>
    <row r="9" spans="1:7" ht="15" x14ac:dyDescent="0.25">
      <c r="A9" s="3" t="s">
        <v>951</v>
      </c>
      <c r="B9" s="153" t="str">
        <f>AUDITCHECK!D23</f>
        <v xml:space="preserve">ACCRUAL </v>
      </c>
      <c r="G9" s="1892">
        <v>102100800</v>
      </c>
    </row>
    <row r="10" spans="1:7" ht="15" x14ac:dyDescent="0.25">
      <c r="A10" t="s">
        <v>970</v>
      </c>
      <c r="B10" s="135" t="str">
        <f>COVER!B5</f>
        <v>x</v>
      </c>
      <c r="G10" s="1892">
        <v>202100300</v>
      </c>
    </row>
    <row r="11" spans="1:7" ht="15" x14ac:dyDescent="0.25">
      <c r="A11" t="s">
        <v>971</v>
      </c>
      <c r="B11" s="135">
        <f>COVER!B6</f>
        <v>0</v>
      </c>
      <c r="G11" s="1892">
        <v>202100400</v>
      </c>
    </row>
    <row r="12" spans="1:7" ht="15" x14ac:dyDescent="0.25">
      <c r="A12" s="1" t="s">
        <v>1526</v>
      </c>
      <c r="B12" s="135" t="str">
        <f>IF(COVER!J29="x","Yes",IF(COVER!L29="X","No",0))</f>
        <v>Yes</v>
      </c>
      <c r="G12" s="1892">
        <v>202100600</v>
      </c>
    </row>
    <row r="13" spans="1:7" ht="15" x14ac:dyDescent="0.25">
      <c r="A13" s="1" t="s">
        <v>1527</v>
      </c>
      <c r="B13" s="135" t="str">
        <f>IF(COVER!J30="x","Yes",IF(COVER!L30="x","No",0))</f>
        <v>Yes</v>
      </c>
      <c r="G13" s="1892">
        <v>202100800</v>
      </c>
    </row>
    <row r="14" spans="1:7" ht="15" x14ac:dyDescent="0.25">
      <c r="A14" t="s">
        <v>473</v>
      </c>
      <c r="B14" s="135" t="str">
        <f>IF(COVER!J31="x","Yes",IF(COVER!L31="x","No",0))</f>
        <v>Yes</v>
      </c>
      <c r="G14" s="1892">
        <v>402100300</v>
      </c>
    </row>
    <row r="15" spans="1:7" ht="15" x14ac:dyDescent="0.25">
      <c r="A15" t="s">
        <v>573</v>
      </c>
      <c r="B15" s="135" t="str">
        <f>COVER!T23</f>
        <v>066-004450</v>
      </c>
      <c r="G15" s="1892">
        <v>402100400</v>
      </c>
    </row>
    <row r="16" spans="1:7" ht="15" x14ac:dyDescent="0.25">
      <c r="A16" t="s">
        <v>419</v>
      </c>
      <c r="B16" s="135" t="str">
        <f>COVER!T13</f>
        <v>CliftonLarsonAllen LLP</v>
      </c>
      <c r="G16" s="1892">
        <v>402100600</v>
      </c>
    </row>
    <row r="17" spans="1:7" ht="15" x14ac:dyDescent="0.25">
      <c r="A17" t="s">
        <v>878</v>
      </c>
      <c r="B17" s="135" t="str">
        <f>COVER!T15</f>
        <v>Hope Wheeler</v>
      </c>
      <c r="G17" s="1892">
        <v>402100800</v>
      </c>
    </row>
    <row r="18" spans="1:7" ht="15" x14ac:dyDescent="0.25">
      <c r="A18" t="s">
        <v>1140</v>
      </c>
      <c r="B18" s="135" t="str">
        <f>COVER!T17</f>
        <v>2 East Main Street, Suite 120</v>
      </c>
      <c r="G18" s="1892">
        <v>102200300</v>
      </c>
    </row>
    <row r="19" spans="1:7" ht="15" x14ac:dyDescent="0.25">
      <c r="A19" t="s">
        <v>880</v>
      </c>
      <c r="B19" s="135" t="str">
        <f>COVER!T25</f>
        <v>hope.wheeler@claconnect.com</v>
      </c>
      <c r="G19" s="1892">
        <v>102200400</v>
      </c>
    </row>
    <row r="20" spans="1:7" ht="15" x14ac:dyDescent="0.25">
      <c r="A20" t="s">
        <v>881</v>
      </c>
      <c r="B20" s="135" t="str">
        <f>COVER!T19</f>
        <v>Danville</v>
      </c>
      <c r="G20" s="1892">
        <v>102200600</v>
      </c>
    </row>
    <row r="21" spans="1:7" ht="15" x14ac:dyDescent="0.25">
      <c r="A21" t="s">
        <v>476</v>
      </c>
      <c r="B21" s="135" t="str">
        <f>COVER!X19</f>
        <v>IL</v>
      </c>
      <c r="G21" s="1892">
        <v>102200800</v>
      </c>
    </row>
    <row r="22" spans="1:7" ht="15" x14ac:dyDescent="0.25">
      <c r="A22" t="s">
        <v>882</v>
      </c>
      <c r="B22" s="135">
        <f>COVER!Z19</f>
        <v>61832</v>
      </c>
      <c r="G22" s="1892">
        <v>102300300</v>
      </c>
    </row>
    <row r="23" spans="1:7" ht="15" x14ac:dyDescent="0.25">
      <c r="A23" t="s">
        <v>1142</v>
      </c>
      <c r="B23" s="135" t="str">
        <f>COVER!T21</f>
        <v>217-442-1643</v>
      </c>
      <c r="G23" s="1892">
        <v>102300400</v>
      </c>
    </row>
    <row r="24" spans="1:7" ht="15" x14ac:dyDescent="0.25">
      <c r="A24" t="s">
        <v>1141</v>
      </c>
      <c r="B24" s="135">
        <f>COVER!Y21</f>
        <v>0</v>
      </c>
      <c r="G24" s="1892">
        <v>102300600</v>
      </c>
    </row>
    <row r="25" spans="1:7" ht="15" x14ac:dyDescent="0.25">
      <c r="A25" t="s">
        <v>756</v>
      </c>
      <c r="B25" s="135">
        <f>COVER!B34</f>
        <v>0</v>
      </c>
      <c r="G25" s="1892">
        <v>102300800</v>
      </c>
    </row>
    <row r="26" spans="1:7" ht="15" x14ac:dyDescent="0.25">
      <c r="A26" t="s">
        <v>1143</v>
      </c>
      <c r="B26" s="135">
        <f>COVER!L34</f>
        <v>0</v>
      </c>
      <c r="G26" s="1892">
        <v>802300300</v>
      </c>
    </row>
    <row r="27" spans="1:7" ht="15" x14ac:dyDescent="0.25">
      <c r="A27" t="s">
        <v>266</v>
      </c>
      <c r="B27" s="135">
        <f>COVER!U34</f>
        <v>0</v>
      </c>
      <c r="G27" s="1892">
        <v>802300400</v>
      </c>
    </row>
    <row r="28" spans="1:7" ht="15" x14ac:dyDescent="0.25">
      <c r="A28" t="s">
        <v>313</v>
      </c>
      <c r="B28" s="135" t="str">
        <f>IF('Aud Quest 2'!B9="x","Yes",IF('Aud Quest 2'!B9&lt;&gt;"x","0"))</f>
        <v>0</v>
      </c>
      <c r="G28" s="1892">
        <v>802300600</v>
      </c>
    </row>
    <row r="29" spans="1:7" ht="15" x14ac:dyDescent="0.25">
      <c r="A29" t="s">
        <v>314</v>
      </c>
      <c r="B29" s="135" t="str">
        <f>IF('Aud Quest 2'!B11="x","Yes",IF('Aud Quest 2'!B11&lt;&gt;"x","0"))</f>
        <v>0</v>
      </c>
      <c r="G29" s="1892">
        <v>802300800</v>
      </c>
    </row>
    <row r="30" spans="1:7" ht="15" x14ac:dyDescent="0.25">
      <c r="A30" t="s">
        <v>315</v>
      </c>
      <c r="B30" s="135" t="str">
        <f>IF('Aud Quest 2'!B13="x","Yes",IF('Aud Quest 2'!B13&lt;&gt;"x","0"))</f>
        <v>0</v>
      </c>
      <c r="G30" s="1892">
        <v>102400300</v>
      </c>
    </row>
    <row r="31" spans="1:7" ht="15" x14ac:dyDescent="0.25">
      <c r="A31" t="s">
        <v>654</v>
      </c>
      <c r="B31" s="135" t="str">
        <f>IF('Aud Quest 2'!B14="x","Yes",IF('Aud Quest 2'!B14&lt;&gt;"x","0"))</f>
        <v>0</v>
      </c>
      <c r="G31" s="1892">
        <v>102400400</v>
      </c>
    </row>
    <row r="32" spans="1:7" ht="15" x14ac:dyDescent="0.25">
      <c r="A32" t="s">
        <v>653</v>
      </c>
      <c r="B32" s="135" t="str">
        <f>IF('Aud Quest 2'!B15="x","Yes",IF('Aud Quest 2'!B15&lt;&gt;"x","0"))</f>
        <v>0</v>
      </c>
      <c r="G32" s="1892">
        <v>102400600</v>
      </c>
    </row>
    <row r="33" spans="1:7" ht="15" x14ac:dyDescent="0.25">
      <c r="A33" t="s">
        <v>655</v>
      </c>
      <c r="B33" s="135" t="str">
        <f>IF('Aud Quest 2'!B16="x","Yes",IF('Aud Quest 2'!B16&lt;&gt;"x","0"))</f>
        <v>0</v>
      </c>
      <c r="G33" s="1892">
        <v>102400800</v>
      </c>
    </row>
    <row r="34" spans="1:7" ht="15" x14ac:dyDescent="0.25">
      <c r="A34" t="s">
        <v>656</v>
      </c>
      <c r="B34" s="135" t="str">
        <f>IF('Aud Quest 2'!B18="x","Yes",IF('Aud Quest 2'!B18&lt;&gt;"x","0"))</f>
        <v>0</v>
      </c>
      <c r="G34" s="1892">
        <v>102510300</v>
      </c>
    </row>
    <row r="35" spans="1:7" ht="15" x14ac:dyDescent="0.25">
      <c r="A35" t="s">
        <v>657</v>
      </c>
      <c r="B35" s="135" t="str">
        <f>IF('Aud Quest 2'!B20="x","Yes",IF('Aud Quest 2'!B20&lt;&gt;"x","0"))</f>
        <v>0</v>
      </c>
      <c r="G35" s="1892">
        <v>102510400</v>
      </c>
    </row>
    <row r="36" spans="1:7" ht="15" x14ac:dyDescent="0.25">
      <c r="A36" t="s">
        <v>651</v>
      </c>
      <c r="B36" s="135" t="str">
        <f>IF('Aud Quest 2'!B22="x","Yes",IF('Aud Quest 2'!B22&lt;&gt;"x","0"))</f>
        <v>0</v>
      </c>
      <c r="G36" s="1892">
        <v>102510600</v>
      </c>
    </row>
    <row r="37" spans="1:7" ht="15" x14ac:dyDescent="0.25">
      <c r="A37" t="s">
        <v>755</v>
      </c>
      <c r="B37" s="135" t="str">
        <f>IF('Aud Quest 2'!B24="x","Yes",IF('Aud Quest 2'!B24&lt;&gt;"x","0"))</f>
        <v>0</v>
      </c>
      <c r="G37" s="1892">
        <v>102510800</v>
      </c>
    </row>
    <row r="38" spans="1:7" ht="15" x14ac:dyDescent="0.25">
      <c r="A38" t="s">
        <v>324</v>
      </c>
      <c r="B38" s="135" t="str">
        <f>IF('Aud Quest 2'!B25="x","Yes",IF('Aud Quest 2'!B25&lt;&gt;"x","0"))</f>
        <v>0</v>
      </c>
      <c r="G38" s="1892">
        <v>202510300</v>
      </c>
    </row>
    <row r="39" spans="1:7" ht="15" x14ac:dyDescent="0.25">
      <c r="A39" t="s">
        <v>325</v>
      </c>
      <c r="B39" s="135" t="str">
        <f>IF('Aud Quest 2'!B27="x","Yes",IF('Aud Quest 2'!B27&lt;&gt;"x","0"))</f>
        <v>0</v>
      </c>
      <c r="G39" s="1892">
        <v>202510400</v>
      </c>
    </row>
    <row r="40" spans="1:7" ht="15" x14ac:dyDescent="0.25">
      <c r="A40" t="s">
        <v>316</v>
      </c>
      <c r="B40" s="135" t="str">
        <f>IF('Aud Quest 2'!B29="x","Yes",IF('Aud Quest 2'!B29&lt;&gt;"x","0"))</f>
        <v>0</v>
      </c>
      <c r="G40" s="1892">
        <v>202510600</v>
      </c>
    </row>
    <row r="41" spans="1:7" ht="15" x14ac:dyDescent="0.25">
      <c r="A41" t="s">
        <v>317</v>
      </c>
      <c r="B41" s="135" t="str">
        <f>IF('Aud Quest 2'!B31="x","Yes",IF('Aud Quest 2'!B31&lt;&gt;"x","0"))</f>
        <v>0</v>
      </c>
      <c r="G41" s="1892">
        <v>202510800</v>
      </c>
    </row>
    <row r="42" spans="1:7" ht="15" x14ac:dyDescent="0.25">
      <c r="A42" t="s">
        <v>318</v>
      </c>
      <c r="B42" s="135" t="str">
        <f>IF('Aud Quest 2'!B37="x","Yes",IF('Aud Quest 2'!B37&lt;&gt;"x","0"))</f>
        <v>0</v>
      </c>
      <c r="G42" s="1892">
        <v>102520300</v>
      </c>
    </row>
    <row r="43" spans="1:7" ht="15" x14ac:dyDescent="0.25">
      <c r="A43" t="s">
        <v>319</v>
      </c>
      <c r="B43" s="135" t="str">
        <f>IF('Aud Quest 2'!B40="x","Yes",IF('Aud Quest 2'!B40&lt;&gt;"x","0"))</f>
        <v>0</v>
      </c>
      <c r="G43" s="1892">
        <v>102520400</v>
      </c>
    </row>
    <row r="44" spans="1:7" ht="15" x14ac:dyDescent="0.25">
      <c r="A44" s="1" t="s">
        <v>320</v>
      </c>
      <c r="B44" s="135" t="str">
        <f>IF('Aud Quest 2'!B42="x","Yes",IF('Aud Quest 2'!B42&lt;&gt;"x","0"))</f>
        <v>0</v>
      </c>
      <c r="G44" s="1892">
        <v>102520600</v>
      </c>
    </row>
    <row r="45" spans="1:7" ht="15" x14ac:dyDescent="0.25">
      <c r="A45" t="s">
        <v>321</v>
      </c>
      <c r="B45" s="135" t="str">
        <f>IF('Aud Quest 2'!B44="x","Yes",IF('Aud Quest 2'!B44&lt;&gt;"x","0"))</f>
        <v>0</v>
      </c>
      <c r="G45" s="1892">
        <v>102520800</v>
      </c>
    </row>
    <row r="46" spans="1:7" ht="15" x14ac:dyDescent="0.25">
      <c r="A46" t="s">
        <v>322</v>
      </c>
      <c r="B46" s="135" t="str">
        <f>IF('Aud Quest 2'!B49="x","Yes",IF('Aud Quest 2'!B49&lt;&gt;"x","0"))</f>
        <v>0</v>
      </c>
      <c r="G46" s="1892">
        <v>102540300</v>
      </c>
    </row>
    <row r="47" spans="1:7" ht="15" x14ac:dyDescent="0.25">
      <c r="A47" t="s">
        <v>323</v>
      </c>
      <c r="B47" s="135" t="str">
        <f>IF('Aud Quest 2'!B50="x","Yes",IF('Aud Quest 2'!B50&lt;&gt;"x","0"))</f>
        <v>Yes</v>
      </c>
      <c r="G47" s="1892">
        <v>102540400</v>
      </c>
    </row>
    <row r="48" spans="1:7" ht="15" x14ac:dyDescent="0.25">
      <c r="A48" t="s">
        <v>480</v>
      </c>
      <c r="B48" s="135" t="str">
        <f>IF('Aud Quest 2'!B51="x","Yes",IF('Aud Quest 2'!B51&lt;&gt;"x","0"))</f>
        <v>0</v>
      </c>
      <c r="G48" s="1892">
        <v>102540600</v>
      </c>
    </row>
    <row r="49" spans="1:7" ht="15" x14ac:dyDescent="0.25">
      <c r="A49" s="1" t="s">
        <v>1464</v>
      </c>
      <c r="B49" s="135" t="str">
        <f>IF('Aud Quest 2'!B53="x","Yes",IF('Aud Quest 2'!B53&lt;&gt;"x","0"))</f>
        <v>0</v>
      </c>
      <c r="G49" s="1892">
        <v>102540800</v>
      </c>
    </row>
    <row r="50" spans="1:7" ht="15" x14ac:dyDescent="0.25">
      <c r="A50" s="1" t="s">
        <v>1463</v>
      </c>
      <c r="B50" s="146">
        <f>'Aud Quest 2'!H53</f>
        <v>0</v>
      </c>
      <c r="G50" s="1892">
        <v>202540300</v>
      </c>
    </row>
    <row r="51" spans="1:7" ht="15" x14ac:dyDescent="0.25">
      <c r="A51" s="1" t="s">
        <v>1465</v>
      </c>
      <c r="B51" s="135" t="str">
        <f>IF('Aud Quest 2'!B54="x","Yes",IF('Aud Quest 2'!B54&lt;&gt;"x","0"))</f>
        <v>0</v>
      </c>
      <c r="G51" s="1892">
        <v>202540400</v>
      </c>
    </row>
    <row r="52" spans="1:7" ht="15" x14ac:dyDescent="0.25">
      <c r="A52" t="s">
        <v>326</v>
      </c>
      <c r="B52" s="135">
        <f>('Aud Quest 2'!D56)</f>
        <v>0</v>
      </c>
      <c r="G52" s="1892">
        <v>202540600</v>
      </c>
    </row>
    <row r="53" spans="1:7" ht="15" x14ac:dyDescent="0.25">
      <c r="A53" s="1" t="s">
        <v>327</v>
      </c>
      <c r="B53" s="135">
        <f>IF('FP Info 3'!B44="X","Yes",0)</f>
        <v>0</v>
      </c>
      <c r="G53" s="1892">
        <v>202540800</v>
      </c>
    </row>
    <row r="54" spans="1:7" ht="15" x14ac:dyDescent="0.25">
      <c r="A54" t="s">
        <v>328</v>
      </c>
      <c r="B54" s="135">
        <f>IF('FP Info 3'!B45="X","Yes",0)</f>
        <v>0</v>
      </c>
      <c r="G54" s="1892">
        <v>902540300</v>
      </c>
    </row>
    <row r="55" spans="1:7" ht="15" x14ac:dyDescent="0.25">
      <c r="A55" t="s">
        <v>329</v>
      </c>
      <c r="B55" s="135">
        <f>IF('FP Info 3'!B46="X","Yes",0)</f>
        <v>0</v>
      </c>
      <c r="G55" s="1892">
        <v>902540400</v>
      </c>
    </row>
    <row r="56" spans="1:7" ht="15" x14ac:dyDescent="0.25">
      <c r="A56" t="s">
        <v>330</v>
      </c>
      <c r="B56" s="135">
        <f>IF('FP Info 3'!B47="X","Yes",0)</f>
        <v>0</v>
      </c>
      <c r="G56" s="1892">
        <v>902540600</v>
      </c>
    </row>
    <row r="57" spans="1:7" ht="15" x14ac:dyDescent="0.25">
      <c r="A57" t="s">
        <v>331</v>
      </c>
      <c r="B57" s="135">
        <f>IF('FP Info 3'!B48="X","Yes",0)</f>
        <v>0</v>
      </c>
      <c r="G57" s="1892">
        <v>902540800</v>
      </c>
    </row>
    <row r="58" spans="1:7" ht="15" x14ac:dyDescent="0.25">
      <c r="A58" t="s">
        <v>332</v>
      </c>
      <c r="B58" s="135">
        <f>IF('FP Info 3'!B49="X","Yes",0)</f>
        <v>0</v>
      </c>
      <c r="G58" s="1892">
        <v>102550300</v>
      </c>
    </row>
    <row r="59" spans="1:7" ht="15" x14ac:dyDescent="0.25">
      <c r="A59" t="s">
        <v>333</v>
      </c>
      <c r="B59" s="135">
        <f>IF('FP Info 3'!B50="X","Yes",0)</f>
        <v>0</v>
      </c>
      <c r="G59" s="1892">
        <v>102550400</v>
      </c>
    </row>
    <row r="60" spans="1:7" ht="15" x14ac:dyDescent="0.25">
      <c r="A60" t="s">
        <v>334</v>
      </c>
      <c r="B60" s="135">
        <f>IF('FP Info 3'!B51="X","Yes",0)</f>
        <v>0</v>
      </c>
      <c r="G60" s="1892">
        <v>102550600</v>
      </c>
    </row>
    <row r="61" spans="1:7" ht="15" x14ac:dyDescent="0.25">
      <c r="A61" t="s">
        <v>335</v>
      </c>
      <c r="B61" s="135">
        <f>('FP Info 3'!A53)</f>
        <v>0</v>
      </c>
      <c r="D61" s="2" t="str">
        <f>IF(ISBLANK(B62),"OK",IF(A62-B62=0,"OK","Error?"))</f>
        <v>OK</v>
      </c>
      <c r="G61" s="1892">
        <v>102550800</v>
      </c>
    </row>
    <row r="62" spans="1:7" ht="15" x14ac:dyDescent="0.25">
      <c r="A62" s="10">
        <v>1</v>
      </c>
      <c r="B62" s="1831"/>
      <c r="D62" s="2" t="str">
        <f>IF(ISBLANK(B62),"OK",IF(A62-B62=0,"OK","Error?"))</f>
        <v>OK</v>
      </c>
      <c r="G62" s="1892">
        <v>202550300</v>
      </c>
    </row>
    <row r="63" spans="1:7" ht="15" x14ac:dyDescent="0.25">
      <c r="A63" s="10">
        <v>2</v>
      </c>
      <c r="B63" s="1831"/>
      <c r="D63" s="2" t="str">
        <f t="shared" ref="D63:D126" si="0">IF(ISBLANK(B63),"OK",IF(A63-B63=0,"OK","Error?"))</f>
        <v>OK</v>
      </c>
      <c r="G63" s="1892">
        <v>202550400</v>
      </c>
    </row>
    <row r="64" spans="1:7" ht="15" x14ac:dyDescent="0.25">
      <c r="A64" s="10">
        <v>3</v>
      </c>
      <c r="B64" s="1831"/>
      <c r="D64" s="2" t="str">
        <f t="shared" si="0"/>
        <v>OK</v>
      </c>
      <c r="G64" s="1892">
        <v>202550600</v>
      </c>
    </row>
    <row r="65" spans="1:7" ht="15" x14ac:dyDescent="0.25">
      <c r="A65" s="5">
        <v>4</v>
      </c>
      <c r="B65" s="1831">
        <f>'Assets-Liab 5-6'!C6</f>
        <v>9428027</v>
      </c>
      <c r="D65" s="2" t="str">
        <f t="shared" si="0"/>
        <v>Error?</v>
      </c>
      <c r="G65" s="1892">
        <v>202550800</v>
      </c>
    </row>
    <row r="66" spans="1:7" ht="15" x14ac:dyDescent="0.25">
      <c r="A66" s="10">
        <v>5</v>
      </c>
      <c r="B66" s="1831"/>
      <c r="D66" s="2" t="str">
        <f t="shared" si="0"/>
        <v>OK</v>
      </c>
      <c r="G66" s="1892">
        <v>402550300</v>
      </c>
    </row>
    <row r="67" spans="1:7" ht="15" x14ac:dyDescent="0.25">
      <c r="A67" s="10">
        <v>6</v>
      </c>
      <c r="B67" s="1831"/>
      <c r="D67" s="2" t="str">
        <f t="shared" si="0"/>
        <v>OK</v>
      </c>
      <c r="G67" s="1892">
        <v>402550400</v>
      </c>
    </row>
    <row r="68" spans="1:7" ht="15" x14ac:dyDescent="0.25">
      <c r="A68" s="10">
        <v>7</v>
      </c>
      <c r="B68" s="1831"/>
      <c r="D68" s="2" t="str">
        <f t="shared" si="0"/>
        <v>OK</v>
      </c>
      <c r="G68" s="1892">
        <v>402550600</v>
      </c>
    </row>
    <row r="69" spans="1:7" ht="15" x14ac:dyDescent="0.25">
      <c r="A69" s="10">
        <v>8</v>
      </c>
      <c r="B69" s="1831"/>
      <c r="D69" s="2" t="str">
        <f t="shared" si="0"/>
        <v>OK</v>
      </c>
      <c r="G69" s="1892">
        <v>402550800</v>
      </c>
    </row>
    <row r="70" spans="1:7" ht="15" x14ac:dyDescent="0.25">
      <c r="A70" s="10">
        <v>9</v>
      </c>
      <c r="B70" s="1831"/>
      <c r="D70" s="2" t="str">
        <f t="shared" si="0"/>
        <v>OK</v>
      </c>
      <c r="G70" s="1892">
        <v>102560300</v>
      </c>
    </row>
    <row r="71" spans="1:7" ht="15" x14ac:dyDescent="0.25">
      <c r="A71" s="10">
        <v>10</v>
      </c>
      <c r="B71" s="1831"/>
      <c r="D71" s="2" t="str">
        <f t="shared" si="0"/>
        <v>OK</v>
      </c>
      <c r="G71" s="1892">
        <v>102560400</v>
      </c>
    </row>
    <row r="72" spans="1:7" ht="15" x14ac:dyDescent="0.25">
      <c r="A72" s="5">
        <v>11</v>
      </c>
      <c r="B72" s="1831">
        <f>'Assets-Liab 5-6'!C10</f>
        <v>222823</v>
      </c>
      <c r="D72" s="2" t="str">
        <f t="shared" si="0"/>
        <v>Error?</v>
      </c>
      <c r="G72" s="1892">
        <v>102560600</v>
      </c>
    </row>
    <row r="73" spans="1:7" ht="15" x14ac:dyDescent="0.25">
      <c r="A73" s="5">
        <v>12</v>
      </c>
      <c r="B73" s="1831">
        <f>'Assets-Liab 5-6'!C5</f>
        <v>19915151</v>
      </c>
      <c r="D73" s="2" t="str">
        <f t="shared" si="0"/>
        <v>Error?</v>
      </c>
      <c r="G73" s="1892">
        <v>102560800</v>
      </c>
    </row>
    <row r="74" spans="1:7" ht="15" x14ac:dyDescent="0.25">
      <c r="A74" s="10">
        <v>13</v>
      </c>
      <c r="B74" s="1831"/>
      <c r="D74" s="2" t="str">
        <f t="shared" si="0"/>
        <v>OK</v>
      </c>
      <c r="G74" s="1892">
        <v>102570300</v>
      </c>
    </row>
    <row r="75" spans="1:7" ht="15" x14ac:dyDescent="0.25">
      <c r="A75" s="10">
        <v>14</v>
      </c>
      <c r="B75" s="1831"/>
      <c r="D75" s="2" t="str">
        <f t="shared" si="0"/>
        <v>OK</v>
      </c>
      <c r="G75" s="1892">
        <v>102570400</v>
      </c>
    </row>
    <row r="76" spans="1:7" ht="15" x14ac:dyDescent="0.25">
      <c r="A76" s="5">
        <v>15</v>
      </c>
      <c r="B76" s="1831">
        <f>'Assets-Liab 5-6'!C12</f>
        <v>0</v>
      </c>
      <c r="D76" s="2" t="str">
        <f t="shared" si="0"/>
        <v>Error?</v>
      </c>
      <c r="G76" s="1892">
        <v>102570600</v>
      </c>
    </row>
    <row r="77" spans="1:7" ht="15" x14ac:dyDescent="0.25">
      <c r="A77" s="5">
        <v>16</v>
      </c>
      <c r="B77" s="1831">
        <f>'Assets-Liab 5-6'!C13</f>
        <v>34224797</v>
      </c>
      <c r="C77" s="2" t="s">
        <v>569</v>
      </c>
      <c r="D77" s="2" t="str">
        <f t="shared" si="0"/>
        <v>Error?</v>
      </c>
      <c r="G77" s="1892">
        <v>102570800</v>
      </c>
    </row>
    <row r="78" spans="1:7" ht="15" x14ac:dyDescent="0.25">
      <c r="A78" s="10">
        <v>17</v>
      </c>
      <c r="B78" s="1831"/>
      <c r="D78" s="2" t="str">
        <f t="shared" si="0"/>
        <v>OK</v>
      </c>
      <c r="G78" s="1892">
        <v>102610300</v>
      </c>
    </row>
    <row r="79" spans="1:7" ht="15" x14ac:dyDescent="0.25">
      <c r="A79" s="10">
        <v>18</v>
      </c>
      <c r="B79" s="1831"/>
      <c r="D79" s="2" t="str">
        <f t="shared" si="0"/>
        <v>OK</v>
      </c>
      <c r="G79" s="1892">
        <v>102610400</v>
      </c>
    </row>
    <row r="80" spans="1:7" ht="15" x14ac:dyDescent="0.25">
      <c r="A80" s="10">
        <v>19</v>
      </c>
      <c r="B80" s="1831"/>
      <c r="D80" s="2" t="str">
        <f t="shared" si="0"/>
        <v>OK</v>
      </c>
      <c r="G80" s="1892">
        <v>102610600</v>
      </c>
    </row>
    <row r="81" spans="1:7" ht="15" x14ac:dyDescent="0.25">
      <c r="A81" s="10">
        <v>20</v>
      </c>
      <c r="B81" s="1831"/>
      <c r="D81" s="2" t="str">
        <f t="shared" si="0"/>
        <v>OK</v>
      </c>
      <c r="G81" s="1892">
        <v>102610800</v>
      </c>
    </row>
    <row r="82" spans="1:7" ht="15" x14ac:dyDescent="0.25">
      <c r="A82" s="10">
        <v>21</v>
      </c>
      <c r="B82" s="1831"/>
      <c r="D82" s="2" t="str">
        <f t="shared" si="0"/>
        <v>OK</v>
      </c>
      <c r="G82" s="1892">
        <v>102620300</v>
      </c>
    </row>
    <row r="83" spans="1:7" ht="15" x14ac:dyDescent="0.25">
      <c r="A83" s="10">
        <v>22</v>
      </c>
      <c r="B83" s="1831"/>
      <c r="D83" s="2" t="str">
        <f t="shared" si="0"/>
        <v>OK</v>
      </c>
      <c r="G83" s="1892">
        <v>102620400</v>
      </c>
    </row>
    <row r="84" spans="1:7" ht="15" x14ac:dyDescent="0.25">
      <c r="A84" s="10">
        <v>23</v>
      </c>
      <c r="B84" s="1831"/>
      <c r="D84" s="2" t="str">
        <f t="shared" si="0"/>
        <v>OK</v>
      </c>
      <c r="G84" s="1892">
        <v>102620600</v>
      </c>
    </row>
    <row r="85" spans="1:7" ht="15" x14ac:dyDescent="0.25">
      <c r="A85" s="10">
        <v>24</v>
      </c>
      <c r="B85" s="1831"/>
      <c r="D85" s="2" t="str">
        <f t="shared" si="0"/>
        <v>OK</v>
      </c>
      <c r="G85" s="1892">
        <v>102620800</v>
      </c>
    </row>
    <row r="86" spans="1:7" ht="15" x14ac:dyDescent="0.25">
      <c r="A86" s="12">
        <v>25</v>
      </c>
      <c r="B86" s="1831">
        <f>'Assets-Liab 5-6'!C31</f>
        <v>0</v>
      </c>
      <c r="D86" s="2" t="str">
        <f t="shared" si="0"/>
        <v>Error?</v>
      </c>
      <c r="G86" s="1892">
        <v>102630300</v>
      </c>
    </row>
    <row r="87" spans="1:7" ht="15" x14ac:dyDescent="0.25">
      <c r="A87" s="10">
        <v>26</v>
      </c>
      <c r="B87" s="1831"/>
      <c r="D87" s="2" t="str">
        <f t="shared" si="0"/>
        <v>OK</v>
      </c>
      <c r="G87" s="1892">
        <v>102630400</v>
      </c>
    </row>
    <row r="88" spans="1:7" ht="15" x14ac:dyDescent="0.25">
      <c r="A88" s="5">
        <v>27</v>
      </c>
      <c r="B88" s="1831">
        <f>'Assets-Liab 5-6'!C32</f>
        <v>9621927</v>
      </c>
      <c r="D88" s="2" t="str">
        <f t="shared" si="0"/>
        <v>Error?</v>
      </c>
      <c r="G88" s="1892">
        <v>102630600</v>
      </c>
    </row>
    <row r="89" spans="1:7" ht="15" x14ac:dyDescent="0.25">
      <c r="A89" s="10">
        <v>28</v>
      </c>
      <c r="B89" s="1831"/>
      <c r="D89" s="2" t="str">
        <f t="shared" si="0"/>
        <v>OK</v>
      </c>
      <c r="G89" s="1892">
        <v>102630800</v>
      </c>
    </row>
    <row r="90" spans="1:7" ht="15" x14ac:dyDescent="0.25">
      <c r="A90" s="10">
        <v>29</v>
      </c>
      <c r="B90" s="1831"/>
      <c r="D90" s="2" t="str">
        <f t="shared" si="0"/>
        <v>OK</v>
      </c>
      <c r="G90" s="1892">
        <v>102640300</v>
      </c>
    </row>
    <row r="91" spans="1:7" ht="15" x14ac:dyDescent="0.25">
      <c r="A91" s="5">
        <v>30</v>
      </c>
      <c r="B91" s="1831">
        <f>'Assets-Liab 5-6'!C34</f>
        <v>15458529</v>
      </c>
      <c r="C91" s="2" t="s">
        <v>569</v>
      </c>
      <c r="D91" s="2" t="str">
        <f t="shared" si="0"/>
        <v>Error?</v>
      </c>
      <c r="G91" s="1892">
        <v>102640400</v>
      </c>
    </row>
    <row r="92" spans="1:7" ht="15" x14ac:dyDescent="0.25">
      <c r="A92" s="5">
        <v>31</v>
      </c>
      <c r="B92" s="1831">
        <f>'Assets-Liab 5-6'!C39</f>
        <v>17302015</v>
      </c>
      <c r="D92" s="2" t="str">
        <f t="shared" si="0"/>
        <v>Error?</v>
      </c>
      <c r="G92" s="1892">
        <v>102640600</v>
      </c>
    </row>
    <row r="93" spans="1:7" ht="15" x14ac:dyDescent="0.25">
      <c r="A93" s="5">
        <v>32</v>
      </c>
      <c r="B93" s="1831">
        <f>'Assets-Liab 5-6'!C41</f>
        <v>34224797</v>
      </c>
      <c r="C93" s="2" t="s">
        <v>569</v>
      </c>
      <c r="D93" s="2" t="str">
        <f t="shared" si="0"/>
        <v>Error?</v>
      </c>
      <c r="G93" s="1892">
        <v>102640800</v>
      </c>
    </row>
    <row r="94" spans="1:7" ht="15" x14ac:dyDescent="0.25">
      <c r="A94" s="10">
        <v>33</v>
      </c>
      <c r="B94" s="1831"/>
      <c r="D94" s="2" t="str">
        <f t="shared" si="0"/>
        <v>OK</v>
      </c>
      <c r="G94" s="1892">
        <v>102660300</v>
      </c>
    </row>
    <row r="95" spans="1:7" ht="15" x14ac:dyDescent="0.25">
      <c r="A95" s="10">
        <v>34</v>
      </c>
      <c r="B95" s="1831"/>
      <c r="D95" s="2" t="str">
        <f t="shared" si="0"/>
        <v>OK</v>
      </c>
      <c r="G95" s="1892">
        <v>102660400</v>
      </c>
    </row>
    <row r="96" spans="1:7" ht="15" x14ac:dyDescent="0.25">
      <c r="A96" s="10">
        <v>35</v>
      </c>
      <c r="B96" s="1831"/>
      <c r="D96" s="2" t="str">
        <f t="shared" si="0"/>
        <v>OK</v>
      </c>
      <c r="G96" s="1892">
        <v>102660600</v>
      </c>
    </row>
    <row r="97" spans="1:7" ht="15" x14ac:dyDescent="0.25">
      <c r="A97" s="5">
        <v>36</v>
      </c>
      <c r="B97" s="1831">
        <f>'Assets-Liab 5-6'!D6</f>
        <v>1677585</v>
      </c>
      <c r="D97" s="2" t="str">
        <f t="shared" si="0"/>
        <v>Error?</v>
      </c>
      <c r="G97" s="1892">
        <v>102660800</v>
      </c>
    </row>
    <row r="98" spans="1:7" ht="15" x14ac:dyDescent="0.25">
      <c r="A98" s="10">
        <v>37</v>
      </c>
      <c r="B98" s="1831"/>
      <c r="D98" s="2" t="str">
        <f t="shared" si="0"/>
        <v>OK</v>
      </c>
      <c r="G98" s="1892">
        <v>102900300</v>
      </c>
    </row>
    <row r="99" spans="1:7" ht="15" x14ac:dyDescent="0.25">
      <c r="A99" s="10">
        <v>38</v>
      </c>
      <c r="B99" s="1831"/>
      <c r="D99" s="2" t="str">
        <f t="shared" si="0"/>
        <v>OK</v>
      </c>
      <c r="G99" s="1892">
        <v>102900400</v>
      </c>
    </row>
    <row r="100" spans="1:7" ht="15" x14ac:dyDescent="0.25">
      <c r="A100" s="10">
        <v>39</v>
      </c>
      <c r="B100" s="1831"/>
      <c r="D100" s="2" t="str">
        <f t="shared" si="0"/>
        <v>OK</v>
      </c>
      <c r="G100" s="1892">
        <v>102900600</v>
      </c>
    </row>
    <row r="101" spans="1:7" ht="15" x14ac:dyDescent="0.25">
      <c r="A101" s="10">
        <v>40</v>
      </c>
      <c r="B101" s="1831"/>
      <c r="D101" s="2" t="str">
        <f t="shared" si="0"/>
        <v>OK</v>
      </c>
      <c r="G101" s="1892">
        <v>102900800</v>
      </c>
    </row>
    <row r="102" spans="1:7" ht="15" x14ac:dyDescent="0.25">
      <c r="A102" s="10">
        <v>41</v>
      </c>
      <c r="B102" s="1831"/>
      <c r="D102" s="2" t="str">
        <f t="shared" si="0"/>
        <v>OK</v>
      </c>
      <c r="G102" s="1892">
        <v>202900300</v>
      </c>
    </row>
    <row r="103" spans="1:7" ht="15" x14ac:dyDescent="0.25">
      <c r="A103" s="10">
        <v>42</v>
      </c>
      <c r="B103" s="1831"/>
      <c r="D103" s="2" t="str">
        <f t="shared" si="0"/>
        <v>OK</v>
      </c>
      <c r="G103" s="1892">
        <v>202900400</v>
      </c>
    </row>
    <row r="104" spans="1:7" ht="15" x14ac:dyDescent="0.25">
      <c r="A104" s="5">
        <v>43</v>
      </c>
      <c r="B104" s="1831">
        <f>'Assets-Liab 5-6'!D10</f>
        <v>0</v>
      </c>
      <c r="D104" s="2" t="str">
        <f t="shared" si="0"/>
        <v>Error?</v>
      </c>
      <c r="G104" s="1892">
        <v>202900600</v>
      </c>
    </row>
    <row r="105" spans="1:7" ht="15" x14ac:dyDescent="0.25">
      <c r="A105" s="5">
        <v>44</v>
      </c>
      <c r="B105" s="1831">
        <f>'Assets-Liab 5-6'!D5</f>
        <v>3539055</v>
      </c>
      <c r="D105" s="2" t="str">
        <f t="shared" si="0"/>
        <v>Error?</v>
      </c>
      <c r="G105" s="1892">
        <v>202900800</v>
      </c>
    </row>
    <row r="106" spans="1:7" ht="15" x14ac:dyDescent="0.25">
      <c r="A106" s="10">
        <v>45</v>
      </c>
      <c r="B106" s="1831"/>
      <c r="D106" s="2" t="str">
        <f t="shared" si="0"/>
        <v>OK</v>
      </c>
      <c r="G106" s="1892">
        <v>402900300</v>
      </c>
    </row>
    <row r="107" spans="1:7" ht="15" x14ac:dyDescent="0.25">
      <c r="A107" s="10">
        <v>46</v>
      </c>
      <c r="B107" s="1831"/>
      <c r="D107" s="2" t="str">
        <f t="shared" si="0"/>
        <v>OK</v>
      </c>
      <c r="G107" s="1892">
        <v>402900400</v>
      </c>
    </row>
    <row r="108" spans="1:7" ht="15" x14ac:dyDescent="0.25">
      <c r="A108" s="5">
        <v>47</v>
      </c>
      <c r="B108" s="1831">
        <f>'Assets-Liab 5-6'!D12</f>
        <v>0</v>
      </c>
      <c r="D108" s="2" t="str">
        <f t="shared" si="0"/>
        <v>Error?</v>
      </c>
      <c r="G108" s="1892">
        <v>402900600</v>
      </c>
    </row>
    <row r="109" spans="1:7" ht="15" x14ac:dyDescent="0.25">
      <c r="A109" s="5">
        <v>48</v>
      </c>
      <c r="B109" s="1831">
        <f>'Assets-Liab 5-6'!D13</f>
        <v>5830136</v>
      </c>
      <c r="C109" s="2" t="s">
        <v>569</v>
      </c>
      <c r="D109" s="2" t="str">
        <f t="shared" si="0"/>
        <v>Error?</v>
      </c>
      <c r="G109" s="1892">
        <v>402900800</v>
      </c>
    </row>
    <row r="110" spans="1:7" ht="15" x14ac:dyDescent="0.25">
      <c r="A110" s="10">
        <v>49</v>
      </c>
      <c r="B110" s="1831"/>
      <c r="D110" s="2" t="str">
        <f t="shared" si="0"/>
        <v>OK</v>
      </c>
      <c r="G110" s="1892">
        <v>602900300</v>
      </c>
    </row>
    <row r="111" spans="1:7" ht="15" x14ac:dyDescent="0.25">
      <c r="A111" s="10">
        <v>50</v>
      </c>
      <c r="B111" s="1831"/>
      <c r="D111" s="2" t="str">
        <f t="shared" si="0"/>
        <v>OK</v>
      </c>
      <c r="G111" s="1892">
        <v>602900400</v>
      </c>
    </row>
    <row r="112" spans="1:7" ht="15" x14ac:dyDescent="0.25">
      <c r="A112" s="10">
        <v>51</v>
      </c>
      <c r="B112" s="1831"/>
      <c r="D112" s="2" t="str">
        <f t="shared" si="0"/>
        <v>OK</v>
      </c>
      <c r="G112" s="1892">
        <v>602900600</v>
      </c>
    </row>
    <row r="113" spans="1:7" ht="15" x14ac:dyDescent="0.25">
      <c r="A113" s="10">
        <v>52</v>
      </c>
      <c r="B113" s="1831"/>
      <c r="D113" s="2" t="str">
        <f t="shared" si="0"/>
        <v>OK</v>
      </c>
      <c r="G113" s="1892">
        <v>602900800</v>
      </c>
    </row>
    <row r="114" spans="1:7" ht="15" x14ac:dyDescent="0.25">
      <c r="A114" s="10">
        <v>53</v>
      </c>
      <c r="B114" s="1831"/>
      <c r="D114" s="2" t="str">
        <f t="shared" si="0"/>
        <v>OK</v>
      </c>
      <c r="G114" s="1892">
        <v>902900300</v>
      </c>
    </row>
    <row r="115" spans="1:7" ht="15" x14ac:dyDescent="0.25">
      <c r="A115" s="10">
        <v>54</v>
      </c>
      <c r="B115" s="1831"/>
      <c r="D115" s="2" t="str">
        <f t="shared" si="0"/>
        <v>OK</v>
      </c>
      <c r="G115" s="1892">
        <v>902900400</v>
      </c>
    </row>
    <row r="116" spans="1:7" ht="15" x14ac:dyDescent="0.25">
      <c r="A116" s="10">
        <v>55</v>
      </c>
      <c r="B116" s="1831"/>
      <c r="D116" s="2" t="str">
        <f t="shared" si="0"/>
        <v>OK</v>
      </c>
      <c r="G116" s="1892">
        <v>902900600</v>
      </c>
    </row>
    <row r="117" spans="1:7" ht="15" x14ac:dyDescent="0.25">
      <c r="A117" s="5">
        <v>56</v>
      </c>
      <c r="B117" s="1831">
        <f>'Assets-Liab 5-6'!D31</f>
        <v>0</v>
      </c>
      <c r="D117" s="2" t="str">
        <f t="shared" si="0"/>
        <v>Error?</v>
      </c>
      <c r="G117" s="1892">
        <v>902900800</v>
      </c>
    </row>
    <row r="118" spans="1:7" ht="15" x14ac:dyDescent="0.25">
      <c r="A118" s="10">
        <v>57</v>
      </c>
      <c r="B118" s="1831"/>
      <c r="D118" s="2" t="str">
        <f t="shared" si="0"/>
        <v>OK</v>
      </c>
      <c r="G118" s="1892">
        <v>103000300</v>
      </c>
    </row>
    <row r="119" spans="1:7" ht="15" x14ac:dyDescent="0.25">
      <c r="A119" s="5">
        <v>58</v>
      </c>
      <c r="B119" s="1831">
        <f>'Assets-Liab 5-6'!D32</f>
        <v>1677585</v>
      </c>
      <c r="D119" s="2" t="str">
        <f t="shared" si="0"/>
        <v>Error?</v>
      </c>
      <c r="G119" s="1892">
        <v>103000400</v>
      </c>
    </row>
    <row r="120" spans="1:7" ht="15" x14ac:dyDescent="0.25">
      <c r="A120" s="10">
        <v>59</v>
      </c>
      <c r="B120" s="1831"/>
      <c r="D120" s="2" t="str">
        <f t="shared" si="0"/>
        <v>OK</v>
      </c>
      <c r="G120" s="1892">
        <v>103000600</v>
      </c>
    </row>
    <row r="121" spans="1:7" ht="15" x14ac:dyDescent="0.25">
      <c r="A121" s="10">
        <v>60</v>
      </c>
      <c r="B121" s="1831"/>
      <c r="D121" s="2" t="str">
        <f t="shared" si="0"/>
        <v>OK</v>
      </c>
      <c r="G121" s="1892">
        <v>103000800</v>
      </c>
    </row>
    <row r="122" spans="1:7" ht="15" x14ac:dyDescent="0.25">
      <c r="A122" s="5">
        <v>61</v>
      </c>
      <c r="B122" s="1831">
        <f>'Assets-Liab 5-6'!D34</f>
        <v>2368085</v>
      </c>
      <c r="C122" s="2" t="s">
        <v>569</v>
      </c>
      <c r="D122" s="2" t="str">
        <f t="shared" si="0"/>
        <v>Error?</v>
      </c>
      <c r="G122" s="1892">
        <v>203000300</v>
      </c>
    </row>
    <row r="123" spans="1:7" ht="15" x14ac:dyDescent="0.25">
      <c r="A123" s="5">
        <v>62</v>
      </c>
      <c r="B123" s="1831">
        <f>'Assets-Liab 5-6'!D39</f>
        <v>3462051</v>
      </c>
      <c r="D123" s="2" t="str">
        <f t="shared" si="0"/>
        <v>Error?</v>
      </c>
      <c r="G123" s="1892">
        <v>203000400</v>
      </c>
    </row>
    <row r="124" spans="1:7" ht="15" x14ac:dyDescent="0.25">
      <c r="A124" s="5">
        <v>63</v>
      </c>
      <c r="B124" s="1831">
        <f>'Assets-Liab 5-6'!D41</f>
        <v>5830136</v>
      </c>
      <c r="C124" s="2" t="s">
        <v>569</v>
      </c>
      <c r="D124" s="2" t="str">
        <f t="shared" si="0"/>
        <v>Error?</v>
      </c>
      <c r="G124" s="1892">
        <v>203000600</v>
      </c>
    </row>
    <row r="125" spans="1:7" ht="15" x14ac:dyDescent="0.25">
      <c r="A125" s="10">
        <v>64</v>
      </c>
      <c r="B125" s="1831"/>
      <c r="D125" s="2" t="str">
        <f t="shared" si="0"/>
        <v>OK</v>
      </c>
      <c r="G125" s="1892">
        <v>203000800</v>
      </c>
    </row>
    <row r="126" spans="1:7" ht="15" x14ac:dyDescent="0.25">
      <c r="A126" s="5">
        <v>65</v>
      </c>
      <c r="B126" s="1831">
        <f>'Assets-Liab 5-6'!E6</f>
        <v>2863100</v>
      </c>
      <c r="D126" s="2" t="str">
        <f t="shared" si="0"/>
        <v>Error?</v>
      </c>
      <c r="G126" s="1892">
        <v>403000300</v>
      </c>
    </row>
    <row r="127" spans="1:7" ht="15" x14ac:dyDescent="0.25">
      <c r="A127" s="10">
        <v>66</v>
      </c>
      <c r="B127" s="1831"/>
      <c r="D127" s="2" t="str">
        <f t="shared" ref="D127:D190" si="1">IF(ISBLANK(B127),"OK",IF(A127-B127=0,"OK","Error?"))</f>
        <v>OK</v>
      </c>
      <c r="G127" s="1892">
        <v>403000400</v>
      </c>
    </row>
    <row r="128" spans="1:7" ht="15" x14ac:dyDescent="0.25">
      <c r="A128" s="10">
        <v>67</v>
      </c>
      <c r="B128" s="1831"/>
      <c r="D128" s="2" t="str">
        <f t="shared" si="1"/>
        <v>OK</v>
      </c>
      <c r="G128" s="1892">
        <v>403000600</v>
      </c>
    </row>
    <row r="129" spans="1:7" ht="15" x14ac:dyDescent="0.25">
      <c r="A129" s="5">
        <v>68</v>
      </c>
      <c r="B129" s="1831">
        <f>'Assets-Liab 5-6'!E5</f>
        <v>3728</v>
      </c>
      <c r="D129" s="2" t="str">
        <f t="shared" si="1"/>
        <v>Error?</v>
      </c>
      <c r="G129" s="1892">
        <v>403000800</v>
      </c>
    </row>
    <row r="130" spans="1:7" x14ac:dyDescent="0.2">
      <c r="A130" s="5">
        <v>69</v>
      </c>
      <c r="B130" s="1831">
        <f>'Assets-Liab 5-6'!E12</f>
        <v>0</v>
      </c>
      <c r="D130" s="2" t="str">
        <f t="shared" si="1"/>
        <v>Error?</v>
      </c>
    </row>
    <row r="131" spans="1:7" x14ac:dyDescent="0.2">
      <c r="A131" s="5">
        <v>70</v>
      </c>
      <c r="B131" s="1831">
        <f>'Assets-Liab 5-6'!E13</f>
        <v>3310556</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2863100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2863100</v>
      </c>
      <c r="C139" s="2" t="s">
        <v>569</v>
      </c>
      <c r="D139" s="2" t="str">
        <f t="shared" si="1"/>
        <v>Error?</v>
      </c>
    </row>
    <row r="140" spans="1:7" x14ac:dyDescent="0.2">
      <c r="A140" s="5">
        <v>79</v>
      </c>
      <c r="B140" s="1831">
        <f>'Assets-Liab 5-6'!E39</f>
        <v>0</v>
      </c>
      <c r="D140" s="2" t="str">
        <f t="shared" si="1"/>
        <v>Error?</v>
      </c>
    </row>
    <row r="141" spans="1:7" x14ac:dyDescent="0.2">
      <c r="A141" s="5">
        <v>80</v>
      </c>
      <c r="B141" s="1831">
        <f>'Assets-Liab 5-6'!E41</f>
        <v>3310556</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671034</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2696932</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5961522</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671034</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687013</v>
      </c>
      <c r="C169" s="2" t="s">
        <v>569</v>
      </c>
      <c r="D169" s="2" t="str">
        <f t="shared" si="1"/>
        <v>Error?</v>
      </c>
    </row>
    <row r="170" spans="1:4" x14ac:dyDescent="0.2">
      <c r="A170" s="5">
        <v>109</v>
      </c>
      <c r="B170" s="1831">
        <f>'Assets-Liab 5-6'!F39</f>
        <v>0</v>
      </c>
      <c r="D170" s="2" t="str">
        <f t="shared" si="1"/>
        <v>Error?</v>
      </c>
    </row>
    <row r="171" spans="1:4" x14ac:dyDescent="0.2">
      <c r="A171" s="5">
        <v>110</v>
      </c>
      <c r="B171" s="1831">
        <f>'Assets-Liab 5-6'!F41</f>
        <v>5961522</v>
      </c>
      <c r="C171" s="2" t="s">
        <v>569</v>
      </c>
      <c r="D171" s="2" t="str">
        <f t="shared" si="1"/>
        <v>Error?</v>
      </c>
    </row>
    <row r="172" spans="1:4" x14ac:dyDescent="0.2">
      <c r="A172" s="10">
        <v>111</v>
      </c>
      <c r="B172" s="1831"/>
      <c r="D172" s="2" t="str">
        <f t="shared" si="1"/>
        <v>OK</v>
      </c>
    </row>
    <row r="173" spans="1:4" x14ac:dyDescent="0.2">
      <c r="A173" s="5">
        <v>112</v>
      </c>
      <c r="B173" s="1831">
        <f>'Assets-Liab 5-6'!G6</f>
        <v>2432914</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2002749</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4476666</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2433035</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2841421</v>
      </c>
      <c r="C188" s="2" t="s">
        <v>569</v>
      </c>
      <c r="D188" s="2" t="str">
        <f t="shared" si="1"/>
        <v>Error?</v>
      </c>
    </row>
    <row r="189" spans="1:4" x14ac:dyDescent="0.2">
      <c r="A189" s="5">
        <v>128</v>
      </c>
      <c r="B189" s="1831">
        <f>'Assets-Liab 5-6'!G39</f>
        <v>0</v>
      </c>
      <c r="D189" s="2" t="str">
        <f t="shared" si="1"/>
        <v>Error?</v>
      </c>
    </row>
    <row r="190" spans="1:4" x14ac:dyDescent="0.2">
      <c r="A190" s="5">
        <v>129</v>
      </c>
      <c r="B190" s="1831">
        <f>'Assets-Liab 5-6'!G41</f>
        <v>4476666</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760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47607</v>
      </c>
      <c r="C211" s="2" t="s">
        <v>569</v>
      </c>
      <c r="D211" s="2" t="str">
        <f t="shared" si="2"/>
        <v>Error?</v>
      </c>
    </row>
    <row r="212" spans="1:4" x14ac:dyDescent="0.2">
      <c r="A212" s="5">
        <v>151</v>
      </c>
      <c r="B212" s="1831">
        <f>'Assets-Liab 5-6'!H39</f>
        <v>-46847</v>
      </c>
      <c r="D212" s="2" t="str">
        <f t="shared" si="2"/>
        <v>Error?</v>
      </c>
    </row>
    <row r="213" spans="1:4" x14ac:dyDescent="0.2">
      <c r="A213" s="12">
        <v>152</v>
      </c>
      <c r="B213" s="1831">
        <f>'Assets-Liab 5-6'!H41</f>
        <v>760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2453383</v>
      </c>
      <c r="D273" s="2" t="str">
        <f t="shared" si="3"/>
        <v>Error?</v>
      </c>
    </row>
    <row r="274" spans="1:4" x14ac:dyDescent="0.2">
      <c r="A274" s="5">
        <v>213</v>
      </c>
      <c r="B274" s="1831">
        <f>'Assets-Liab 5-6'!M17</f>
        <v>47634165</v>
      </c>
      <c r="D274" s="2" t="str">
        <f t="shared" si="3"/>
        <v>Error?</v>
      </c>
    </row>
    <row r="275" spans="1:4" x14ac:dyDescent="0.2">
      <c r="A275" s="5">
        <v>214</v>
      </c>
      <c r="B275" s="1831">
        <f>'Assets-Liab 5-6'!M18</f>
        <v>0</v>
      </c>
      <c r="D275" s="2" t="str">
        <f t="shared" si="3"/>
        <v>Error?</v>
      </c>
    </row>
    <row r="276" spans="1:4" x14ac:dyDescent="0.2">
      <c r="A276" s="5">
        <v>215</v>
      </c>
      <c r="B276" s="1831">
        <f>'Assets-Liab 5-6'!M19</f>
        <v>920808</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51259993</v>
      </c>
      <c r="C279" s="2" t="s">
        <v>569</v>
      </c>
      <c r="D279" s="2" t="str">
        <f t="shared" si="3"/>
        <v>Error?</v>
      </c>
    </row>
    <row r="280" spans="1:4" x14ac:dyDescent="0.2">
      <c r="A280" s="5">
        <v>219</v>
      </c>
      <c r="B280" s="1831">
        <f>'Assets-Liab 5-6'!M40</f>
        <v>51259993</v>
      </c>
      <c r="D280" s="2" t="str">
        <f t="shared" si="3"/>
        <v>Error?</v>
      </c>
    </row>
    <row r="281" spans="1:4" x14ac:dyDescent="0.2">
      <c r="A281" s="5">
        <v>220</v>
      </c>
      <c r="B281" s="1831">
        <f>'Assets-Liab 5-6'!M41</f>
        <v>51259993</v>
      </c>
      <c r="C281" s="2" t="s">
        <v>569</v>
      </c>
      <c r="D281" s="2" t="str">
        <f t="shared" si="3"/>
        <v>Error?</v>
      </c>
    </row>
    <row r="282" spans="1:4" x14ac:dyDescent="0.2">
      <c r="A282" s="5">
        <v>221</v>
      </c>
      <c r="B282" s="1831">
        <f>'Assets-Liab 5-6'!N21</f>
        <v>447456</v>
      </c>
      <c r="D282" s="2" t="str">
        <f t="shared" si="3"/>
        <v>Error?</v>
      </c>
    </row>
    <row r="283" spans="1:4" x14ac:dyDescent="0.2">
      <c r="A283" s="5">
        <v>222</v>
      </c>
      <c r="B283" s="1831">
        <f>'Assets-Liab 5-6'!N22</f>
        <v>29324805</v>
      </c>
      <c r="D283" s="2" t="str">
        <f t="shared" si="3"/>
        <v>Error?</v>
      </c>
    </row>
    <row r="284" spans="1:4" x14ac:dyDescent="0.2">
      <c r="A284" s="5">
        <v>223</v>
      </c>
      <c r="B284" s="1831">
        <f>'Assets-Liab 5-6'!N23</f>
        <v>29772261</v>
      </c>
      <c r="C284" s="2" t="s">
        <v>569</v>
      </c>
      <c r="D284" s="2" t="str">
        <f t="shared" si="3"/>
        <v>Error?</v>
      </c>
    </row>
    <row r="285" spans="1:4" x14ac:dyDescent="0.2">
      <c r="A285" s="5">
        <v>224</v>
      </c>
      <c r="B285" s="1831">
        <f>'Assets-Liab 5-6'!N36</f>
        <v>29772261</v>
      </c>
      <c r="D285" s="2" t="str">
        <f t="shared" si="3"/>
        <v>Error?</v>
      </c>
    </row>
    <row r="286" spans="1:4" x14ac:dyDescent="0.2">
      <c r="A286" s="10">
        <v>225</v>
      </c>
      <c r="B286" s="1831"/>
      <c r="D286" s="2" t="str">
        <f t="shared" si="3"/>
        <v>OK</v>
      </c>
    </row>
    <row r="287" spans="1:4" x14ac:dyDescent="0.2">
      <c r="A287" s="5">
        <v>226</v>
      </c>
      <c r="B287" s="1831">
        <f>'Assets-Liab 5-6'!N37</f>
        <v>29772261</v>
      </c>
      <c r="C287" s="2" t="s">
        <v>569</v>
      </c>
      <c r="D287" s="2" t="str">
        <f t="shared" si="3"/>
        <v>Error?</v>
      </c>
    </row>
    <row r="288" spans="1:4" x14ac:dyDescent="0.2">
      <c r="A288" s="5">
        <v>227</v>
      </c>
      <c r="B288" s="1831">
        <f>'Assets-Liab 5-6'!N41</f>
        <v>29772261</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19826934</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45985</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532868</v>
      </c>
      <c r="D718" s="2" t="str">
        <f t="shared" si="10"/>
        <v>Error?</v>
      </c>
    </row>
    <row r="719" spans="1:4" x14ac:dyDescent="0.2">
      <c r="A719" s="5">
        <v>658</v>
      </c>
      <c r="B719" s="1831">
        <f>'Expenditures 15-22'!C15</f>
        <v>40168</v>
      </c>
      <c r="D719" s="2" t="str">
        <f t="shared" si="10"/>
        <v>Error?</v>
      </c>
    </row>
    <row r="720" spans="1:4" x14ac:dyDescent="0.2">
      <c r="A720" s="5">
        <v>659</v>
      </c>
      <c r="B720" s="1831">
        <f>'Expenditures 15-22'!C33</f>
        <v>27337622</v>
      </c>
      <c r="C720" s="2" t="s">
        <v>569</v>
      </c>
      <c r="D720" s="2" t="str">
        <f t="shared" si="10"/>
        <v>Error?</v>
      </c>
    </row>
    <row r="721" spans="1:4" x14ac:dyDescent="0.2">
      <c r="A721" s="5">
        <v>660</v>
      </c>
      <c r="B721" s="1831">
        <f>'Expenditures 15-22'!C36</f>
        <v>981036</v>
      </c>
      <c r="D721" s="2" t="str">
        <f t="shared" si="10"/>
        <v>Error?</v>
      </c>
    </row>
    <row r="722" spans="1:4" x14ac:dyDescent="0.2">
      <c r="A722" s="5">
        <v>661</v>
      </c>
      <c r="B722" s="1831">
        <f>'Expenditures 15-22'!C37</f>
        <v>482497</v>
      </c>
      <c r="D722" s="2" t="str">
        <f t="shared" si="10"/>
        <v>Error?</v>
      </c>
    </row>
    <row r="723" spans="1:4" x14ac:dyDescent="0.2">
      <c r="A723" s="5">
        <v>662</v>
      </c>
      <c r="B723" s="1831">
        <f>'Expenditures 15-22'!C38</f>
        <v>595108</v>
      </c>
      <c r="D723" s="2" t="str">
        <f t="shared" si="10"/>
        <v>Error?</v>
      </c>
    </row>
    <row r="724" spans="1:4" x14ac:dyDescent="0.2">
      <c r="A724" s="5">
        <v>663</v>
      </c>
      <c r="B724" s="1831">
        <f>'Expenditures 15-22'!C39</f>
        <v>368595</v>
      </c>
      <c r="D724" s="2" t="str">
        <f t="shared" si="10"/>
        <v>Error?</v>
      </c>
    </row>
    <row r="725" spans="1:4" x14ac:dyDescent="0.2">
      <c r="A725" s="5">
        <v>664</v>
      </c>
      <c r="B725" s="1831">
        <f>'Expenditures 15-22'!C40</f>
        <v>632333</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3059569</v>
      </c>
      <c r="C727" s="2" t="s">
        <v>569</v>
      </c>
      <c r="D727" s="2" t="str">
        <f t="shared" si="10"/>
        <v>Error?</v>
      </c>
    </row>
    <row r="728" spans="1:4" x14ac:dyDescent="0.2">
      <c r="A728" s="5">
        <v>667</v>
      </c>
      <c r="B728" s="1831">
        <f>'Expenditures 15-22'!C44</f>
        <v>1180727</v>
      </c>
      <c r="D728" s="2" t="str">
        <f t="shared" si="10"/>
        <v>Error?</v>
      </c>
    </row>
    <row r="729" spans="1:4" x14ac:dyDescent="0.2">
      <c r="A729" s="5">
        <v>668</v>
      </c>
      <c r="B729" s="1831">
        <f>'Expenditures 15-22'!C45</f>
        <v>433205</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1613932</v>
      </c>
      <c r="C731" s="2" t="s">
        <v>569</v>
      </c>
      <c r="D731" s="2" t="str">
        <f t="shared" si="10"/>
        <v>Error?</v>
      </c>
    </row>
    <row r="732" spans="1:4" x14ac:dyDescent="0.2">
      <c r="A732" s="5">
        <v>671</v>
      </c>
      <c r="B732" s="1831">
        <f>'Expenditures 15-22'!C49</f>
        <v>146352</v>
      </c>
      <c r="D732" s="2" t="str">
        <f t="shared" si="10"/>
        <v>Error?</v>
      </c>
    </row>
    <row r="733" spans="1:4" x14ac:dyDescent="0.2">
      <c r="A733" s="5">
        <v>672</v>
      </c>
      <c r="B733" s="1831">
        <f>'Expenditures 15-22'!C50</f>
        <v>318472</v>
      </c>
      <c r="D733" s="2" t="str">
        <f t="shared" si="10"/>
        <v>Error?</v>
      </c>
    </row>
    <row r="734" spans="1:4" x14ac:dyDescent="0.2">
      <c r="A734" s="5">
        <v>673</v>
      </c>
      <c r="B734" s="1831">
        <f>'Expenditures 15-22'!C53</f>
        <v>749997</v>
      </c>
      <c r="C734" s="2" t="s">
        <v>569</v>
      </c>
      <c r="D734" s="2" t="str">
        <f t="shared" si="10"/>
        <v>Error?</v>
      </c>
    </row>
    <row r="735" spans="1:4" x14ac:dyDescent="0.2">
      <c r="A735" s="5">
        <v>674</v>
      </c>
      <c r="B735" s="1831">
        <f>'Expenditures 15-22'!C55</f>
        <v>2666270</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2666270</v>
      </c>
      <c r="C737" s="2" t="s">
        <v>569</v>
      </c>
      <c r="D737" s="2" t="str">
        <f t="shared" si="10"/>
        <v>Error?</v>
      </c>
    </row>
    <row r="738" spans="1:4" x14ac:dyDescent="0.2">
      <c r="A738" s="5">
        <v>677</v>
      </c>
      <c r="B738" s="1831">
        <f>'Expenditures 15-22'!C59</f>
        <v>64958</v>
      </c>
      <c r="D738" s="2" t="str">
        <f t="shared" si="10"/>
        <v>Error?</v>
      </c>
    </row>
    <row r="739" spans="1:4" x14ac:dyDescent="0.2">
      <c r="A739" s="5">
        <v>678</v>
      </c>
      <c r="B739" s="1831">
        <f>'Expenditures 15-22'!C60</f>
        <v>390988</v>
      </c>
      <c r="D739" s="2" t="str">
        <f t="shared" si="10"/>
        <v>Error?</v>
      </c>
    </row>
    <row r="740" spans="1:4" x14ac:dyDescent="0.2">
      <c r="A740" s="5">
        <v>679</v>
      </c>
      <c r="B740" s="1831">
        <f>'Expenditures 15-22'!C61</f>
        <v>749655</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1475956</v>
      </c>
      <c r="D742" s="2" t="str">
        <f t="shared" si="10"/>
        <v>Error?</v>
      </c>
    </row>
    <row r="743" spans="1:4" x14ac:dyDescent="0.2">
      <c r="A743" s="5">
        <v>682</v>
      </c>
      <c r="B743" s="1831">
        <f>'Expenditures 15-22'!C64</f>
        <v>16425</v>
      </c>
      <c r="D743" s="2" t="str">
        <f t="shared" si="10"/>
        <v>Error?</v>
      </c>
    </row>
    <row r="744" spans="1:4" x14ac:dyDescent="0.2">
      <c r="A744" s="10">
        <v>683</v>
      </c>
      <c r="B744" s="1831"/>
      <c r="D744" s="2" t="str">
        <f t="shared" si="10"/>
        <v>OK</v>
      </c>
    </row>
    <row r="745" spans="1:4" x14ac:dyDescent="0.2">
      <c r="A745" s="5">
        <v>684</v>
      </c>
      <c r="B745" s="1831">
        <f>'Expenditures 15-22'!C65</f>
        <v>2697982</v>
      </c>
      <c r="C745" s="2" t="s">
        <v>569</v>
      </c>
      <c r="D745" s="2" t="str">
        <f t="shared" si="10"/>
        <v>Error?</v>
      </c>
    </row>
    <row r="746" spans="1:4" x14ac:dyDescent="0.2">
      <c r="A746" s="5">
        <v>685</v>
      </c>
      <c r="B746" s="1831">
        <f>'Expenditures 15-22'!C67</f>
        <v>44</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261860</v>
      </c>
      <c r="D749" s="2" t="str">
        <f t="shared" si="10"/>
        <v>Error?</v>
      </c>
    </row>
    <row r="750" spans="1:4" x14ac:dyDescent="0.2">
      <c r="A750" s="10">
        <v>689</v>
      </c>
      <c r="B750" s="1831"/>
      <c r="D750" s="2" t="str">
        <f t="shared" si="10"/>
        <v>OK</v>
      </c>
    </row>
    <row r="751" spans="1:4" x14ac:dyDescent="0.2">
      <c r="A751" s="5">
        <v>690</v>
      </c>
      <c r="B751" s="1831">
        <f>'Expenditures 15-22'!C71</f>
        <v>585247</v>
      </c>
      <c r="D751" s="2" t="str">
        <f t="shared" si="10"/>
        <v>Error?</v>
      </c>
    </row>
    <row r="752" spans="1:4" x14ac:dyDescent="0.2">
      <c r="A752" s="10">
        <v>691</v>
      </c>
      <c r="B752" s="1831"/>
      <c r="D752" s="2" t="str">
        <f t="shared" si="10"/>
        <v>OK</v>
      </c>
    </row>
    <row r="753" spans="1:4" x14ac:dyDescent="0.2">
      <c r="A753" s="5">
        <v>692</v>
      </c>
      <c r="B753" s="1831">
        <f>'Expenditures 15-22'!C72</f>
        <v>847151</v>
      </c>
      <c r="C753" s="2" t="s">
        <v>569</v>
      </c>
      <c r="D753" s="2" t="str">
        <f t="shared" si="10"/>
        <v>Error?</v>
      </c>
    </row>
    <row r="754" spans="1:4" x14ac:dyDescent="0.2">
      <c r="A754" s="5">
        <v>693</v>
      </c>
      <c r="B754" s="1831">
        <f>'Expenditures 15-22'!C73</f>
        <v>2041</v>
      </c>
      <c r="D754" s="2" t="str">
        <f t="shared" si="10"/>
        <v>Error?</v>
      </c>
    </row>
    <row r="755" spans="1:4" x14ac:dyDescent="0.2">
      <c r="A755" s="5">
        <v>694</v>
      </c>
      <c r="B755" s="1831">
        <f>'Expenditures 15-22'!C74</f>
        <v>11636942</v>
      </c>
      <c r="C755" s="2" t="s">
        <v>569</v>
      </c>
      <c r="D755" s="2" t="str">
        <f t="shared" si="10"/>
        <v>Error?</v>
      </c>
    </row>
    <row r="756" spans="1:4" x14ac:dyDescent="0.2">
      <c r="A756" s="5">
        <v>695</v>
      </c>
      <c r="B756" s="1831">
        <f>'Expenditures 15-22'!C75</f>
        <v>1200535</v>
      </c>
      <c r="D756" s="2" t="str">
        <f t="shared" si="10"/>
        <v>Error?</v>
      </c>
    </row>
    <row r="757" spans="1:4" x14ac:dyDescent="0.2">
      <c r="A757" s="5">
        <v>696</v>
      </c>
      <c r="B757" s="1831">
        <f>'Expenditures 15-22'!C114</f>
        <v>40175099</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4628880</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14394</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49102</v>
      </c>
      <c r="D776" s="2" t="str">
        <f t="shared" si="11"/>
        <v>Error?</v>
      </c>
    </row>
    <row r="777" spans="1:4" x14ac:dyDescent="0.2">
      <c r="A777" s="5">
        <v>716</v>
      </c>
      <c r="B777" s="1831">
        <f>'Expenditures 15-22'!D15</f>
        <v>2102</v>
      </c>
      <c r="D777" s="2" t="str">
        <f t="shared" si="11"/>
        <v>Error?</v>
      </c>
    </row>
    <row r="778" spans="1:4" x14ac:dyDescent="0.2">
      <c r="A778" s="5">
        <v>717</v>
      </c>
      <c r="B778" s="1831">
        <f>'Expenditures 15-22'!D33</f>
        <v>6346402</v>
      </c>
      <c r="C778" s="2" t="s">
        <v>569</v>
      </c>
      <c r="D778" s="2" t="str">
        <f t="shared" si="11"/>
        <v>Error?</v>
      </c>
    </row>
    <row r="779" spans="1:4" x14ac:dyDescent="0.2">
      <c r="A779" s="5">
        <v>718</v>
      </c>
      <c r="B779" s="1831">
        <f>'Expenditures 15-22'!D36</f>
        <v>227826</v>
      </c>
      <c r="D779" s="2" t="str">
        <f t="shared" si="11"/>
        <v>Error?</v>
      </c>
    </row>
    <row r="780" spans="1:4" x14ac:dyDescent="0.2">
      <c r="A780" s="5">
        <v>719</v>
      </c>
      <c r="B780" s="1831">
        <f>'Expenditures 15-22'!D37</f>
        <v>120064</v>
      </c>
      <c r="D780" s="2" t="str">
        <f t="shared" si="11"/>
        <v>Error?</v>
      </c>
    </row>
    <row r="781" spans="1:4" x14ac:dyDescent="0.2">
      <c r="A781" s="5">
        <v>720</v>
      </c>
      <c r="B781" s="1831">
        <f>'Expenditures 15-22'!D38</f>
        <v>68227</v>
      </c>
      <c r="D781" s="2" t="str">
        <f t="shared" si="11"/>
        <v>Error?</v>
      </c>
    </row>
    <row r="782" spans="1:4" x14ac:dyDescent="0.2">
      <c r="A782" s="5">
        <v>721</v>
      </c>
      <c r="B782" s="1831">
        <f>'Expenditures 15-22'!D39</f>
        <v>80760</v>
      </c>
      <c r="D782" s="2" t="str">
        <f t="shared" si="11"/>
        <v>Error?</v>
      </c>
    </row>
    <row r="783" spans="1:4" x14ac:dyDescent="0.2">
      <c r="A783" s="5">
        <v>722</v>
      </c>
      <c r="B783" s="1831">
        <f>'Expenditures 15-22'!D40</f>
        <v>128572</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625449</v>
      </c>
      <c r="C785" s="2" t="s">
        <v>569</v>
      </c>
      <c r="D785" s="2" t="str">
        <f t="shared" si="11"/>
        <v>Error?</v>
      </c>
    </row>
    <row r="786" spans="1:4" x14ac:dyDescent="0.2">
      <c r="A786" s="5">
        <v>725</v>
      </c>
      <c r="B786" s="1831">
        <f>'Expenditures 15-22'!D44</f>
        <v>215240</v>
      </c>
      <c r="D786" s="2" t="str">
        <f t="shared" si="11"/>
        <v>Error?</v>
      </c>
    </row>
    <row r="787" spans="1:4" x14ac:dyDescent="0.2">
      <c r="A787" s="5">
        <v>726</v>
      </c>
      <c r="B787" s="1831">
        <f>'Expenditures 15-22'!D45</f>
        <v>85035</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300275</v>
      </c>
      <c r="C789" s="2" t="s">
        <v>569</v>
      </c>
      <c r="D789" s="2" t="str">
        <f t="shared" si="11"/>
        <v>Error?</v>
      </c>
    </row>
    <row r="790" spans="1:4" x14ac:dyDescent="0.2">
      <c r="A790" s="5">
        <v>729</v>
      </c>
      <c r="B790" s="1831">
        <f>'Expenditures 15-22'!D49</f>
        <v>35128</v>
      </c>
      <c r="D790" s="2" t="str">
        <f t="shared" si="11"/>
        <v>Error?</v>
      </c>
    </row>
    <row r="791" spans="1:4" x14ac:dyDescent="0.2">
      <c r="A791" s="5">
        <v>730</v>
      </c>
      <c r="B791" s="1831">
        <f>'Expenditures 15-22'!D50</f>
        <v>78693</v>
      </c>
      <c r="D791" s="2" t="str">
        <f t="shared" si="11"/>
        <v>Error?</v>
      </c>
    </row>
    <row r="792" spans="1:4" x14ac:dyDescent="0.2">
      <c r="A792" s="5">
        <v>731</v>
      </c>
      <c r="B792" s="1831">
        <f>'Expenditures 15-22'!D53</f>
        <v>182065</v>
      </c>
      <c r="C792" s="2" t="s">
        <v>569</v>
      </c>
      <c r="D792" s="2" t="str">
        <f t="shared" si="11"/>
        <v>Error?</v>
      </c>
    </row>
    <row r="793" spans="1:4" x14ac:dyDescent="0.2">
      <c r="A793" s="5">
        <v>732</v>
      </c>
      <c r="B793" s="1831">
        <f>'Expenditures 15-22'!D55</f>
        <v>555823</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555823</v>
      </c>
      <c r="C795" s="2" t="s">
        <v>569</v>
      </c>
      <c r="D795" s="2" t="str">
        <f t="shared" si="11"/>
        <v>Error?</v>
      </c>
    </row>
    <row r="796" spans="1:4" x14ac:dyDescent="0.2">
      <c r="A796" s="5">
        <v>735</v>
      </c>
      <c r="B796" s="1831">
        <f>'Expenditures 15-22'!D59</f>
        <v>14146</v>
      </c>
      <c r="D796" s="2" t="str">
        <f t="shared" si="11"/>
        <v>Error?</v>
      </c>
    </row>
    <row r="797" spans="1:4" x14ac:dyDescent="0.2">
      <c r="A797" s="5">
        <v>736</v>
      </c>
      <c r="B797" s="1831">
        <f>'Expenditures 15-22'!D60</f>
        <v>52224</v>
      </c>
      <c r="D797" s="2" t="str">
        <f t="shared" si="11"/>
        <v>Error?</v>
      </c>
    </row>
    <row r="798" spans="1:4" x14ac:dyDescent="0.2">
      <c r="A798" s="5">
        <v>737</v>
      </c>
      <c r="B798" s="1831">
        <f>'Expenditures 15-22'!D61</f>
        <v>154759</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298626</v>
      </c>
      <c r="D800" s="2" t="str">
        <f t="shared" si="11"/>
        <v>Error?</v>
      </c>
    </row>
    <row r="801" spans="1:4" x14ac:dyDescent="0.2">
      <c r="A801" s="5">
        <v>740</v>
      </c>
      <c r="B801" s="1831">
        <f>'Expenditures 15-22'!D64</f>
        <v>4196</v>
      </c>
      <c r="D801" s="2" t="str">
        <f t="shared" si="11"/>
        <v>Error?</v>
      </c>
    </row>
    <row r="802" spans="1:4" x14ac:dyDescent="0.2">
      <c r="A802" s="10">
        <v>741</v>
      </c>
      <c r="B802" s="1831"/>
      <c r="D802" s="2" t="str">
        <f t="shared" si="11"/>
        <v>OK</v>
      </c>
    </row>
    <row r="803" spans="1:4" x14ac:dyDescent="0.2">
      <c r="A803" s="5">
        <v>742</v>
      </c>
      <c r="B803" s="1831">
        <f>'Expenditures 15-22'!D65</f>
        <v>523951</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50605</v>
      </c>
      <c r="D807" s="2" t="str">
        <f t="shared" si="11"/>
        <v>Error?</v>
      </c>
    </row>
    <row r="808" spans="1:4" x14ac:dyDescent="0.2">
      <c r="A808" s="10">
        <v>747</v>
      </c>
      <c r="B808" s="1831"/>
      <c r="D808" s="2" t="str">
        <f t="shared" si="11"/>
        <v>OK</v>
      </c>
    </row>
    <row r="809" spans="1:4" x14ac:dyDescent="0.2">
      <c r="A809" s="5">
        <v>748</v>
      </c>
      <c r="B809" s="1831">
        <f>'Expenditures 15-22'!D71</f>
        <v>98841</v>
      </c>
      <c r="D809" s="2" t="str">
        <f t="shared" si="11"/>
        <v>Error?</v>
      </c>
    </row>
    <row r="810" spans="1:4" x14ac:dyDescent="0.2">
      <c r="A810" s="10">
        <v>749</v>
      </c>
      <c r="B810" s="1831"/>
      <c r="D810" s="2" t="str">
        <f t="shared" si="11"/>
        <v>OK</v>
      </c>
    </row>
    <row r="811" spans="1:4" x14ac:dyDescent="0.2">
      <c r="A811" s="5">
        <v>750</v>
      </c>
      <c r="B811" s="1831">
        <f>'Expenditures 15-22'!D72</f>
        <v>149446</v>
      </c>
      <c r="C811" s="2" t="s">
        <v>569</v>
      </c>
      <c r="D811" s="2" t="str">
        <f t="shared" si="11"/>
        <v>Error?</v>
      </c>
    </row>
    <row r="812" spans="1:4" x14ac:dyDescent="0.2">
      <c r="A812" s="5">
        <v>751</v>
      </c>
      <c r="B812" s="1831">
        <f>'Expenditures 15-22'!D73</f>
        <v>2125</v>
      </c>
      <c r="D812" s="2" t="str">
        <f t="shared" si="11"/>
        <v>Error?</v>
      </c>
    </row>
    <row r="813" spans="1:4" x14ac:dyDescent="0.2">
      <c r="A813" s="5">
        <v>752</v>
      </c>
      <c r="B813" s="1831">
        <f>'Expenditures 15-22'!D74</f>
        <v>2339134</v>
      </c>
      <c r="C813" s="2" t="s">
        <v>569</v>
      </c>
      <c r="D813" s="2" t="str">
        <f t="shared" si="11"/>
        <v>Error?</v>
      </c>
    </row>
    <row r="814" spans="1:4" x14ac:dyDescent="0.2">
      <c r="A814" s="5">
        <v>753</v>
      </c>
      <c r="B814" s="1831">
        <f>'Expenditures 15-22'!D75</f>
        <v>217890</v>
      </c>
      <c r="D814" s="2" t="str">
        <f t="shared" si="11"/>
        <v>Error?</v>
      </c>
    </row>
    <row r="815" spans="1:4" x14ac:dyDescent="0.2">
      <c r="A815" s="5">
        <v>754</v>
      </c>
      <c r="B815" s="1831">
        <f>'Expenditures 15-22'!D114</f>
        <v>8903426</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458881</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5513</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40045</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996524</v>
      </c>
      <c r="C836" s="2" t="s">
        <v>569</v>
      </c>
      <c r="D836" s="2" t="str">
        <f t="shared" si="12"/>
        <v>Error?</v>
      </c>
    </row>
    <row r="837" spans="1:4" x14ac:dyDescent="0.2">
      <c r="A837" s="5">
        <v>776</v>
      </c>
      <c r="B837" s="1831">
        <f>'Expenditures 15-22'!E36</f>
        <v>1433</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142183</v>
      </c>
      <c r="D839" s="2" t="str">
        <f t="shared" si="12"/>
        <v>Error?</v>
      </c>
    </row>
    <row r="840" spans="1:4" x14ac:dyDescent="0.2">
      <c r="A840" s="5">
        <v>779</v>
      </c>
      <c r="B840" s="1831">
        <f>'Expenditures 15-22'!E39</f>
        <v>96230</v>
      </c>
      <c r="D840" s="2" t="str">
        <f t="shared" si="12"/>
        <v>Error?</v>
      </c>
    </row>
    <row r="841" spans="1:4" x14ac:dyDescent="0.2">
      <c r="A841" s="5">
        <v>780</v>
      </c>
      <c r="B841" s="1831">
        <f>'Expenditures 15-22'!E40</f>
        <v>200113</v>
      </c>
      <c r="D841" s="2" t="str">
        <f t="shared" si="12"/>
        <v>Error?</v>
      </c>
    </row>
    <row r="842" spans="1:4" x14ac:dyDescent="0.2">
      <c r="A842" s="5">
        <v>781</v>
      </c>
      <c r="B842" s="1831">
        <f>'Expenditures 15-22'!E41</f>
        <v>20451</v>
      </c>
      <c r="D842" s="2" t="str">
        <f t="shared" si="12"/>
        <v>Error?</v>
      </c>
    </row>
    <row r="843" spans="1:4" x14ac:dyDescent="0.2">
      <c r="A843" s="5">
        <v>782</v>
      </c>
      <c r="B843" s="1831">
        <f>'Expenditures 15-22'!E42</f>
        <v>460410</v>
      </c>
      <c r="C843" s="2" t="s">
        <v>569</v>
      </c>
      <c r="D843" s="2" t="str">
        <f t="shared" si="12"/>
        <v>Error?</v>
      </c>
    </row>
    <row r="844" spans="1:4" x14ac:dyDescent="0.2">
      <c r="A844" s="5">
        <v>783</v>
      </c>
      <c r="B844" s="1831">
        <f>'Expenditures 15-22'!E44</f>
        <v>524908</v>
      </c>
      <c r="D844" s="2" t="str">
        <f t="shared" si="12"/>
        <v>Error?</v>
      </c>
    </row>
    <row r="845" spans="1:4" x14ac:dyDescent="0.2">
      <c r="A845" s="5">
        <v>784</v>
      </c>
      <c r="B845" s="1831">
        <f>'Expenditures 15-22'!E45</f>
        <v>355</v>
      </c>
      <c r="D845" s="2" t="str">
        <f t="shared" si="12"/>
        <v>Error?</v>
      </c>
    </row>
    <row r="846" spans="1:4" x14ac:dyDescent="0.2">
      <c r="A846" s="5">
        <v>785</v>
      </c>
      <c r="B846" s="1831">
        <f>'Expenditures 15-22'!E46</f>
        <v>57855</v>
      </c>
      <c r="D846" s="2" t="str">
        <f t="shared" si="12"/>
        <v>Error?</v>
      </c>
    </row>
    <row r="847" spans="1:4" x14ac:dyDescent="0.2">
      <c r="A847" s="5">
        <v>786</v>
      </c>
      <c r="B847" s="1831">
        <f>'Expenditures 15-22'!E47</f>
        <v>583118</v>
      </c>
      <c r="C847" s="2" t="s">
        <v>569</v>
      </c>
      <c r="D847" s="2" t="str">
        <f t="shared" si="12"/>
        <v>Error?</v>
      </c>
    </row>
    <row r="848" spans="1:4" x14ac:dyDescent="0.2">
      <c r="A848" s="5">
        <v>787</v>
      </c>
      <c r="B848" s="1831">
        <f>'Expenditures 15-22'!E49</f>
        <v>175944</v>
      </c>
      <c r="D848" s="2" t="str">
        <f t="shared" si="12"/>
        <v>Error?</v>
      </c>
    </row>
    <row r="849" spans="1:4" x14ac:dyDescent="0.2">
      <c r="A849" s="5">
        <v>788</v>
      </c>
      <c r="B849" s="1831">
        <f>'Expenditures 15-22'!E50</f>
        <v>1932</v>
      </c>
      <c r="D849" s="2" t="str">
        <f t="shared" si="12"/>
        <v>Error?</v>
      </c>
    </row>
    <row r="850" spans="1:4" x14ac:dyDescent="0.2">
      <c r="A850" s="5">
        <v>789</v>
      </c>
      <c r="B850" s="1831">
        <f>'Expenditures 15-22'!E53</f>
        <v>180522</v>
      </c>
      <c r="C850" s="2" t="s">
        <v>569</v>
      </c>
      <c r="D850" s="2" t="str">
        <f t="shared" si="12"/>
        <v>Error?</v>
      </c>
    </row>
    <row r="851" spans="1:4" x14ac:dyDescent="0.2">
      <c r="A851" s="5">
        <v>790</v>
      </c>
      <c r="B851" s="1831">
        <f>'Expenditures 15-22'!E55</f>
        <v>45</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45</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25823</v>
      </c>
      <c r="D855" s="2" t="str">
        <f t="shared" si="12"/>
        <v>Error?</v>
      </c>
    </row>
    <row r="856" spans="1:4" x14ac:dyDescent="0.2">
      <c r="A856" s="5">
        <v>795</v>
      </c>
      <c r="B856" s="1831">
        <f>'Expenditures 15-22'!E61</f>
        <v>114899</v>
      </c>
      <c r="D856" s="2" t="str">
        <f t="shared" si="12"/>
        <v>Error?</v>
      </c>
    </row>
    <row r="857" spans="1:4" x14ac:dyDescent="0.2">
      <c r="A857" s="5">
        <v>796</v>
      </c>
      <c r="B857" s="1831">
        <f>'Expenditures 15-22'!E62</f>
        <v>-283</v>
      </c>
      <c r="D857" s="2" t="str">
        <f t="shared" si="12"/>
        <v>Error?</v>
      </c>
    </row>
    <row r="858" spans="1:4" x14ac:dyDescent="0.2">
      <c r="A858" s="5">
        <v>797</v>
      </c>
      <c r="B858" s="1831">
        <f>'Expenditures 15-22'!E63</f>
        <v>217364</v>
      </c>
      <c r="D858" s="2" t="str">
        <f t="shared" si="12"/>
        <v>Error?</v>
      </c>
    </row>
    <row r="859" spans="1:4" x14ac:dyDescent="0.2">
      <c r="A859" s="5">
        <v>798</v>
      </c>
      <c r="B859" s="1831">
        <f>'Expenditures 15-22'!E64</f>
        <v>8677</v>
      </c>
      <c r="D859" s="2" t="str">
        <f t="shared" si="12"/>
        <v>Error?</v>
      </c>
    </row>
    <row r="860" spans="1:4" x14ac:dyDescent="0.2">
      <c r="A860" s="10">
        <v>799</v>
      </c>
      <c r="B860" s="1831"/>
      <c r="D860" s="2" t="str">
        <f t="shared" si="12"/>
        <v>OK</v>
      </c>
    </row>
    <row r="861" spans="1:4" x14ac:dyDescent="0.2">
      <c r="A861" s="5">
        <v>800</v>
      </c>
      <c r="B861" s="1831">
        <f>'Expenditures 15-22'!E65</f>
        <v>366480</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46709</v>
      </c>
      <c r="D864" s="2" t="str">
        <f t="shared" si="12"/>
        <v>Error?</v>
      </c>
    </row>
    <row r="865" spans="1:4" x14ac:dyDescent="0.2">
      <c r="A865" s="5">
        <v>804</v>
      </c>
      <c r="B865" s="1831">
        <f>'Expenditures 15-22'!E70</f>
        <v>5170</v>
      </c>
      <c r="D865" s="2" t="str">
        <f t="shared" si="12"/>
        <v>Error?</v>
      </c>
    </row>
    <row r="866" spans="1:4" x14ac:dyDescent="0.2">
      <c r="A866" s="10">
        <v>805</v>
      </c>
      <c r="B866" s="1831"/>
      <c r="D866" s="2" t="str">
        <f t="shared" si="12"/>
        <v>OK</v>
      </c>
    </row>
    <row r="867" spans="1:4" x14ac:dyDescent="0.2">
      <c r="A867" s="5">
        <v>806</v>
      </c>
      <c r="B867" s="1831">
        <f>'Expenditures 15-22'!E71</f>
        <v>788843</v>
      </c>
      <c r="D867" s="2" t="str">
        <f t="shared" si="12"/>
        <v>Error?</v>
      </c>
    </row>
    <row r="868" spans="1:4" x14ac:dyDescent="0.2">
      <c r="A868" s="10">
        <v>807</v>
      </c>
      <c r="B868" s="1831"/>
      <c r="D868" s="2" t="str">
        <f t="shared" si="12"/>
        <v>OK</v>
      </c>
    </row>
    <row r="869" spans="1:4" x14ac:dyDescent="0.2">
      <c r="A869" s="5">
        <v>808</v>
      </c>
      <c r="B869" s="1831">
        <f>'Expenditures 15-22'!E72</f>
        <v>840722</v>
      </c>
      <c r="C869" s="2" t="s">
        <v>569</v>
      </c>
      <c r="D869" s="2" t="str">
        <f t="shared" si="12"/>
        <v>Error?</v>
      </c>
    </row>
    <row r="870" spans="1:4" x14ac:dyDescent="0.2">
      <c r="A870" s="5">
        <v>809</v>
      </c>
      <c r="B870" s="1831">
        <f>'Expenditures 15-22'!E73</f>
        <v>20099</v>
      </c>
      <c r="D870" s="2" t="str">
        <f t="shared" si="12"/>
        <v>Error?</v>
      </c>
    </row>
    <row r="871" spans="1:4" x14ac:dyDescent="0.2">
      <c r="A871" s="5">
        <v>810</v>
      </c>
      <c r="B871" s="1831">
        <f>'Expenditures 15-22'!E74</f>
        <v>2451396</v>
      </c>
      <c r="C871" s="2" t="s">
        <v>569</v>
      </c>
      <c r="D871" s="2" t="str">
        <f t="shared" si="12"/>
        <v>Error?</v>
      </c>
    </row>
    <row r="872" spans="1:4" x14ac:dyDescent="0.2">
      <c r="A872" s="5">
        <v>811</v>
      </c>
      <c r="B872" s="1831">
        <f>'Expenditures 15-22'!E75</f>
        <v>105128</v>
      </c>
      <c r="D872" s="2" t="str">
        <f t="shared" si="12"/>
        <v>Error?</v>
      </c>
    </row>
    <row r="873" spans="1:4" x14ac:dyDescent="0.2">
      <c r="A873" s="5">
        <v>812</v>
      </c>
      <c r="B873" s="1831">
        <f>'Expenditures 15-22'!E114</f>
        <v>3730684</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717391</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4933</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42025</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1391177</v>
      </c>
      <c r="C894" s="2" t="s">
        <v>569</v>
      </c>
      <c r="D894" s="2" t="str">
        <f t="shared" si="12"/>
        <v>Error?</v>
      </c>
    </row>
    <row r="895" spans="1:4" x14ac:dyDescent="0.2">
      <c r="A895" s="5">
        <v>834</v>
      </c>
      <c r="B895" s="1831">
        <f>'Expenditures 15-22'!F36</f>
        <v>3112</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15767</v>
      </c>
      <c r="D897" s="2" t="str">
        <f t="shared" si="13"/>
        <v>Error?</v>
      </c>
    </row>
    <row r="898" spans="1:4" x14ac:dyDescent="0.2">
      <c r="A898" s="5">
        <v>837</v>
      </c>
      <c r="B898" s="1831">
        <f>'Expenditures 15-22'!F39</f>
        <v>1058</v>
      </c>
      <c r="D898" s="2" t="str">
        <f t="shared" si="13"/>
        <v>Error?</v>
      </c>
    </row>
    <row r="899" spans="1:4" x14ac:dyDescent="0.2">
      <c r="A899" s="5">
        <v>838</v>
      </c>
      <c r="B899" s="1831">
        <f>'Expenditures 15-22'!F40</f>
        <v>7691</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27628</v>
      </c>
      <c r="C901" s="2" t="s">
        <v>569</v>
      </c>
      <c r="D901" s="2" t="str">
        <f t="shared" si="13"/>
        <v>Error?</v>
      </c>
    </row>
    <row r="902" spans="1:4" x14ac:dyDescent="0.2">
      <c r="A902" s="5">
        <v>841</v>
      </c>
      <c r="B902" s="1831">
        <f>'Expenditures 15-22'!F44</f>
        <v>55087</v>
      </c>
      <c r="D902" s="2" t="str">
        <f t="shared" si="13"/>
        <v>Error?</v>
      </c>
    </row>
    <row r="903" spans="1:4" x14ac:dyDescent="0.2">
      <c r="A903" s="5">
        <v>842</v>
      </c>
      <c r="B903" s="1831">
        <f>'Expenditures 15-22'!F45</f>
        <v>14993</v>
      </c>
      <c r="D903" s="2" t="str">
        <f t="shared" si="13"/>
        <v>Error?</v>
      </c>
    </row>
    <row r="904" spans="1:4" x14ac:dyDescent="0.2">
      <c r="A904" s="5">
        <v>843</v>
      </c>
      <c r="B904" s="1831">
        <f>'Expenditures 15-22'!F46</f>
        <v>15006</v>
      </c>
      <c r="D904" s="2" t="str">
        <f t="shared" si="13"/>
        <v>Error?</v>
      </c>
    </row>
    <row r="905" spans="1:4" x14ac:dyDescent="0.2">
      <c r="A905" s="5">
        <v>844</v>
      </c>
      <c r="B905" s="1831">
        <f>'Expenditures 15-22'!F47</f>
        <v>85086</v>
      </c>
      <c r="C905" s="2" t="s">
        <v>569</v>
      </c>
      <c r="D905" s="2" t="str">
        <f t="shared" si="13"/>
        <v>Error?</v>
      </c>
    </row>
    <row r="906" spans="1:4" x14ac:dyDescent="0.2">
      <c r="A906" s="5">
        <v>845</v>
      </c>
      <c r="B906" s="1831">
        <f>'Expenditures 15-22'!F49</f>
        <v>38260</v>
      </c>
      <c r="D906" s="2" t="str">
        <f t="shared" si="13"/>
        <v>Error?</v>
      </c>
    </row>
    <row r="907" spans="1:4" x14ac:dyDescent="0.2">
      <c r="A907" s="5">
        <v>846</v>
      </c>
      <c r="B907" s="1831">
        <f>'Expenditures 15-22'!F50</f>
        <v>19381</v>
      </c>
      <c r="D907" s="2" t="str">
        <f t="shared" si="13"/>
        <v>Error?</v>
      </c>
    </row>
    <row r="908" spans="1:4" x14ac:dyDescent="0.2">
      <c r="A908" s="5">
        <v>847</v>
      </c>
      <c r="B908" s="1831">
        <f>'Expenditures 15-22'!F53</f>
        <v>59927</v>
      </c>
      <c r="C908" s="2" t="s">
        <v>569</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3414</v>
      </c>
      <c r="D913" s="2" t="str">
        <f t="shared" si="13"/>
        <v>Error?</v>
      </c>
    </row>
    <row r="914" spans="1:4" x14ac:dyDescent="0.2">
      <c r="A914" s="5">
        <v>853</v>
      </c>
      <c r="B914" s="1831">
        <f>'Expenditures 15-22'!F61</f>
        <v>1281840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1675461</v>
      </c>
      <c r="D916" s="2" t="str">
        <f t="shared" si="13"/>
        <v>Error?</v>
      </c>
    </row>
    <row r="917" spans="1:4" x14ac:dyDescent="0.2">
      <c r="A917" s="5">
        <v>856</v>
      </c>
      <c r="B917" s="1831">
        <f>'Expenditures 15-22'!F64</f>
        <v>11243</v>
      </c>
      <c r="D917" s="2" t="str">
        <f t="shared" si="13"/>
        <v>Error?</v>
      </c>
    </row>
    <row r="918" spans="1:4" x14ac:dyDescent="0.2">
      <c r="A918" s="10">
        <v>857</v>
      </c>
      <c r="B918" s="1831"/>
      <c r="D918" s="2" t="str">
        <f t="shared" si="13"/>
        <v>OK</v>
      </c>
    </row>
    <row r="919" spans="1:4" x14ac:dyDescent="0.2">
      <c r="A919" s="5">
        <v>858</v>
      </c>
      <c r="B919" s="1831">
        <f>'Expenditures 15-22'!F65</f>
        <v>2971958</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4345</v>
      </c>
      <c r="D923" s="2" t="str">
        <f t="shared" si="13"/>
        <v>Error?</v>
      </c>
    </row>
    <row r="924" spans="1:4" x14ac:dyDescent="0.2">
      <c r="A924" s="10">
        <v>863</v>
      </c>
      <c r="B924" s="1831"/>
      <c r="D924" s="2" t="str">
        <f t="shared" si="13"/>
        <v>OK</v>
      </c>
    </row>
    <row r="925" spans="1:4" x14ac:dyDescent="0.2">
      <c r="A925" s="5">
        <v>864</v>
      </c>
      <c r="B925" s="1831">
        <f>'Expenditures 15-22'!F71</f>
        <v>142503</v>
      </c>
      <c r="D925" s="2" t="str">
        <f t="shared" si="13"/>
        <v>Error?</v>
      </c>
    </row>
    <row r="926" spans="1:4" x14ac:dyDescent="0.2">
      <c r="A926" s="10">
        <v>865</v>
      </c>
      <c r="B926" s="1831"/>
      <c r="D926" s="2" t="str">
        <f t="shared" si="13"/>
        <v>OK</v>
      </c>
    </row>
    <row r="927" spans="1:4" x14ac:dyDescent="0.2">
      <c r="A927" s="5">
        <v>866</v>
      </c>
      <c r="B927" s="1831">
        <f>'Expenditures 15-22'!F72</f>
        <v>146848</v>
      </c>
      <c r="C927" s="2" t="s">
        <v>569</v>
      </c>
      <c r="D927" s="2" t="str">
        <f t="shared" si="13"/>
        <v>Error?</v>
      </c>
    </row>
    <row r="928" spans="1:4" x14ac:dyDescent="0.2">
      <c r="A928" s="5">
        <v>867</v>
      </c>
      <c r="B928" s="1831">
        <f>'Expenditures 15-22'!F73</f>
        <v>148</v>
      </c>
      <c r="D928" s="2" t="str">
        <f t="shared" si="13"/>
        <v>Error?</v>
      </c>
    </row>
    <row r="929" spans="1:4" x14ac:dyDescent="0.2">
      <c r="A929" s="5">
        <v>868</v>
      </c>
      <c r="B929" s="1831">
        <f>'Expenditures 15-22'!F74</f>
        <v>3291595</v>
      </c>
      <c r="C929" s="2" t="s">
        <v>569</v>
      </c>
      <c r="D929" s="2" t="str">
        <f t="shared" si="13"/>
        <v>Error?</v>
      </c>
    </row>
    <row r="930" spans="1:4" x14ac:dyDescent="0.2">
      <c r="A930" s="5">
        <v>869</v>
      </c>
      <c r="B930" s="1831">
        <f>'Expenditures 15-22'!F75</f>
        <v>64815</v>
      </c>
      <c r="D930" s="2" t="str">
        <f t="shared" si="13"/>
        <v>Error?</v>
      </c>
    </row>
    <row r="931" spans="1:4" x14ac:dyDescent="0.2">
      <c r="A931" s="5">
        <v>870</v>
      </c>
      <c r="B931" s="1831">
        <f>'Expenditures 15-22'!F114</f>
        <v>4747587</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526649</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9680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536329</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65709</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65709</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4526</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111777</v>
      </c>
      <c r="D983" s="2" t="str">
        <f t="shared" si="14"/>
        <v>Error?</v>
      </c>
    </row>
    <row r="984" spans="1:4" x14ac:dyDescent="0.2">
      <c r="A984" s="10">
        <v>923</v>
      </c>
      <c r="B984" s="1831"/>
      <c r="D984" s="2" t="str">
        <f t="shared" si="14"/>
        <v>OK</v>
      </c>
    </row>
    <row r="985" spans="1:4" x14ac:dyDescent="0.2">
      <c r="A985" s="5">
        <v>924</v>
      </c>
      <c r="B985" s="1831">
        <f>'Expenditures 15-22'!G72</f>
        <v>116303</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182012</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718341</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16639</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916314</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11097</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11097</v>
      </c>
      <c r="C1021" s="2" t="s">
        <v>569</v>
      </c>
      <c r="D1021" s="2" t="str">
        <f t="shared" si="14"/>
        <v>Error?</v>
      </c>
    </row>
    <row r="1022" spans="1:4" x14ac:dyDescent="0.2">
      <c r="A1022" s="5">
        <v>961</v>
      </c>
      <c r="B1022" s="1831">
        <f>'Expenditures 15-22'!H49</f>
        <v>28543</v>
      </c>
      <c r="D1022" s="2" t="str">
        <f t="shared" si="14"/>
        <v>Error?</v>
      </c>
    </row>
    <row r="1023" spans="1:4" x14ac:dyDescent="0.2">
      <c r="A1023" s="5">
        <v>962</v>
      </c>
      <c r="B1023" s="1831">
        <f>'Expenditures 15-22'!H50</f>
        <v>3061</v>
      </c>
      <c r="D1023" s="2" t="str">
        <f t="shared" ref="D1023:D1086" si="15">IF(ISBLANK(B1023),"OK",IF(A1023-B1023=0,"OK","Error?"))</f>
        <v>Error?</v>
      </c>
    </row>
    <row r="1024" spans="1:4" x14ac:dyDescent="0.2">
      <c r="A1024" s="5">
        <v>963</v>
      </c>
      <c r="B1024" s="1831">
        <f>'Expenditures 15-22'!H53</f>
        <v>33433</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1109</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1600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2709</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199</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199</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47438</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1376740</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2340492</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1989</v>
      </c>
      <c r="E1056" s="4" t="s">
        <v>1988</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26276783</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70825</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694987</v>
      </c>
      <c r="C1106" s="2" t="s">
        <v>569</v>
      </c>
      <c r="D1106" s="2" t="str">
        <f t="shared" si="16"/>
        <v>Error?</v>
      </c>
    </row>
    <row r="1107" spans="1:4" x14ac:dyDescent="0.2">
      <c r="A1107" s="5">
        <v>1046</v>
      </c>
      <c r="B1107" s="1831">
        <f>'Expenditures 15-22'!K15</f>
        <v>42270</v>
      </c>
      <c r="C1107" s="2" t="s">
        <v>569</v>
      </c>
      <c r="D1107" s="2" t="str">
        <f t="shared" si="16"/>
        <v>Error?</v>
      </c>
    </row>
    <row r="1108" spans="1:4" x14ac:dyDescent="0.2">
      <c r="A1108" s="5">
        <v>1047</v>
      </c>
      <c r="B1108" s="1831">
        <f>'Expenditures 15-22'!K33</f>
        <v>38225166</v>
      </c>
      <c r="C1108" s="2" t="s">
        <v>569</v>
      </c>
      <c r="D1108" s="2" t="str">
        <f t="shared" si="16"/>
        <v>Error?</v>
      </c>
    </row>
    <row r="1109" spans="1:4" x14ac:dyDescent="0.2">
      <c r="A1109" s="5">
        <v>1048</v>
      </c>
      <c r="B1109" s="1831">
        <f>'Expenditures 15-22'!K36</f>
        <v>1213407</v>
      </c>
      <c r="C1109" s="2" t="s">
        <v>569</v>
      </c>
      <c r="D1109" s="2" t="str">
        <f t="shared" si="16"/>
        <v>Error?</v>
      </c>
    </row>
    <row r="1110" spans="1:4" x14ac:dyDescent="0.2">
      <c r="A1110" s="5">
        <v>1049</v>
      </c>
      <c r="B1110" s="1831">
        <f>'Expenditures 15-22'!K37</f>
        <v>602561</v>
      </c>
      <c r="C1110" s="2" t="s">
        <v>569</v>
      </c>
      <c r="D1110" s="2" t="str">
        <f t="shared" si="16"/>
        <v>Error?</v>
      </c>
    </row>
    <row r="1111" spans="1:4" x14ac:dyDescent="0.2">
      <c r="A1111" s="5">
        <v>1050</v>
      </c>
      <c r="B1111" s="1831">
        <f>'Expenditures 15-22'!K38</f>
        <v>830317</v>
      </c>
      <c r="C1111" s="2" t="s">
        <v>569</v>
      </c>
      <c r="D1111" s="2" t="str">
        <f t="shared" si="16"/>
        <v>Error?</v>
      </c>
    </row>
    <row r="1112" spans="1:4" x14ac:dyDescent="0.2">
      <c r="A1112" s="5">
        <v>1051</v>
      </c>
      <c r="B1112" s="1831">
        <f>'Expenditures 15-22'!K39</f>
        <v>546643</v>
      </c>
      <c r="C1112" s="2" t="s">
        <v>569</v>
      </c>
      <c r="D1112" s="2" t="str">
        <f t="shared" si="16"/>
        <v>Error?</v>
      </c>
    </row>
    <row r="1113" spans="1:4" x14ac:dyDescent="0.2">
      <c r="A1113" s="5">
        <v>1052</v>
      </c>
      <c r="B1113" s="1831">
        <f>'Expenditures 15-22'!K40</f>
        <v>969851</v>
      </c>
      <c r="C1113" s="2" t="s">
        <v>569</v>
      </c>
      <c r="D1113" s="2" t="str">
        <f t="shared" si="16"/>
        <v>Error?</v>
      </c>
    </row>
    <row r="1114" spans="1:4" x14ac:dyDescent="0.2">
      <c r="A1114" s="5">
        <v>1053</v>
      </c>
      <c r="B1114" s="1831">
        <f>'Expenditures 15-22'!K41</f>
        <v>20451</v>
      </c>
      <c r="C1114" s="2" t="s">
        <v>569</v>
      </c>
      <c r="D1114" s="2" t="str">
        <f t="shared" si="16"/>
        <v>Error?</v>
      </c>
    </row>
    <row r="1115" spans="1:4" x14ac:dyDescent="0.2">
      <c r="A1115" s="5">
        <v>1054</v>
      </c>
      <c r="B1115" s="1831">
        <f>'Expenditures 15-22'!K42</f>
        <v>4183230</v>
      </c>
      <c r="C1115" s="2" t="s">
        <v>569</v>
      </c>
      <c r="D1115" s="2" t="str">
        <f t="shared" si="16"/>
        <v>Error?</v>
      </c>
    </row>
    <row r="1116" spans="1:4" x14ac:dyDescent="0.2">
      <c r="A1116" s="5">
        <v>1055</v>
      </c>
      <c r="B1116" s="1831">
        <f>'Expenditures 15-22'!K44</f>
        <v>1991070</v>
      </c>
      <c r="C1116" s="2" t="s">
        <v>569</v>
      </c>
      <c r="D1116" s="2" t="str">
        <f t="shared" si="16"/>
        <v>Error?</v>
      </c>
    </row>
    <row r="1117" spans="1:4" x14ac:dyDescent="0.2">
      <c r="A1117" s="5">
        <v>1056</v>
      </c>
      <c r="B1117" s="1831">
        <f>'Expenditures 15-22'!K45</f>
        <v>544496</v>
      </c>
      <c r="C1117" s="2" t="s">
        <v>569</v>
      </c>
      <c r="D1117" s="2" t="str">
        <f t="shared" si="16"/>
        <v>Error?</v>
      </c>
    </row>
    <row r="1118" spans="1:4" x14ac:dyDescent="0.2">
      <c r="A1118" s="5">
        <v>1057</v>
      </c>
      <c r="B1118" s="1831">
        <f>'Expenditures 15-22'!K46</f>
        <v>72861</v>
      </c>
      <c r="C1118" s="2" t="s">
        <v>569</v>
      </c>
      <c r="D1118" s="2" t="str">
        <f t="shared" si="16"/>
        <v>Error?</v>
      </c>
    </row>
    <row r="1119" spans="1:4" x14ac:dyDescent="0.2">
      <c r="A1119" s="5">
        <v>1058</v>
      </c>
      <c r="B1119" s="1831">
        <f>'Expenditures 15-22'!K47</f>
        <v>2608427</v>
      </c>
      <c r="C1119" s="2" t="s">
        <v>569</v>
      </c>
      <c r="D1119" s="2" t="str">
        <f t="shared" si="16"/>
        <v>Error?</v>
      </c>
    </row>
    <row r="1120" spans="1:4" x14ac:dyDescent="0.2">
      <c r="A1120" s="5">
        <v>1059</v>
      </c>
      <c r="B1120" s="1831">
        <f>'Expenditures 15-22'!K49</f>
        <v>424227</v>
      </c>
      <c r="C1120" s="2" t="s">
        <v>569</v>
      </c>
      <c r="D1120" s="2" t="str">
        <f t="shared" si="16"/>
        <v>Error?</v>
      </c>
    </row>
    <row r="1121" spans="1:4" x14ac:dyDescent="0.2">
      <c r="A1121" s="5">
        <v>1060</v>
      </c>
      <c r="B1121" s="1831">
        <f>'Expenditures 15-22'!K50</f>
        <v>421539</v>
      </c>
      <c r="C1121" s="2" t="s">
        <v>569</v>
      </c>
      <c r="D1121" s="2" t="str">
        <f t="shared" si="16"/>
        <v>Error?</v>
      </c>
    </row>
    <row r="1122" spans="1:4" x14ac:dyDescent="0.2">
      <c r="A1122" s="5">
        <v>1061</v>
      </c>
      <c r="B1122" s="1831">
        <f>'Expenditures 15-22'!K53</f>
        <v>1205944</v>
      </c>
      <c r="C1122" s="2" t="s">
        <v>569</v>
      </c>
      <c r="D1122" s="2" t="str">
        <f t="shared" si="16"/>
        <v>Error?</v>
      </c>
    </row>
    <row r="1123" spans="1:4" x14ac:dyDescent="0.2">
      <c r="A1123" s="5">
        <v>1062</v>
      </c>
      <c r="B1123" s="1831">
        <f>'Expenditures 15-22'!K55</f>
        <v>3222138</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3222138</v>
      </c>
      <c r="C1125" s="2" t="s">
        <v>569</v>
      </c>
      <c r="D1125" s="2" t="str">
        <f t="shared" si="16"/>
        <v>Error?</v>
      </c>
    </row>
    <row r="1126" spans="1:4" x14ac:dyDescent="0.2">
      <c r="A1126" s="5">
        <v>1065</v>
      </c>
      <c r="B1126" s="1831">
        <f>'Expenditures 15-22'!K59</f>
        <v>79104</v>
      </c>
      <c r="C1126" s="2" t="s">
        <v>569</v>
      </c>
      <c r="D1126" s="2" t="str">
        <f t="shared" si="16"/>
        <v>Error?</v>
      </c>
    </row>
    <row r="1127" spans="1:4" x14ac:dyDescent="0.2">
      <c r="A1127" s="5">
        <v>1066</v>
      </c>
      <c r="B1127" s="1831">
        <f>'Expenditures 15-22'!K60</f>
        <v>475080</v>
      </c>
      <c r="C1127" s="2" t="s">
        <v>569</v>
      </c>
      <c r="D1127" s="2" t="str">
        <f t="shared" si="16"/>
        <v>Error?</v>
      </c>
    </row>
    <row r="1128" spans="1:4" x14ac:dyDescent="0.2">
      <c r="A1128" s="5">
        <v>1067</v>
      </c>
      <c r="B1128" s="1831">
        <f>'Expenditures 15-22'!K61</f>
        <v>2378309</v>
      </c>
      <c r="C1128" s="2" t="s">
        <v>569</v>
      </c>
      <c r="D1128" s="2" t="str">
        <f t="shared" si="16"/>
        <v>Error?</v>
      </c>
    </row>
    <row r="1129" spans="1:4" x14ac:dyDescent="0.2">
      <c r="A1129" s="5">
        <v>1068</v>
      </c>
      <c r="B1129" s="1831">
        <f>'Expenditures 15-22'!K62</f>
        <v>-283</v>
      </c>
      <c r="C1129" s="2" t="s">
        <v>569</v>
      </c>
      <c r="D1129" s="2" t="str">
        <f t="shared" si="16"/>
        <v>Error?</v>
      </c>
    </row>
    <row r="1130" spans="1:4" x14ac:dyDescent="0.2">
      <c r="A1130" s="5">
        <v>1069</v>
      </c>
      <c r="B1130" s="1831">
        <f>'Expenditures 15-22'!K63</f>
        <v>3691986</v>
      </c>
      <c r="C1130" s="2" t="s">
        <v>569</v>
      </c>
      <c r="D1130" s="2" t="str">
        <f t="shared" si="16"/>
        <v>Error?</v>
      </c>
    </row>
    <row r="1131" spans="1:4" x14ac:dyDescent="0.2">
      <c r="A1131" s="5">
        <v>1070</v>
      </c>
      <c r="B1131" s="1831">
        <f>'Expenditures 15-22'!K64</f>
        <v>40541</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6664737</v>
      </c>
      <c r="C1133" s="2" t="s">
        <v>569</v>
      </c>
      <c r="D1133" s="2" t="str">
        <f t="shared" si="16"/>
        <v>Error?</v>
      </c>
    </row>
    <row r="1134" spans="1:4" x14ac:dyDescent="0.2">
      <c r="A1134" s="5">
        <v>1073</v>
      </c>
      <c r="B1134" s="1831">
        <f>'Expenditures 15-22'!K67</f>
        <v>44</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51235</v>
      </c>
      <c r="C1136" s="2" t="s">
        <v>569</v>
      </c>
      <c r="D1136" s="2" t="str">
        <f t="shared" si="16"/>
        <v>Error?</v>
      </c>
    </row>
    <row r="1137" spans="1:4" x14ac:dyDescent="0.2">
      <c r="A1137" s="5">
        <v>1076</v>
      </c>
      <c r="B1137" s="1831">
        <f>'Expenditures 15-22'!K70</f>
        <v>322179</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2209821</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2583279</v>
      </c>
      <c r="C1141" s="2" t="s">
        <v>569</v>
      </c>
      <c r="D1141" s="2" t="str">
        <f t="shared" si="16"/>
        <v>Error?</v>
      </c>
    </row>
    <row r="1142" spans="1:4" x14ac:dyDescent="0.2">
      <c r="A1142" s="5">
        <v>1081</v>
      </c>
      <c r="B1142" s="1831">
        <f>'Expenditures 15-22'!K73</f>
        <v>24413</v>
      </c>
      <c r="C1142" s="2" t="s">
        <v>569</v>
      </c>
      <c r="D1142" s="2" t="str">
        <f t="shared" si="16"/>
        <v>Error?</v>
      </c>
    </row>
    <row r="1143" spans="1:4" x14ac:dyDescent="0.2">
      <c r="A1143" s="5">
        <v>1082</v>
      </c>
      <c r="B1143" s="1831">
        <f>'Expenditures 15-22'!K74</f>
        <v>20492168</v>
      </c>
      <c r="C1143" s="2" t="s">
        <v>569</v>
      </c>
      <c r="D1143" s="2" t="str">
        <f t="shared" si="16"/>
        <v>Error?</v>
      </c>
    </row>
    <row r="1144" spans="1:4" x14ac:dyDescent="0.2">
      <c r="A1144" s="5">
        <v>1083</v>
      </c>
      <c r="B1144" s="1831">
        <f>'Expenditures 15-22'!K75</f>
        <v>1596097</v>
      </c>
      <c r="C1144" s="2" t="s">
        <v>569</v>
      </c>
      <c r="D1144" s="2" t="str">
        <f t="shared" si="16"/>
        <v>Error?</v>
      </c>
    </row>
    <row r="1145" spans="1:4" x14ac:dyDescent="0.2">
      <c r="A1145" s="5">
        <v>1084</v>
      </c>
      <c r="B1145" s="1831">
        <f>'Expenditures 15-22'!K102</f>
        <v>1554376</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61867807</v>
      </c>
      <c r="C1152" s="2" t="s">
        <v>569</v>
      </c>
      <c r="D1152" s="2" t="str">
        <f t="shared" si="17"/>
        <v>Error?</v>
      </c>
    </row>
    <row r="1153" spans="1:4" x14ac:dyDescent="0.2">
      <c r="A1153" s="5">
        <v>1092</v>
      </c>
      <c r="B1153" s="1831">
        <f>'Expenditures 15-22'!K115</f>
        <v>-1495303</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1520091</v>
      </c>
      <c r="D1221" s="2" t="str">
        <f t="shared" si="18"/>
        <v>Error?</v>
      </c>
    </row>
    <row r="1222" spans="1:4" x14ac:dyDescent="0.2">
      <c r="A1222" s="10">
        <v>1161</v>
      </c>
      <c r="B1222" s="1831"/>
      <c r="D1222" s="2" t="str">
        <f t="shared" si="18"/>
        <v>OK</v>
      </c>
    </row>
    <row r="1223" spans="1:4" x14ac:dyDescent="0.2">
      <c r="A1223" s="5">
        <v>1162</v>
      </c>
      <c r="B1223" s="1831">
        <f>'Expenditures 15-22'!C127</f>
        <v>1520091</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1520091</v>
      </c>
      <c r="C1225" s="2" t="s">
        <v>569</v>
      </c>
      <c r="D1225" s="2" t="str">
        <f t="shared" si="18"/>
        <v>Error?</v>
      </c>
    </row>
    <row r="1226" spans="1:4" x14ac:dyDescent="0.2">
      <c r="A1226" s="5">
        <v>1165</v>
      </c>
      <c r="B1226" s="1831">
        <f>'Expenditures 15-22'!C151</f>
        <v>1520091</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267939</v>
      </c>
      <c r="D1229" s="2" t="str">
        <f t="shared" si="18"/>
        <v>Error?</v>
      </c>
    </row>
    <row r="1230" spans="1:4" x14ac:dyDescent="0.2">
      <c r="A1230" s="10">
        <v>1169</v>
      </c>
      <c r="B1230" s="1831"/>
      <c r="D1230" s="2" t="str">
        <f t="shared" si="18"/>
        <v>OK</v>
      </c>
    </row>
    <row r="1231" spans="1:4" x14ac:dyDescent="0.2">
      <c r="A1231" s="5">
        <v>1170</v>
      </c>
      <c r="B1231" s="1831">
        <f>'Expenditures 15-22'!D127</f>
        <v>267939</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267939</v>
      </c>
      <c r="C1233" s="2" t="s">
        <v>569</v>
      </c>
      <c r="D1233" s="2" t="str">
        <f t="shared" si="18"/>
        <v>Error?</v>
      </c>
    </row>
    <row r="1234" spans="1:4" x14ac:dyDescent="0.2">
      <c r="A1234" s="5">
        <v>1173</v>
      </c>
      <c r="B1234" s="1831">
        <f>'Expenditures 15-22'!D151</f>
        <v>267939</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257733</v>
      </c>
      <c r="D1236" s="2" t="str">
        <f t="shared" si="18"/>
        <v>Error?</v>
      </c>
    </row>
    <row r="1237" spans="1:4" x14ac:dyDescent="0.2">
      <c r="A1237" s="5">
        <v>1176</v>
      </c>
      <c r="B1237" s="1831">
        <f>'Expenditures 15-22'!E124</f>
        <v>1490937</v>
      </c>
      <c r="D1237" s="2" t="str">
        <f t="shared" si="18"/>
        <v>Error?</v>
      </c>
    </row>
    <row r="1238" spans="1:4" x14ac:dyDescent="0.2">
      <c r="A1238" s="10">
        <v>1177</v>
      </c>
      <c r="B1238" s="1831"/>
      <c r="D1238" s="2" t="str">
        <f t="shared" si="18"/>
        <v>OK</v>
      </c>
    </row>
    <row r="1239" spans="1:4" x14ac:dyDescent="0.2">
      <c r="A1239" s="5">
        <v>1178</v>
      </c>
      <c r="B1239" s="1831">
        <f>'Expenditures 15-22'!E127</f>
        <v>1748670</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1748670</v>
      </c>
      <c r="C1241" s="2" t="s">
        <v>569</v>
      </c>
      <c r="D1241" s="2" t="str">
        <f t="shared" si="18"/>
        <v>Error?</v>
      </c>
    </row>
    <row r="1242" spans="1:4" x14ac:dyDescent="0.2">
      <c r="A1242" s="5">
        <v>1181</v>
      </c>
      <c r="B1242" s="1831">
        <f>'Expenditures 15-22'!E151</f>
        <v>1748670</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424347</v>
      </c>
      <c r="D1245" s="2" t="str">
        <f t="shared" si="18"/>
        <v>Error?</v>
      </c>
    </row>
    <row r="1246" spans="1:4" x14ac:dyDescent="0.2">
      <c r="A1246" s="10">
        <v>1185</v>
      </c>
      <c r="B1246" s="1831"/>
      <c r="D1246" s="2" t="str">
        <f t="shared" si="18"/>
        <v>OK</v>
      </c>
    </row>
    <row r="1247" spans="1:4" x14ac:dyDescent="0.2">
      <c r="A1247" s="5">
        <v>1186</v>
      </c>
      <c r="B1247" s="1831">
        <f>'Expenditures 15-22'!F127</f>
        <v>424347</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424347</v>
      </c>
      <c r="C1249" s="2" t="s">
        <v>569</v>
      </c>
      <c r="D1249" s="2" t="str">
        <f t="shared" si="18"/>
        <v>Error?</v>
      </c>
    </row>
    <row r="1250" spans="1:4" x14ac:dyDescent="0.2">
      <c r="A1250" s="5">
        <v>1189</v>
      </c>
      <c r="B1250" s="1831">
        <f>'Expenditures 15-22'!F151</f>
        <v>424347</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491866</v>
      </c>
      <c r="D1252" s="2" t="str">
        <f t="shared" si="18"/>
        <v>Error?</v>
      </c>
    </row>
    <row r="1253" spans="1:4" x14ac:dyDescent="0.2">
      <c r="A1253" s="5">
        <v>1192</v>
      </c>
      <c r="B1253" s="1831">
        <f>'Expenditures 15-22'!G124</f>
        <v>470888</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962754</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962754</v>
      </c>
      <c r="C1258" s="2" t="s">
        <v>569</v>
      </c>
      <c r="D1258" s="2" t="str">
        <f t="shared" si="18"/>
        <v>Error?</v>
      </c>
    </row>
    <row r="1259" spans="1:4" x14ac:dyDescent="0.2">
      <c r="A1259" s="5">
        <v>1198</v>
      </c>
      <c r="B1259" s="1831">
        <f>'Expenditures 15-22'!G151</f>
        <v>962754</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1009</v>
      </c>
      <c r="D1262" s="2" t="str">
        <f t="shared" si="18"/>
        <v>Error?</v>
      </c>
    </row>
    <row r="1263" spans="1:4" x14ac:dyDescent="0.2">
      <c r="A1263" s="10">
        <v>1202</v>
      </c>
      <c r="B1263" s="1831"/>
      <c r="D1263" s="2" t="str">
        <f t="shared" si="18"/>
        <v>OK</v>
      </c>
    </row>
    <row r="1264" spans="1:4" x14ac:dyDescent="0.2">
      <c r="A1264" s="5">
        <v>1203</v>
      </c>
      <c r="B1264" s="1831">
        <f>'Expenditures 15-22'!H127</f>
        <v>1009</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1009</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1009</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749599</v>
      </c>
      <c r="C1275" s="2" t="s">
        <v>569</v>
      </c>
      <c r="D1275" s="2" t="str">
        <f t="shared" si="18"/>
        <v>Error?</v>
      </c>
    </row>
    <row r="1276" spans="1:4" x14ac:dyDescent="0.2">
      <c r="A1276" s="5">
        <v>1215</v>
      </c>
      <c r="B1276" s="1831">
        <f>'Expenditures 15-22'!K124</f>
        <v>4271788</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5021387</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5021387</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5021387</v>
      </c>
      <c r="C1288" s="2" t="s">
        <v>569</v>
      </c>
      <c r="D1288" s="2" t="str">
        <f t="shared" si="19"/>
        <v>Error?</v>
      </c>
    </row>
    <row r="1289" spans="1:4" x14ac:dyDescent="0.2">
      <c r="A1289" s="5">
        <v>1228</v>
      </c>
      <c r="B1289" s="1831">
        <f>'Expenditures 15-22'!K152</f>
        <v>280746</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1400</v>
      </c>
      <c r="D1307" s="2" t="str">
        <f t="shared" si="19"/>
        <v>Error?</v>
      </c>
    </row>
    <row r="1308" spans="1:4" x14ac:dyDescent="0.2">
      <c r="A1308" s="5">
        <v>1247</v>
      </c>
      <c r="B1308" s="1831">
        <f>'Expenditures 15-22'!E172</f>
        <v>1400</v>
      </c>
      <c r="C1308" s="2" t="s">
        <v>569</v>
      </c>
      <c r="D1308" s="2" t="str">
        <f t="shared" si="19"/>
        <v>Error?</v>
      </c>
    </row>
    <row r="1309" spans="1:4" x14ac:dyDescent="0.2">
      <c r="A1309" s="5">
        <v>1248</v>
      </c>
      <c r="B1309" s="1831">
        <f>'Expenditures 15-22'!E174</f>
        <v>1400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1471277</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2279197</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3750474</v>
      </c>
      <c r="C1317" s="2" t="s">
        <v>569</v>
      </c>
      <c r="D1317" s="2" t="str">
        <f t="shared" si="19"/>
        <v>Error?</v>
      </c>
    </row>
    <row r="1318" spans="1:4" x14ac:dyDescent="0.2">
      <c r="A1318" s="5">
        <v>1257</v>
      </c>
      <c r="B1318" s="1831">
        <f>'Expenditures 15-22'!H174</f>
        <v>3750474</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1471277</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2279197</v>
      </c>
      <c r="C1329" s="2" t="s">
        <v>569</v>
      </c>
      <c r="D1329" s="2" t="str">
        <f t="shared" si="19"/>
        <v>Error?</v>
      </c>
    </row>
    <row r="1330" spans="1:4" x14ac:dyDescent="0.2">
      <c r="A1330" s="5">
        <v>1269</v>
      </c>
      <c r="B1330" s="1831">
        <f>'Expenditures 15-22'!K171</f>
        <v>1400</v>
      </c>
      <c r="C1330" s="2" t="s">
        <v>569</v>
      </c>
      <c r="D1330" s="2" t="str">
        <f t="shared" si="19"/>
        <v>Error?</v>
      </c>
    </row>
    <row r="1331" spans="1:4" x14ac:dyDescent="0.2">
      <c r="A1331" s="5">
        <v>1270</v>
      </c>
      <c r="B1331" s="1831">
        <f>'Expenditures 15-22'!K172</f>
        <v>3751874</v>
      </c>
      <c r="C1331" s="2" t="s">
        <v>569</v>
      </c>
      <c r="D1331" s="2" t="str">
        <f t="shared" si="19"/>
        <v>Error?</v>
      </c>
    </row>
    <row r="1332" spans="1:4" x14ac:dyDescent="0.2">
      <c r="A1332" s="5">
        <v>1271</v>
      </c>
      <c r="B1332" s="1831">
        <f>'Expenditures 15-22'!K174</f>
        <v>3751874</v>
      </c>
      <c r="C1332" s="2" t="s">
        <v>569</v>
      </c>
      <c r="D1332" s="2" t="str">
        <f t="shared" si="19"/>
        <v>Error?</v>
      </c>
    </row>
    <row r="1333" spans="1:4" x14ac:dyDescent="0.2">
      <c r="A1333" s="5">
        <v>1272</v>
      </c>
      <c r="B1333" s="1831">
        <f>'Expenditures 15-22'!K175</f>
        <v>-984906</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44128</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107427</v>
      </c>
      <c r="C1339" s="2" t="s">
        <v>569</v>
      </c>
      <c r="D1339" s="2" t="str">
        <f t="shared" si="19"/>
        <v>Error?</v>
      </c>
    </row>
    <row r="1340" spans="1:4" x14ac:dyDescent="0.2">
      <c r="A1340" s="5">
        <v>1279</v>
      </c>
      <c r="B1340" s="1831">
        <f>'Expenditures 15-22'!C210</f>
        <v>107427</v>
      </c>
      <c r="C1340" s="2" t="s">
        <v>569</v>
      </c>
      <c r="D1340" s="2" t="str">
        <f t="shared" si="19"/>
        <v>Error?</v>
      </c>
    </row>
    <row r="1341" spans="1:4" x14ac:dyDescent="0.2">
      <c r="A1341" s="5">
        <v>1280</v>
      </c>
      <c r="B1341" s="1831">
        <f>'Expenditures 15-22'!D182</f>
        <v>8650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10068</v>
      </c>
      <c r="C1345" s="2" t="s">
        <v>569</v>
      </c>
      <c r="D1345" s="2" t="str">
        <f t="shared" si="20"/>
        <v>Error?</v>
      </c>
    </row>
    <row r="1346" spans="1:4" x14ac:dyDescent="0.2">
      <c r="A1346" s="5">
        <v>1285</v>
      </c>
      <c r="B1346" s="1831">
        <f>'Expenditures 15-22'!D210</f>
        <v>10068</v>
      </c>
      <c r="C1346" s="2" t="s">
        <v>569</v>
      </c>
      <c r="D1346" s="2" t="str">
        <f t="shared" si="20"/>
        <v>Error?</v>
      </c>
    </row>
    <row r="1347" spans="1:4" x14ac:dyDescent="0.2">
      <c r="A1347" s="5">
        <v>1286</v>
      </c>
      <c r="B1347" s="1831">
        <f>'Expenditures 15-22'!E182</f>
        <v>2900411</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2900411</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2900411</v>
      </c>
      <c r="C1353" s="2" t="s">
        <v>569</v>
      </c>
      <c r="D1353" s="2" t="str">
        <f t="shared" si="20"/>
        <v>Error?</v>
      </c>
    </row>
    <row r="1354" spans="1:4" x14ac:dyDescent="0.2">
      <c r="A1354" s="5">
        <v>1293</v>
      </c>
      <c r="B1354" s="1831">
        <f>'Expenditures 15-22'!F182</f>
        <v>259652</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259652</v>
      </c>
      <c r="C1358" s="2" t="s">
        <v>569</v>
      </c>
      <c r="D1358" s="2" t="str">
        <f t="shared" si="20"/>
        <v>Error?</v>
      </c>
    </row>
    <row r="1359" spans="1:4" x14ac:dyDescent="0.2">
      <c r="A1359" s="5">
        <v>1298</v>
      </c>
      <c r="B1359" s="1831">
        <f>'Expenditures 15-22'!F210</f>
        <v>259652</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3212841</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3277558</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3277558</v>
      </c>
      <c r="C1388" s="2" t="s">
        <v>569</v>
      </c>
      <c r="D1388" s="2" t="str">
        <f t="shared" si="20"/>
        <v>Error?</v>
      </c>
    </row>
    <row r="1389" spans="1:4" x14ac:dyDescent="0.2">
      <c r="A1389" s="5">
        <v>1328</v>
      </c>
      <c r="B1389" s="1831">
        <f>'Expenditures 15-22'!K211</f>
        <v>2300124</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7815</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30622</v>
      </c>
      <c r="D1408" s="2" t="str">
        <f t="shared" si="21"/>
        <v>Error?</v>
      </c>
    </row>
    <row r="1409" spans="1:4" x14ac:dyDescent="0.2">
      <c r="A1409" s="5">
        <v>1348</v>
      </c>
      <c r="B1409" s="1831">
        <f>'Expenditures 15-22'!D224</f>
        <v>4030</v>
      </c>
      <c r="D1409" s="2" t="str">
        <f t="shared" si="21"/>
        <v>Error?</v>
      </c>
    </row>
    <row r="1410" spans="1:4" x14ac:dyDescent="0.2">
      <c r="A1410" s="5">
        <v>1349</v>
      </c>
      <c r="B1410" s="1831">
        <f>'Expenditures 15-22'!D229</f>
        <v>1093158</v>
      </c>
      <c r="C1410" s="2" t="s">
        <v>569</v>
      </c>
      <c r="D1410" s="2" t="str">
        <f t="shared" si="21"/>
        <v>Error?</v>
      </c>
    </row>
    <row r="1411" spans="1:4" x14ac:dyDescent="0.2">
      <c r="A1411" s="5">
        <v>1350</v>
      </c>
      <c r="B1411" s="1831">
        <f>'Expenditures 15-22'!D232</f>
        <v>26557</v>
      </c>
      <c r="D1411" s="2" t="str">
        <f t="shared" si="21"/>
        <v>Error?</v>
      </c>
    </row>
    <row r="1412" spans="1:4" x14ac:dyDescent="0.2">
      <c r="A1412" s="5">
        <v>1351</v>
      </c>
      <c r="B1412" s="1831">
        <f>'Expenditures 15-22'!D233</f>
        <v>12844</v>
      </c>
      <c r="D1412" s="2" t="str">
        <f t="shared" si="21"/>
        <v>Error?</v>
      </c>
    </row>
    <row r="1413" spans="1:4" x14ac:dyDescent="0.2">
      <c r="A1413" s="5">
        <v>1352</v>
      </c>
      <c r="B1413" s="1831">
        <f>'Expenditures 15-22'!D234</f>
        <v>89379</v>
      </c>
      <c r="D1413" s="2" t="str">
        <f t="shared" si="21"/>
        <v>Error?</v>
      </c>
    </row>
    <row r="1414" spans="1:4" x14ac:dyDescent="0.2">
      <c r="A1414" s="5">
        <v>1353</v>
      </c>
      <c r="B1414" s="1831">
        <f>'Expenditures 15-22'!D235</f>
        <v>5382</v>
      </c>
      <c r="D1414" s="2" t="str">
        <f t="shared" si="21"/>
        <v>Error?</v>
      </c>
    </row>
    <row r="1415" spans="1:4" x14ac:dyDescent="0.2">
      <c r="A1415" s="5">
        <v>1354</v>
      </c>
      <c r="B1415" s="1831">
        <f>'Expenditures 15-22'!D236</f>
        <v>9436</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143598</v>
      </c>
      <c r="C1417" s="2" t="s">
        <v>569</v>
      </c>
      <c r="D1417" s="2" t="str">
        <f t="shared" si="21"/>
        <v>Error?</v>
      </c>
    </row>
    <row r="1418" spans="1:4" x14ac:dyDescent="0.2">
      <c r="A1418" s="5">
        <v>1357</v>
      </c>
      <c r="B1418" s="1831">
        <f>'Expenditures 15-22'!D240</f>
        <v>77554</v>
      </c>
      <c r="D1418" s="2" t="str">
        <f t="shared" si="21"/>
        <v>Error?</v>
      </c>
    </row>
    <row r="1419" spans="1:4" x14ac:dyDescent="0.2">
      <c r="A1419" s="5">
        <v>1358</v>
      </c>
      <c r="B1419" s="1831">
        <f>'Expenditures 15-22'!D241</f>
        <v>63096</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140650</v>
      </c>
      <c r="C1421" s="2" t="s">
        <v>569</v>
      </c>
      <c r="D1421" s="2" t="str">
        <f t="shared" si="21"/>
        <v>Error?</v>
      </c>
    </row>
    <row r="1422" spans="1:4" x14ac:dyDescent="0.2">
      <c r="A1422" s="5">
        <v>1361</v>
      </c>
      <c r="B1422" s="1831">
        <f>'Expenditures 15-22'!D245</f>
        <v>8759</v>
      </c>
      <c r="D1422" s="2" t="str">
        <f t="shared" si="21"/>
        <v>Error?</v>
      </c>
    </row>
    <row r="1423" spans="1:4" x14ac:dyDescent="0.2">
      <c r="A1423" s="5">
        <v>1362</v>
      </c>
      <c r="B1423" s="1831">
        <f>'Expenditures 15-22'!D246</f>
        <v>19362</v>
      </c>
      <c r="D1423" s="2" t="str">
        <f t="shared" si="21"/>
        <v>Error?</v>
      </c>
    </row>
    <row r="1424" spans="1:4" x14ac:dyDescent="0.2">
      <c r="A1424" s="5">
        <v>1363</v>
      </c>
      <c r="B1424" s="1831">
        <f>'Expenditures 15-22'!D257</f>
        <v>95303</v>
      </c>
      <c r="C1424" s="2" t="s">
        <v>569</v>
      </c>
      <c r="D1424" s="2" t="str">
        <f t="shared" si="21"/>
        <v>Error?</v>
      </c>
    </row>
    <row r="1425" spans="1:4" x14ac:dyDescent="0.2">
      <c r="A1425" s="5">
        <v>1364</v>
      </c>
      <c r="B1425" s="1831">
        <f>'Expenditures 15-22'!D259</f>
        <v>196040</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196040</v>
      </c>
      <c r="C1427" s="2" t="s">
        <v>569</v>
      </c>
      <c r="D1427" s="2" t="str">
        <f t="shared" si="21"/>
        <v>Error?</v>
      </c>
    </row>
    <row r="1428" spans="1:4" x14ac:dyDescent="0.2">
      <c r="A1428" s="5">
        <v>1367</v>
      </c>
      <c r="B1428" s="1831">
        <f>'Expenditures 15-22'!D263</f>
        <v>942</v>
      </c>
      <c r="D1428" s="2" t="str">
        <f t="shared" si="21"/>
        <v>Error?</v>
      </c>
    </row>
    <row r="1429" spans="1:4" x14ac:dyDescent="0.2">
      <c r="A1429" s="5">
        <v>1368</v>
      </c>
      <c r="B1429" s="1831">
        <f>'Expenditures 15-22'!D264</f>
        <v>65606</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379603</v>
      </c>
      <c r="D1431" s="2" t="str">
        <f t="shared" si="21"/>
        <v>Error?</v>
      </c>
    </row>
    <row r="1432" spans="1:4" x14ac:dyDescent="0.2">
      <c r="A1432" s="5">
        <v>1371</v>
      </c>
      <c r="B1432" s="1831">
        <f>'Expenditures 15-22'!D267</f>
        <v>640</v>
      </c>
      <c r="D1432" s="2" t="str">
        <f t="shared" si="21"/>
        <v>Error?</v>
      </c>
    </row>
    <row r="1433" spans="1:4" x14ac:dyDescent="0.2">
      <c r="A1433" s="5">
        <v>1372</v>
      </c>
      <c r="B1433" s="1831">
        <f>'Expenditures 15-22'!D268</f>
        <v>239824</v>
      </c>
      <c r="D1433" s="2" t="str">
        <f t="shared" si="21"/>
        <v>Error?</v>
      </c>
    </row>
    <row r="1434" spans="1:4" x14ac:dyDescent="0.2">
      <c r="A1434" s="5">
        <v>1373</v>
      </c>
      <c r="B1434" s="1831">
        <f>'Expenditures 15-22'!D269</f>
        <v>2725</v>
      </c>
      <c r="D1434" s="2" t="str">
        <f t="shared" si="21"/>
        <v>Error?</v>
      </c>
    </row>
    <row r="1435" spans="1:4" x14ac:dyDescent="0.2">
      <c r="A1435" s="10">
        <v>1374</v>
      </c>
      <c r="B1435" s="1831"/>
      <c r="D1435" s="2" t="str">
        <f t="shared" si="21"/>
        <v>OK</v>
      </c>
    </row>
    <row r="1436" spans="1:4" x14ac:dyDescent="0.2">
      <c r="A1436" s="5">
        <v>1375</v>
      </c>
      <c r="B1436" s="1831">
        <f>'Expenditures 15-22'!D270</f>
        <v>689340</v>
      </c>
      <c r="C1436" s="2" t="s">
        <v>569</v>
      </c>
      <c r="D1436" s="2" t="str">
        <f t="shared" si="21"/>
        <v>Error?</v>
      </c>
    </row>
    <row r="1437" spans="1:4" x14ac:dyDescent="0.2">
      <c r="A1437" s="5">
        <v>1376</v>
      </c>
      <c r="B1437" s="1831">
        <f>'Expenditures 15-22'!D272</f>
        <v>8</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25206</v>
      </c>
      <c r="D1440" s="2" t="str">
        <f t="shared" si="21"/>
        <v>Error?</v>
      </c>
    </row>
    <row r="1441" spans="1:4" x14ac:dyDescent="0.2">
      <c r="A1441" s="10">
        <v>1380</v>
      </c>
      <c r="B1441" s="1831"/>
      <c r="D1441" s="2" t="str">
        <f t="shared" si="21"/>
        <v>OK</v>
      </c>
    </row>
    <row r="1442" spans="1:4" x14ac:dyDescent="0.2">
      <c r="A1442" s="5">
        <v>1381</v>
      </c>
      <c r="B1442" s="1831">
        <f>'Expenditures 15-22'!D276</f>
        <v>92628</v>
      </c>
      <c r="D1442" s="2" t="str">
        <f t="shared" si="21"/>
        <v>Error?</v>
      </c>
    </row>
    <row r="1443" spans="1:4" x14ac:dyDescent="0.2">
      <c r="A1443" s="10">
        <v>1382</v>
      </c>
      <c r="B1443" s="1831"/>
      <c r="D1443" s="2" t="str">
        <f t="shared" si="21"/>
        <v>OK</v>
      </c>
    </row>
    <row r="1444" spans="1:4" x14ac:dyDescent="0.2">
      <c r="A1444" s="5">
        <v>1383</v>
      </c>
      <c r="B1444" s="1831">
        <f>'Expenditures 15-22'!D277</f>
        <v>117842</v>
      </c>
      <c r="C1444" s="2" t="s">
        <v>569</v>
      </c>
      <c r="D1444" s="2" t="str">
        <f t="shared" si="21"/>
        <v>Error?</v>
      </c>
    </row>
    <row r="1445" spans="1:4" x14ac:dyDescent="0.2">
      <c r="A1445" s="5">
        <v>1384</v>
      </c>
      <c r="B1445" s="1831">
        <f>'Expenditures 15-22'!D278</f>
        <v>351</v>
      </c>
      <c r="D1445" s="2" t="str">
        <f t="shared" si="21"/>
        <v>Error?</v>
      </c>
    </row>
    <row r="1446" spans="1:4" x14ac:dyDescent="0.2">
      <c r="A1446" s="5">
        <v>1385</v>
      </c>
      <c r="B1446" s="1831">
        <f>'Expenditures 15-22'!D279</f>
        <v>1383124</v>
      </c>
      <c r="C1446" s="2" t="s">
        <v>569</v>
      </c>
      <c r="D1446" s="2" t="str">
        <f t="shared" si="21"/>
        <v>Error?</v>
      </c>
    </row>
    <row r="1447" spans="1:4" x14ac:dyDescent="0.2">
      <c r="A1447" s="5">
        <v>1386</v>
      </c>
      <c r="B1447" s="1831">
        <f>'Expenditures 15-22'!D280</f>
        <v>194685</v>
      </c>
      <c r="D1447" s="2" t="str">
        <f t="shared" si="21"/>
        <v>Error?</v>
      </c>
    </row>
    <row r="1448" spans="1:4" x14ac:dyDescent="0.2">
      <c r="A1448" s="5">
        <v>1387</v>
      </c>
      <c r="B1448" s="1831">
        <f>'Expenditures 15-22'!D295</f>
        <v>2670967</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7815</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30622</v>
      </c>
      <c r="C1472" s="2" t="s">
        <v>569</v>
      </c>
      <c r="D1472" s="2" t="str">
        <f t="shared" si="22"/>
        <v>Error?</v>
      </c>
    </row>
    <row r="1473" spans="1:4" x14ac:dyDescent="0.2">
      <c r="A1473" s="5">
        <v>1412</v>
      </c>
      <c r="B1473" s="1831">
        <f>'Expenditures 15-22'!K224</f>
        <v>4030</v>
      </c>
      <c r="C1473" s="2" t="s">
        <v>569</v>
      </c>
      <c r="D1473" s="2" t="str">
        <f t="shared" si="22"/>
        <v>Error?</v>
      </c>
    </row>
    <row r="1474" spans="1:4" x14ac:dyDescent="0.2">
      <c r="A1474" s="5">
        <v>1413</v>
      </c>
      <c r="B1474" s="1831">
        <f>'Expenditures 15-22'!K229</f>
        <v>1093158</v>
      </c>
      <c r="C1474" s="2" t="s">
        <v>569</v>
      </c>
      <c r="D1474" s="2" t="str">
        <f t="shared" si="22"/>
        <v>Error?</v>
      </c>
    </row>
    <row r="1475" spans="1:4" x14ac:dyDescent="0.2">
      <c r="A1475" s="5">
        <v>1414</v>
      </c>
      <c r="B1475" s="1831">
        <f>'Expenditures 15-22'!K232</f>
        <v>26557</v>
      </c>
      <c r="C1475" s="2" t="s">
        <v>569</v>
      </c>
      <c r="D1475" s="2" t="str">
        <f t="shared" si="22"/>
        <v>Error?</v>
      </c>
    </row>
    <row r="1476" spans="1:4" x14ac:dyDescent="0.2">
      <c r="A1476" s="5">
        <v>1415</v>
      </c>
      <c r="B1476" s="1831">
        <f>'Expenditures 15-22'!K233</f>
        <v>12844</v>
      </c>
      <c r="C1476" s="2" t="s">
        <v>569</v>
      </c>
      <c r="D1476" s="2" t="str">
        <f t="shared" si="22"/>
        <v>Error?</v>
      </c>
    </row>
    <row r="1477" spans="1:4" x14ac:dyDescent="0.2">
      <c r="A1477" s="5">
        <v>1416</v>
      </c>
      <c r="B1477" s="1831">
        <f>'Expenditures 15-22'!K234</f>
        <v>89379</v>
      </c>
      <c r="C1477" s="2" t="s">
        <v>569</v>
      </c>
      <c r="D1477" s="2" t="str">
        <f t="shared" si="22"/>
        <v>Error?</v>
      </c>
    </row>
    <row r="1478" spans="1:4" x14ac:dyDescent="0.2">
      <c r="A1478" s="5">
        <v>1417</v>
      </c>
      <c r="B1478" s="1831">
        <f>'Expenditures 15-22'!K235</f>
        <v>5382</v>
      </c>
      <c r="C1478" s="2" t="s">
        <v>569</v>
      </c>
      <c r="D1478" s="2" t="str">
        <f t="shared" si="22"/>
        <v>Error?</v>
      </c>
    </row>
    <row r="1479" spans="1:4" x14ac:dyDescent="0.2">
      <c r="A1479" s="5">
        <v>1418</v>
      </c>
      <c r="B1479" s="1831">
        <f>'Expenditures 15-22'!K236</f>
        <v>9436</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143598</v>
      </c>
      <c r="C1481" s="2" t="s">
        <v>569</v>
      </c>
      <c r="D1481" s="2" t="str">
        <f t="shared" si="22"/>
        <v>Error?</v>
      </c>
    </row>
    <row r="1482" spans="1:4" x14ac:dyDescent="0.2">
      <c r="A1482" s="5">
        <v>1421</v>
      </c>
      <c r="B1482" s="1831">
        <f>'Expenditures 15-22'!K240</f>
        <v>77554</v>
      </c>
      <c r="C1482" s="2" t="s">
        <v>569</v>
      </c>
      <c r="D1482" s="2" t="str">
        <f t="shared" si="22"/>
        <v>Error?</v>
      </c>
    </row>
    <row r="1483" spans="1:4" x14ac:dyDescent="0.2">
      <c r="A1483" s="5">
        <v>1422</v>
      </c>
      <c r="B1483" s="1831">
        <f>'Expenditures 15-22'!K241</f>
        <v>63096</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140650</v>
      </c>
      <c r="C1485" s="2" t="s">
        <v>569</v>
      </c>
      <c r="D1485" s="2" t="str">
        <f t="shared" si="22"/>
        <v>Error?</v>
      </c>
    </row>
    <row r="1486" spans="1:4" x14ac:dyDescent="0.2">
      <c r="A1486" s="5">
        <v>1425</v>
      </c>
      <c r="B1486" s="1831">
        <f>'Expenditures 15-22'!K245</f>
        <v>8759</v>
      </c>
      <c r="C1486" s="2" t="s">
        <v>569</v>
      </c>
      <c r="D1486" s="2" t="str">
        <f t="shared" si="22"/>
        <v>Error?</v>
      </c>
    </row>
    <row r="1487" spans="1:4" x14ac:dyDescent="0.2">
      <c r="A1487" s="5">
        <v>1426</v>
      </c>
      <c r="B1487" s="1831">
        <f>'Expenditures 15-22'!K246</f>
        <v>19362</v>
      </c>
      <c r="C1487" s="2" t="s">
        <v>569</v>
      </c>
      <c r="D1487" s="2" t="str">
        <f t="shared" si="22"/>
        <v>Error?</v>
      </c>
    </row>
    <row r="1488" spans="1:4" x14ac:dyDescent="0.2">
      <c r="A1488" s="5">
        <v>1427</v>
      </c>
      <c r="B1488" s="1831">
        <f>'Expenditures 15-22'!K257</f>
        <v>95303</v>
      </c>
      <c r="C1488" s="2" t="s">
        <v>569</v>
      </c>
      <c r="D1488" s="2" t="str">
        <f t="shared" si="22"/>
        <v>Error?</v>
      </c>
    </row>
    <row r="1489" spans="1:4" x14ac:dyDescent="0.2">
      <c r="A1489" s="5">
        <v>1428</v>
      </c>
      <c r="B1489" s="1831">
        <f>'Expenditures 15-22'!K259</f>
        <v>196040</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196040</v>
      </c>
      <c r="C1491" s="2" t="s">
        <v>569</v>
      </c>
      <c r="D1491" s="2" t="str">
        <f t="shared" si="22"/>
        <v>Error?</v>
      </c>
    </row>
    <row r="1492" spans="1:4" x14ac:dyDescent="0.2">
      <c r="A1492" s="5">
        <v>1431</v>
      </c>
      <c r="B1492" s="1831">
        <f>'Expenditures 15-22'!K263</f>
        <v>942</v>
      </c>
      <c r="C1492" s="2" t="s">
        <v>569</v>
      </c>
      <c r="D1492" s="2" t="str">
        <f t="shared" si="22"/>
        <v>Error?</v>
      </c>
    </row>
    <row r="1493" spans="1:4" x14ac:dyDescent="0.2">
      <c r="A1493" s="5">
        <v>1432</v>
      </c>
      <c r="B1493" s="1831">
        <f>'Expenditures 15-22'!K264</f>
        <v>65606</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379603</v>
      </c>
      <c r="C1495" s="2" t="s">
        <v>569</v>
      </c>
      <c r="D1495" s="2" t="str">
        <f t="shared" si="22"/>
        <v>Error?</v>
      </c>
    </row>
    <row r="1496" spans="1:4" x14ac:dyDescent="0.2">
      <c r="A1496" s="5">
        <v>1435</v>
      </c>
      <c r="B1496" s="1831">
        <f>'Expenditures 15-22'!K267</f>
        <v>640</v>
      </c>
      <c r="C1496" s="2" t="s">
        <v>569</v>
      </c>
      <c r="D1496" s="2" t="str">
        <f t="shared" si="22"/>
        <v>Error?</v>
      </c>
    </row>
    <row r="1497" spans="1:4" x14ac:dyDescent="0.2">
      <c r="A1497" s="5">
        <v>1436</v>
      </c>
      <c r="B1497" s="1831">
        <f>'Expenditures 15-22'!K268</f>
        <v>239824</v>
      </c>
      <c r="C1497" s="2" t="s">
        <v>569</v>
      </c>
      <c r="D1497" s="2" t="str">
        <f t="shared" si="22"/>
        <v>Error?</v>
      </c>
    </row>
    <row r="1498" spans="1:4" x14ac:dyDescent="0.2">
      <c r="A1498" s="5">
        <v>1437</v>
      </c>
      <c r="B1498" s="1831">
        <f>'Expenditures 15-22'!K269</f>
        <v>2725</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689340</v>
      </c>
      <c r="C1500" s="2" t="s">
        <v>569</v>
      </c>
      <c r="D1500" s="2" t="str">
        <f t="shared" si="22"/>
        <v>Error?</v>
      </c>
    </row>
    <row r="1501" spans="1:4" x14ac:dyDescent="0.2">
      <c r="A1501" s="5">
        <v>1440</v>
      </c>
      <c r="B1501" s="1831">
        <f>'Expenditures 15-22'!K272</f>
        <v>8</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25206</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92628</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117842</v>
      </c>
      <c r="C1508" s="2" t="s">
        <v>569</v>
      </c>
      <c r="D1508" s="2" t="str">
        <f t="shared" si="22"/>
        <v>Error?</v>
      </c>
    </row>
    <row r="1509" spans="1:4" x14ac:dyDescent="0.2">
      <c r="A1509" s="5">
        <v>1448</v>
      </c>
      <c r="B1509" s="1831">
        <f>'Expenditures 15-22'!K278</f>
        <v>351</v>
      </c>
      <c r="C1509" s="2" t="s">
        <v>569</v>
      </c>
      <c r="D1509" s="2" t="str">
        <f t="shared" si="22"/>
        <v>Error?</v>
      </c>
    </row>
    <row r="1510" spans="1:4" x14ac:dyDescent="0.2">
      <c r="A1510" s="5">
        <v>1449</v>
      </c>
      <c r="B1510" s="1831">
        <f>'Expenditures 15-22'!K279</f>
        <v>1383124</v>
      </c>
      <c r="C1510" s="2" t="s">
        <v>569</v>
      </c>
      <c r="D1510" s="2" t="str">
        <f t="shared" si="22"/>
        <v>Error?</v>
      </c>
    </row>
    <row r="1511" spans="1:4" x14ac:dyDescent="0.2">
      <c r="A1511" s="5">
        <v>1450</v>
      </c>
      <c r="B1511" s="1831">
        <f>'Expenditures 15-22'!K280</f>
        <v>194685</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2670967</v>
      </c>
      <c r="C1517" s="2" t="s">
        <v>569</v>
      </c>
      <c r="D1517" s="2" t="str">
        <f t="shared" si="22"/>
        <v>Error?</v>
      </c>
    </row>
    <row r="1518" spans="1:4" x14ac:dyDescent="0.2">
      <c r="A1518" s="5">
        <v>1457</v>
      </c>
      <c r="B1518" s="1831">
        <f>'Expenditures 15-22'!K296</f>
        <v>-66447</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67676</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67676</v>
      </c>
      <c r="C1547" s="2" t="s">
        <v>569</v>
      </c>
      <c r="D1547" s="2" t="str">
        <f t="shared" si="23"/>
        <v>Error?</v>
      </c>
    </row>
    <row r="1548" spans="1:4" x14ac:dyDescent="0.2">
      <c r="A1548" s="5">
        <v>1487</v>
      </c>
      <c r="B1548" s="1831">
        <f>'Expenditures 15-22'!G312</f>
        <v>67676</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67676</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67676</v>
      </c>
      <c r="C1559" s="2" t="s">
        <v>569</v>
      </c>
      <c r="D1559" s="2" t="str">
        <f t="shared" si="23"/>
        <v>Error?</v>
      </c>
    </row>
    <row r="1560" spans="1:4" x14ac:dyDescent="0.2">
      <c r="A1560" s="5">
        <v>1499</v>
      </c>
      <c r="B1560" s="1831">
        <f>'Expenditures 15-22'!K312</f>
        <v>67676</v>
      </c>
      <c r="C1560" s="2" t="s">
        <v>569</v>
      </c>
      <c r="D1560" s="2" t="str">
        <f t="shared" si="23"/>
        <v>Error?</v>
      </c>
    </row>
    <row r="1561" spans="1:4" x14ac:dyDescent="0.2">
      <c r="A1561" s="5">
        <v>1500</v>
      </c>
      <c r="B1561" s="1831">
        <f>'Expenditures 15-22'!K313</f>
        <v>-47607</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20438636</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18766268</v>
      </c>
      <c r="C1630" s="2" t="s">
        <v>569</v>
      </c>
      <c r="D1630" s="2" t="str">
        <f t="shared" si="24"/>
        <v>Error?</v>
      </c>
    </row>
    <row r="1631" spans="1:4" x14ac:dyDescent="0.2">
      <c r="A1631" s="5">
        <v>1570</v>
      </c>
      <c r="B1631" s="1831">
        <f>'Acct Summary 7-8'!D79</f>
        <v>3181305</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3462051</v>
      </c>
      <c r="C1644" s="2" t="s">
        <v>569</v>
      </c>
      <c r="D1644" s="2" t="str">
        <f t="shared" si="24"/>
        <v>Error?</v>
      </c>
    </row>
    <row r="1645" spans="1:4" x14ac:dyDescent="0.2">
      <c r="A1645" s="5">
        <v>1584</v>
      </c>
      <c r="B1645" s="1831">
        <f>'Acct Summary 7-8'!E79</f>
        <v>350520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447456</v>
      </c>
      <c r="C1658" s="2" t="s">
        <v>569</v>
      </c>
      <c r="D1658" s="2" t="str">
        <f t="shared" si="24"/>
        <v>Error?</v>
      </c>
    </row>
    <row r="1659" spans="1:4" x14ac:dyDescent="0.2">
      <c r="A1659" s="5">
        <v>1598</v>
      </c>
      <c r="B1659" s="1831">
        <f>'Acct Summary 7-8'!F79</f>
        <v>2974385</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5274509</v>
      </c>
      <c r="C1672" s="2" t="s">
        <v>569</v>
      </c>
      <c r="D1672" s="2" t="str">
        <f t="shared" si="25"/>
        <v>Error?</v>
      </c>
    </row>
    <row r="1673" spans="1:4" x14ac:dyDescent="0.2">
      <c r="A1673" s="5">
        <v>1612</v>
      </c>
      <c r="B1673" s="1831">
        <f>'Acct Summary 7-8'!G79</f>
        <v>1701692</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1635245</v>
      </c>
      <c r="C1686" s="2" t="s">
        <v>569</v>
      </c>
      <c r="D1686" s="2" t="str">
        <f t="shared" si="25"/>
        <v>Error?</v>
      </c>
    </row>
    <row r="1687" spans="1:4" x14ac:dyDescent="0.2">
      <c r="A1687" s="5">
        <v>1626</v>
      </c>
      <c r="B1687" s="1831">
        <f>'Acct Summary 7-8'!H79</f>
        <v>760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-46847</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9170476</v>
      </c>
      <c r="C1744" s="2" t="s">
        <v>569</v>
      </c>
      <c r="D1744" s="2" t="str">
        <f t="shared" si="26"/>
        <v>Error?</v>
      </c>
    </row>
    <row r="1745" spans="1:5" x14ac:dyDescent="0.2">
      <c r="A1745" s="5">
        <v>1684</v>
      </c>
      <c r="B1745" s="1831">
        <f>'Tax Sched 23'!B5</f>
        <v>1685738</v>
      </c>
      <c r="C1745" s="2" t="s">
        <v>569</v>
      </c>
      <c r="D1745" s="2" t="str">
        <f t="shared" si="26"/>
        <v>Error?</v>
      </c>
    </row>
    <row r="1746" spans="1:5" x14ac:dyDescent="0.2">
      <c r="A1746" s="5">
        <v>1685</v>
      </c>
      <c r="B1746" s="1831">
        <f>'Tax Sched 23'!B6</f>
        <v>2233507</v>
      </c>
      <c r="C1746" s="2" t="s">
        <v>569</v>
      </c>
      <c r="D1746" s="2" t="str">
        <f t="shared" si="26"/>
        <v>Error?</v>
      </c>
    </row>
    <row r="1747" spans="1:5" x14ac:dyDescent="0.2">
      <c r="A1747" s="5">
        <v>1686</v>
      </c>
      <c r="B1747" s="1831">
        <f>'Tax Sched 23'!B7</f>
        <v>674292</v>
      </c>
      <c r="C1747" s="2" t="s">
        <v>569</v>
      </c>
      <c r="D1747" s="2" t="str">
        <f t="shared" si="26"/>
        <v>Error?</v>
      </c>
    </row>
    <row r="1748" spans="1:5" x14ac:dyDescent="0.2">
      <c r="A1748" s="5">
        <v>1687</v>
      </c>
      <c r="B1748" s="1831">
        <f>'Tax Sched 23'!B8</f>
        <v>1236923</v>
      </c>
      <c r="C1748" s="2" t="s">
        <v>569</v>
      </c>
      <c r="D1748" s="2" t="str">
        <f t="shared" si="26"/>
        <v>Error?</v>
      </c>
    </row>
    <row r="1749" spans="1:5" x14ac:dyDescent="0.2">
      <c r="A1749" s="5">
        <v>1688</v>
      </c>
      <c r="B1749" s="1831">
        <f>'Tax Sched 23'!B10</f>
        <v>168568</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1606276</v>
      </c>
      <c r="C1752" s="2" t="s">
        <v>569</v>
      </c>
      <c r="D1752" s="2" t="str">
        <f t="shared" si="26"/>
        <v>Error?</v>
      </c>
    </row>
    <row r="1753" spans="1:5" x14ac:dyDescent="0.2">
      <c r="A1753" s="5">
        <v>1692</v>
      </c>
      <c r="B1753" s="1831">
        <f>'Tax Sched 23'!B12</f>
        <v>168569</v>
      </c>
      <c r="C1753" s="2" t="s">
        <v>569</v>
      </c>
      <c r="D1753" s="2" t="str">
        <f t="shared" si="26"/>
        <v>Error?</v>
      </c>
    </row>
    <row r="1754" spans="1:5" x14ac:dyDescent="0.2">
      <c r="A1754" s="5">
        <v>1693</v>
      </c>
      <c r="B1754" s="1831">
        <f>'Tax Sched 23'!B14</f>
        <v>134858</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18440901</v>
      </c>
      <c r="C1759" s="2" t="s">
        <v>569</v>
      </c>
      <c r="D1759" s="2" t="str">
        <f t="shared" si="26"/>
        <v>Error?</v>
      </c>
    </row>
    <row r="1760" spans="1:5" x14ac:dyDescent="0.2">
      <c r="A1760" s="5">
        <v>1699</v>
      </c>
      <c r="B1760" s="1831">
        <f>'Tax Sched 23'!D4</f>
        <v>9170476</v>
      </c>
      <c r="C1760" s="2" t="s">
        <v>569</v>
      </c>
      <c r="D1760" s="2" t="str">
        <f t="shared" si="26"/>
        <v>Error?</v>
      </c>
    </row>
    <row r="1761" spans="1:7" x14ac:dyDescent="0.2">
      <c r="A1761" s="5">
        <v>1700</v>
      </c>
      <c r="B1761" s="1831">
        <f>'Tax Sched 23'!D5</f>
        <v>1685738</v>
      </c>
      <c r="C1761" s="2" t="s">
        <v>569</v>
      </c>
      <c r="D1761" s="2" t="str">
        <f t="shared" si="26"/>
        <v>Error?</v>
      </c>
    </row>
    <row r="1762" spans="1:7" s="8" customFormat="1" x14ac:dyDescent="0.2">
      <c r="A1762" s="5">
        <v>1701</v>
      </c>
      <c r="B1762" s="1831">
        <f>'Tax Sched 23'!D6</f>
        <v>2233507</v>
      </c>
      <c r="C1762" s="2" t="s">
        <v>569</v>
      </c>
      <c r="D1762" s="2" t="str">
        <f t="shared" si="26"/>
        <v>Error?</v>
      </c>
      <c r="E1762" s="9"/>
      <c r="G1762"/>
    </row>
    <row r="1763" spans="1:7" x14ac:dyDescent="0.2">
      <c r="A1763" s="5">
        <v>1702</v>
      </c>
      <c r="B1763" s="1831">
        <f>'Tax Sched 23'!D7</f>
        <v>674292</v>
      </c>
      <c r="C1763" s="2" t="s">
        <v>569</v>
      </c>
      <c r="D1763" s="2" t="str">
        <f t="shared" si="26"/>
        <v>Error?</v>
      </c>
    </row>
    <row r="1764" spans="1:7" x14ac:dyDescent="0.2">
      <c r="A1764" s="5">
        <v>1703</v>
      </c>
      <c r="B1764" s="1831">
        <f>'Tax Sched 23'!D8</f>
        <v>1236923</v>
      </c>
      <c r="C1764" s="2" t="s">
        <v>569</v>
      </c>
      <c r="D1764" s="2" t="str">
        <f t="shared" si="26"/>
        <v>Error?</v>
      </c>
    </row>
    <row r="1765" spans="1:7" x14ac:dyDescent="0.2">
      <c r="A1765" s="5">
        <v>1704</v>
      </c>
      <c r="B1765" s="1831">
        <f>'Tax Sched 23'!D10</f>
        <v>168568</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1606276</v>
      </c>
      <c r="C1768" s="2" t="s">
        <v>569</v>
      </c>
      <c r="D1768" s="2" t="str">
        <f t="shared" si="26"/>
        <v>Error?</v>
      </c>
    </row>
    <row r="1769" spans="1:7" x14ac:dyDescent="0.2">
      <c r="A1769" s="5">
        <v>1708</v>
      </c>
      <c r="B1769" s="1831">
        <f>'Tax Sched 23'!D12</f>
        <v>168569</v>
      </c>
      <c r="C1769" s="2" t="s">
        <v>569</v>
      </c>
      <c r="D1769" s="2" t="str">
        <f t="shared" si="26"/>
        <v>Error?</v>
      </c>
    </row>
    <row r="1770" spans="1:7" x14ac:dyDescent="0.2">
      <c r="A1770" s="5">
        <v>1709</v>
      </c>
      <c r="B1770" s="1831">
        <f>'Tax Sched 23'!D14</f>
        <v>134858</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18440901</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9265038</v>
      </c>
      <c r="C1792" s="2" t="s">
        <v>569</v>
      </c>
      <c r="D1792" s="2" t="str">
        <f t="shared" si="27"/>
        <v>Error?</v>
      </c>
    </row>
    <row r="1793" spans="1:4" x14ac:dyDescent="0.2">
      <c r="A1793" s="5">
        <v>1732</v>
      </c>
      <c r="B1793" s="1831">
        <f>'Tax Sched 23'!F5</f>
        <v>1703132</v>
      </c>
      <c r="C1793" s="2" t="s">
        <v>569</v>
      </c>
      <c r="D1793" s="2" t="str">
        <f t="shared" si="27"/>
        <v>Error?</v>
      </c>
    </row>
    <row r="1794" spans="1:4" x14ac:dyDescent="0.2">
      <c r="A1794" s="5">
        <v>1733</v>
      </c>
      <c r="B1794" s="1831">
        <f>'Tax Sched 23'!F6</f>
        <v>2906701</v>
      </c>
      <c r="C1794" s="2" t="s">
        <v>569</v>
      </c>
      <c r="D1794" s="2" t="str">
        <f t="shared" si="27"/>
        <v>Error?</v>
      </c>
    </row>
    <row r="1795" spans="1:4" x14ac:dyDescent="0.2">
      <c r="A1795" s="5">
        <v>1734</v>
      </c>
      <c r="B1795" s="1831">
        <f>'Tax Sched 23'!F7</f>
        <v>681253</v>
      </c>
      <c r="C1795" s="2" t="s">
        <v>569</v>
      </c>
      <c r="D1795" s="2" t="str">
        <f t="shared" si="27"/>
        <v>Error?</v>
      </c>
    </row>
    <row r="1796" spans="1:4" x14ac:dyDescent="0.2">
      <c r="A1796" s="5">
        <v>1735</v>
      </c>
      <c r="B1796" s="1831">
        <f>'Tax Sched 23'!F8</f>
        <v>1257286</v>
      </c>
      <c r="C1796" s="2" t="s">
        <v>569</v>
      </c>
      <c r="D1796" s="2" t="str">
        <f t="shared" si="27"/>
        <v>Error?</v>
      </c>
    </row>
    <row r="1797" spans="1:4" x14ac:dyDescent="0.2">
      <c r="A1797" s="5">
        <v>1736</v>
      </c>
      <c r="B1797" s="1831">
        <f>'Tax Sched 23'!F10</f>
        <v>170313</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1632724</v>
      </c>
      <c r="C1800" s="2" t="s">
        <v>569</v>
      </c>
      <c r="D1800" s="2" t="str">
        <f t="shared" si="27"/>
        <v>Error?</v>
      </c>
    </row>
    <row r="1801" spans="1:4" x14ac:dyDescent="0.2">
      <c r="A1801" s="5">
        <v>1740</v>
      </c>
      <c r="B1801" s="1831">
        <f>'Tax Sched 23'!F12</f>
        <v>170313</v>
      </c>
      <c r="C1801" s="2" t="s">
        <v>569</v>
      </c>
      <c r="D1801" s="2" t="str">
        <f t="shared" si="27"/>
        <v>Error?</v>
      </c>
    </row>
    <row r="1802" spans="1:4" x14ac:dyDescent="0.2">
      <c r="A1802" s="5">
        <v>1741</v>
      </c>
      <c r="B1802" s="1831">
        <f>'Tax Sched 23'!F14</f>
        <v>136251</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19306124</v>
      </c>
      <c r="C1807" s="2" t="s">
        <v>569</v>
      </c>
      <c r="D1807" s="2" t="str">
        <f t="shared" si="27"/>
        <v>Error?</v>
      </c>
    </row>
    <row r="1808" spans="1:4" x14ac:dyDescent="0.2">
      <c r="A1808" s="5">
        <v>1747</v>
      </c>
      <c r="B1808" s="1831">
        <f>'Tax Sched 23'!E4</f>
        <v>9265038</v>
      </c>
      <c r="D1808" s="2" t="str">
        <f t="shared" si="27"/>
        <v>Error?</v>
      </c>
    </row>
    <row r="1809" spans="1:4" x14ac:dyDescent="0.2">
      <c r="A1809" s="5">
        <v>1748</v>
      </c>
      <c r="B1809" s="1831">
        <f>'Tax Sched 23'!E5</f>
        <v>1703132</v>
      </c>
      <c r="D1809" s="2" t="str">
        <f t="shared" si="27"/>
        <v>Error?</v>
      </c>
    </row>
    <row r="1810" spans="1:4" x14ac:dyDescent="0.2">
      <c r="A1810" s="5">
        <v>1749</v>
      </c>
      <c r="B1810" s="1831">
        <f>'Tax Sched 23'!E6</f>
        <v>2906701</v>
      </c>
      <c r="D1810" s="2" t="str">
        <f t="shared" si="27"/>
        <v>Error?</v>
      </c>
    </row>
    <row r="1811" spans="1:4" x14ac:dyDescent="0.2">
      <c r="A1811" s="5">
        <v>1750</v>
      </c>
      <c r="B1811" s="1831">
        <f>'Tax Sched 23'!E7</f>
        <v>681253</v>
      </c>
      <c r="D1811" s="2" t="str">
        <f t="shared" si="27"/>
        <v>Error?</v>
      </c>
    </row>
    <row r="1812" spans="1:4" x14ac:dyDescent="0.2">
      <c r="A1812" s="5">
        <v>1751</v>
      </c>
      <c r="B1812" s="1831">
        <f>'Tax Sched 23'!E8</f>
        <v>1257286</v>
      </c>
      <c r="D1812" s="2" t="str">
        <f t="shared" si="27"/>
        <v>Error?</v>
      </c>
    </row>
    <row r="1813" spans="1:4" x14ac:dyDescent="0.2">
      <c r="A1813" s="5">
        <v>1752</v>
      </c>
      <c r="B1813" s="1831">
        <f>'Tax Sched 23'!E10</f>
        <v>170313</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1632724</v>
      </c>
      <c r="D1816" s="2" t="str">
        <f t="shared" si="27"/>
        <v>Error?</v>
      </c>
    </row>
    <row r="1817" spans="1:4" x14ac:dyDescent="0.2">
      <c r="A1817" s="5">
        <v>1756</v>
      </c>
      <c r="B1817" s="1831">
        <f>'Tax Sched 23'!E12</f>
        <v>170313</v>
      </c>
      <c r="D1817" s="2" t="str">
        <f t="shared" si="27"/>
        <v>Error?</v>
      </c>
    </row>
    <row r="1818" spans="1:4" x14ac:dyDescent="0.2">
      <c r="A1818" s="5">
        <v>1757</v>
      </c>
      <c r="B1818" s="1831">
        <f>'Tax Sched 23'!E14</f>
        <v>136251</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19306124</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31146681</v>
      </c>
      <c r="C1939" s="2" t="s">
        <v>569</v>
      </c>
      <c r="D1939" s="2" t="str">
        <f t="shared" si="29"/>
        <v>Error?</v>
      </c>
    </row>
    <row r="1940" spans="1:5" x14ac:dyDescent="0.2">
      <c r="A1940" s="5">
        <v>1879</v>
      </c>
      <c r="B1940" s="1831">
        <f>'Short-Term Long-Term Debt 24'!F49</f>
        <v>904777</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263695</v>
      </c>
      <c r="D1971" s="2" t="str">
        <f t="shared" si="29"/>
        <v>Error?</v>
      </c>
    </row>
    <row r="1972" spans="1:5" x14ac:dyDescent="0.2">
      <c r="A1972" s="5">
        <v>1911</v>
      </c>
      <c r="B1972" s="1831">
        <f>'Rest Tax Levies-Tort Im 25'!H5</f>
        <v>134858</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134858</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398553</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2423798</v>
      </c>
      <c r="D2008" s="2" t="str">
        <f t="shared" si="30"/>
        <v>Error?</v>
      </c>
    </row>
    <row r="2009" spans="1:4" x14ac:dyDescent="0.2">
      <c r="A2009" s="5">
        <v>1948</v>
      </c>
      <c r="B2009" s="1831">
        <f>'Cap Outlay Deprec 26'!C8</f>
        <v>108434237</v>
      </c>
      <c r="D2009" s="2" t="str">
        <f t="shared" si="30"/>
        <v>Error?</v>
      </c>
    </row>
    <row r="2010" spans="1:4" x14ac:dyDescent="0.2">
      <c r="A2010" s="5">
        <v>1949</v>
      </c>
      <c r="B2010" s="1831">
        <f>'Cap Outlay Deprec 26'!C10</f>
        <v>7010898</v>
      </c>
      <c r="D2010" s="2" t="str">
        <f t="shared" si="30"/>
        <v>Error?</v>
      </c>
    </row>
    <row r="2011" spans="1:4" x14ac:dyDescent="0.2">
      <c r="A2011" s="5">
        <v>1950</v>
      </c>
      <c r="B2011" s="1831">
        <f>'Cap Outlay Deprec 26'!C12</f>
        <v>2811403</v>
      </c>
      <c r="D2011" s="2" t="str">
        <f t="shared" si="30"/>
        <v>Error?</v>
      </c>
    </row>
    <row r="2012" spans="1:4" x14ac:dyDescent="0.2">
      <c r="A2012" s="5">
        <v>1951</v>
      </c>
      <c r="B2012" s="1831">
        <f>'Cap Outlay Deprec 26'!C13</f>
        <v>1830477</v>
      </c>
      <c r="D2012" s="2" t="str">
        <f t="shared" si="30"/>
        <v>Error?</v>
      </c>
    </row>
    <row r="2013" spans="1:4" x14ac:dyDescent="0.2">
      <c r="A2013" s="5">
        <v>1952</v>
      </c>
      <c r="B2013" s="1831">
        <f>'Cap Outlay Deprec 26'!C16</f>
        <v>124601788</v>
      </c>
      <c r="C2013" s="2" t="s">
        <v>569</v>
      </c>
      <c r="D2013" s="2" t="str">
        <f t="shared" si="30"/>
        <v>Error?</v>
      </c>
    </row>
    <row r="2014" spans="1:4" x14ac:dyDescent="0.2">
      <c r="A2014" s="5">
        <v>1953</v>
      </c>
      <c r="B2014" s="1831">
        <f>'Cap Outlay Deprec 26'!D5</f>
        <v>29585</v>
      </c>
      <c r="D2014" s="2" t="str">
        <f t="shared" si="30"/>
        <v>Error?</v>
      </c>
    </row>
    <row r="2015" spans="1:4" x14ac:dyDescent="0.2">
      <c r="A2015" s="5">
        <v>1954</v>
      </c>
      <c r="B2015" s="1831">
        <f>'Cap Outlay Deprec 26'!D8</f>
        <v>1211734</v>
      </c>
      <c r="D2015" s="2" t="str">
        <f t="shared" si="30"/>
        <v>Error?</v>
      </c>
    </row>
    <row r="2016" spans="1:4" x14ac:dyDescent="0.2">
      <c r="A2016" s="5">
        <v>1955</v>
      </c>
      <c r="B2016" s="1831">
        <f>'Cap Outlay Deprec 26'!D10</f>
        <v>1986558</v>
      </c>
      <c r="D2016" s="2" t="str">
        <f t="shared" si="30"/>
        <v>Error?</v>
      </c>
    </row>
    <row r="2017" spans="1:4" x14ac:dyDescent="0.2">
      <c r="A2017" s="5">
        <v>1956</v>
      </c>
      <c r="B2017" s="1831">
        <f>'Cap Outlay Deprec 26'!D12</f>
        <v>238595</v>
      </c>
      <c r="D2017" s="2" t="str">
        <f t="shared" si="30"/>
        <v>Error?</v>
      </c>
    </row>
    <row r="2018" spans="1:4" x14ac:dyDescent="0.2">
      <c r="A2018" s="5">
        <v>1957</v>
      </c>
      <c r="B2018" s="1831">
        <f>'Cap Outlay Deprec 26'!D13</f>
        <v>63725</v>
      </c>
      <c r="D2018" s="2" t="str">
        <f t="shared" si="30"/>
        <v>Error?</v>
      </c>
    </row>
    <row r="2019" spans="1:4" x14ac:dyDescent="0.2">
      <c r="A2019" s="5">
        <v>1958</v>
      </c>
      <c r="B2019" s="1831">
        <f>'Cap Outlay Deprec 26'!D16</f>
        <v>4688390</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2997531</v>
      </c>
      <c r="C2025" s="2" t="s">
        <v>569</v>
      </c>
      <c r="D2025" s="2" t="str">
        <f t="shared" si="30"/>
        <v>Error?</v>
      </c>
    </row>
    <row r="2026" spans="1:4" x14ac:dyDescent="0.2">
      <c r="A2026" s="5">
        <v>1965</v>
      </c>
      <c r="B2026" s="1831">
        <f>'Cap Outlay Deprec 26'!F5</f>
        <v>2453383</v>
      </c>
      <c r="C2026" s="2" t="s">
        <v>569</v>
      </c>
      <c r="D2026" s="2" t="str">
        <f t="shared" si="30"/>
        <v>Error?</v>
      </c>
    </row>
    <row r="2027" spans="1:4" x14ac:dyDescent="0.2">
      <c r="A2027" s="5">
        <v>1966</v>
      </c>
      <c r="B2027" s="1831">
        <f>'Cap Outlay Deprec 26'!F8</f>
        <v>109645971</v>
      </c>
      <c r="C2027" s="2" t="s">
        <v>569</v>
      </c>
      <c r="D2027" s="2" t="str">
        <f t="shared" si="30"/>
        <v>Error?</v>
      </c>
    </row>
    <row r="2028" spans="1:4" x14ac:dyDescent="0.2">
      <c r="A2028" s="5">
        <v>1967</v>
      </c>
      <c r="B2028" s="1831">
        <f>'Cap Outlay Deprec 26'!F10</f>
        <v>8997456</v>
      </c>
      <c r="C2028" s="2" t="s">
        <v>569</v>
      </c>
      <c r="D2028" s="2" t="str">
        <f t="shared" si="30"/>
        <v>Error?</v>
      </c>
    </row>
    <row r="2029" spans="1:4" x14ac:dyDescent="0.2">
      <c r="A2029" s="5">
        <v>1968</v>
      </c>
      <c r="B2029" s="1831">
        <f>'Cap Outlay Deprec 26'!F12</f>
        <v>3049998</v>
      </c>
      <c r="C2029" s="2" t="s">
        <v>569</v>
      </c>
      <c r="D2029" s="2" t="str">
        <f t="shared" si="30"/>
        <v>Error?</v>
      </c>
    </row>
    <row r="2030" spans="1:4" x14ac:dyDescent="0.2">
      <c r="A2030" s="5">
        <v>1969</v>
      </c>
      <c r="B2030" s="1831">
        <f>'Cap Outlay Deprec 26'!F13</f>
        <v>1894202</v>
      </c>
      <c r="C2030" s="2" t="s">
        <v>569</v>
      </c>
      <c r="D2030" s="2" t="str">
        <f t="shared" si="30"/>
        <v>Error?</v>
      </c>
    </row>
    <row r="2031" spans="1:4" x14ac:dyDescent="0.2">
      <c r="A2031" s="5">
        <v>1970</v>
      </c>
      <c r="B2031" s="1831">
        <f>'Cap Outlay Deprec 26'!F16</f>
        <v>126292647</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66903483</v>
      </c>
      <c r="D2033" s="2" t="str">
        <f t="shared" si="30"/>
        <v>Error?</v>
      </c>
    </row>
    <row r="2034" spans="1:4" x14ac:dyDescent="0.2">
      <c r="A2034" s="5">
        <v>1973</v>
      </c>
      <c r="B2034" s="1831">
        <f>'Cap Outlay Deprec 26'!H10</f>
        <v>683914</v>
      </c>
      <c r="D2034" s="2" t="str">
        <f t="shared" si="30"/>
        <v>Error?</v>
      </c>
    </row>
    <row r="2035" spans="1:4" x14ac:dyDescent="0.2">
      <c r="A2035" s="5">
        <v>1974</v>
      </c>
      <c r="B2035" s="1831">
        <f>'Cap Outlay Deprec 26'!H12</f>
        <v>2139218</v>
      </c>
      <c r="D2035" s="2" t="str">
        <f t="shared" si="30"/>
        <v>Error?</v>
      </c>
    </row>
    <row r="2036" spans="1:4" x14ac:dyDescent="0.2">
      <c r="A2036" s="5">
        <v>1975</v>
      </c>
      <c r="B2036" s="1831">
        <f>'Cap Outlay Deprec 26'!H13</f>
        <v>1626769</v>
      </c>
      <c r="D2036" s="2" t="str">
        <f t="shared" si="30"/>
        <v>Error?</v>
      </c>
    </row>
    <row r="2037" spans="1:4" x14ac:dyDescent="0.2">
      <c r="A2037" s="5">
        <v>1976</v>
      </c>
      <c r="B2037" s="1831">
        <f>'Cap Outlay Deprec 26'!H16</f>
        <v>71353384</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3028288</v>
      </c>
      <c r="D2039" s="2" t="str">
        <f t="shared" si="30"/>
        <v>Error?</v>
      </c>
    </row>
    <row r="2040" spans="1:4" x14ac:dyDescent="0.2">
      <c r="A2040" s="5">
        <v>1979</v>
      </c>
      <c r="B2040" s="1831">
        <f>'Cap Outlay Deprec 26'!I10</f>
        <v>393577</v>
      </c>
      <c r="D2040" s="2" t="str">
        <f t="shared" si="30"/>
        <v>Error?</v>
      </c>
    </row>
    <row r="2041" spans="1:4" x14ac:dyDescent="0.2">
      <c r="A2041" s="5">
        <v>1980</v>
      </c>
      <c r="B2041" s="1831">
        <f>'Cap Outlay Deprec 26'!I12</f>
        <v>137321</v>
      </c>
      <c r="D2041" s="2" t="str">
        <f t="shared" si="30"/>
        <v>Error?</v>
      </c>
    </row>
    <row r="2042" spans="1:4" x14ac:dyDescent="0.2">
      <c r="A2042" s="5">
        <v>1981</v>
      </c>
      <c r="B2042" s="1831">
        <f>'Cap Outlay Deprec 26'!I13</f>
        <v>120084</v>
      </c>
      <c r="D2042" s="2" t="str">
        <f t="shared" si="30"/>
        <v>Error?</v>
      </c>
    </row>
    <row r="2043" spans="1:4" x14ac:dyDescent="0.2">
      <c r="A2043" s="5">
        <v>1982</v>
      </c>
      <c r="B2043" s="1831">
        <f>'Cap Outlay Deprec 26'!I16</f>
        <v>3679270</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69931771</v>
      </c>
      <c r="C2051" s="2" t="s">
        <v>569</v>
      </c>
      <c r="D2051" s="2" t="str">
        <f t="shared" si="31"/>
        <v>Error?</v>
      </c>
    </row>
    <row r="2052" spans="1:4" x14ac:dyDescent="0.2">
      <c r="A2052" s="5">
        <v>1991</v>
      </c>
      <c r="B2052" s="1831">
        <f>'Cap Outlay Deprec 26'!K10</f>
        <v>1077491</v>
      </c>
      <c r="C2052" s="2" t="s">
        <v>569</v>
      </c>
      <c r="D2052" s="2" t="str">
        <f t="shared" si="31"/>
        <v>Error?</v>
      </c>
    </row>
    <row r="2053" spans="1:4" x14ac:dyDescent="0.2">
      <c r="A2053" s="5">
        <v>1992</v>
      </c>
      <c r="B2053" s="1831">
        <f>'Cap Outlay Deprec 26'!K12</f>
        <v>2276539</v>
      </c>
      <c r="C2053" s="2" t="s">
        <v>569</v>
      </c>
      <c r="D2053" s="2" t="str">
        <f t="shared" si="31"/>
        <v>Error?</v>
      </c>
    </row>
    <row r="2054" spans="1:4" x14ac:dyDescent="0.2">
      <c r="A2054" s="5">
        <v>1993</v>
      </c>
      <c r="B2054" s="1831">
        <f>'Cap Outlay Deprec 26'!K13</f>
        <v>1746853</v>
      </c>
      <c r="C2054" s="2" t="s">
        <v>569</v>
      </c>
      <c r="D2054" s="2" t="str">
        <f t="shared" si="31"/>
        <v>Error?</v>
      </c>
    </row>
    <row r="2055" spans="1:4" x14ac:dyDescent="0.2">
      <c r="A2055" s="5">
        <v>1994</v>
      </c>
      <c r="B2055" s="1831">
        <f>'Cap Outlay Deprec 26'!K16</f>
        <v>75032654</v>
      </c>
      <c r="C2055" s="2" t="s">
        <v>569</v>
      </c>
      <c r="D2055" s="2" t="str">
        <f t="shared" si="31"/>
        <v>Error?</v>
      </c>
    </row>
    <row r="2056" spans="1:4" x14ac:dyDescent="0.2">
      <c r="A2056" s="5">
        <v>1995</v>
      </c>
      <c r="B2056" s="1831">
        <f>'Cap Outlay Deprec 26'!L5</f>
        <v>2453383</v>
      </c>
      <c r="C2056" s="2" t="s">
        <v>569</v>
      </c>
      <c r="D2056" s="2" t="str">
        <f t="shared" si="31"/>
        <v>Error?</v>
      </c>
    </row>
    <row r="2057" spans="1:4" x14ac:dyDescent="0.2">
      <c r="A2057" s="5">
        <v>1996</v>
      </c>
      <c r="B2057" s="1831">
        <f>'Cap Outlay Deprec 26'!L8</f>
        <v>39714200</v>
      </c>
      <c r="C2057" s="2" t="s">
        <v>569</v>
      </c>
      <c r="D2057" s="2" t="str">
        <f t="shared" si="31"/>
        <v>Error?</v>
      </c>
    </row>
    <row r="2058" spans="1:4" x14ac:dyDescent="0.2">
      <c r="A2058" s="5">
        <v>1997</v>
      </c>
      <c r="B2058" s="1831">
        <f>'Cap Outlay Deprec 26'!L10</f>
        <v>7919965</v>
      </c>
      <c r="C2058" s="2" t="s">
        <v>569</v>
      </c>
      <c r="D2058" s="2" t="str">
        <f t="shared" si="31"/>
        <v>Error?</v>
      </c>
    </row>
    <row r="2059" spans="1:4" x14ac:dyDescent="0.2">
      <c r="A2059" s="5">
        <v>1998</v>
      </c>
      <c r="B2059" s="1831">
        <f>'Cap Outlay Deprec 26'!L12</f>
        <v>773459</v>
      </c>
      <c r="C2059" s="2" t="s">
        <v>569</v>
      </c>
      <c r="D2059" s="2" t="str">
        <f t="shared" si="31"/>
        <v>Error?</v>
      </c>
    </row>
    <row r="2060" spans="1:4" x14ac:dyDescent="0.2">
      <c r="A2060" s="5">
        <v>1999</v>
      </c>
      <c r="B2060" s="1831">
        <f>'Cap Outlay Deprec 26'!L13</f>
        <v>147349</v>
      </c>
      <c r="C2060" s="2" t="s">
        <v>569</v>
      </c>
      <c r="D2060" s="2" t="str">
        <f t="shared" si="31"/>
        <v>Error?</v>
      </c>
    </row>
    <row r="2061" spans="1:4" x14ac:dyDescent="0.2">
      <c r="A2061" s="5">
        <v>2000</v>
      </c>
      <c r="B2061" s="1831">
        <f>'Cap Outlay Deprec 26'!L16</f>
        <v>51259993</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1075001</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1237345</v>
      </c>
      <c r="C2088" s="2" t="s">
        <v>569</v>
      </c>
      <c r="D2088" s="2" t="str">
        <f t="shared" si="31"/>
        <v>Error?</v>
      </c>
    </row>
    <row r="2089" spans="1:4" x14ac:dyDescent="0.2">
      <c r="A2089" s="5">
        <v>2028</v>
      </c>
      <c r="B2089" s="1831">
        <f>'Expenditures 15-22'!K92</f>
        <v>301739</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1464253</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5274509</v>
      </c>
      <c r="D2475" s="2" t="str">
        <f t="shared" si="37"/>
        <v>Error?</v>
      </c>
    </row>
    <row r="2476" spans="1:4" x14ac:dyDescent="0.2">
      <c r="A2476" s="10">
        <v>2415</v>
      </c>
      <c r="B2476" s="1831"/>
      <c r="D2476" s="2" t="str">
        <f t="shared" si="37"/>
        <v>OK</v>
      </c>
    </row>
    <row r="2477" spans="1:4" x14ac:dyDescent="0.2">
      <c r="A2477" s="5">
        <v>2416</v>
      </c>
      <c r="B2477" s="1831">
        <f>'Assets-Liab 5-6'!G38</f>
        <v>1635245</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447456</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11432407</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39691402</v>
      </c>
      <c r="C2553" s="2" t="s">
        <v>569</v>
      </c>
      <c r="D2553" s="2" t="str">
        <f t="shared" si="38"/>
        <v>Error?</v>
      </c>
    </row>
    <row r="2554" spans="1:4" x14ac:dyDescent="0.2">
      <c r="A2554" s="5">
        <v>2493</v>
      </c>
      <c r="B2554" s="1831">
        <f>'Acct Summary 7-8'!C7</f>
        <v>9208695</v>
      </c>
      <c r="C2554" s="2" t="s">
        <v>569</v>
      </c>
      <c r="D2554" s="2" t="str">
        <f t="shared" si="38"/>
        <v>Error?</v>
      </c>
    </row>
    <row r="2555" spans="1:4" x14ac:dyDescent="0.2">
      <c r="A2555" s="5">
        <v>2494</v>
      </c>
      <c r="B2555" s="1831">
        <f>'Acct Summary 7-8'!C8</f>
        <v>60372504</v>
      </c>
      <c r="C2555" s="2" t="s">
        <v>569</v>
      </c>
      <c r="D2555" s="2" t="str">
        <f t="shared" si="38"/>
        <v>Error?</v>
      </c>
    </row>
    <row r="2556" spans="1:4" x14ac:dyDescent="0.2">
      <c r="A2556" s="5">
        <v>2495</v>
      </c>
      <c r="B2556" s="1831">
        <f>'Acct Summary 7-8'!C12</f>
        <v>38225166</v>
      </c>
      <c r="C2556" s="2" t="s">
        <v>569</v>
      </c>
      <c r="D2556" s="2" t="str">
        <f t="shared" si="38"/>
        <v>Error?</v>
      </c>
    </row>
    <row r="2557" spans="1:4" x14ac:dyDescent="0.2">
      <c r="A2557" s="5">
        <v>2496</v>
      </c>
      <c r="B2557" s="1831">
        <f>'Acct Summary 7-8'!C13</f>
        <v>20492168</v>
      </c>
      <c r="C2557" s="2" t="s">
        <v>569</v>
      </c>
      <c r="D2557" s="2" t="str">
        <f t="shared" si="38"/>
        <v>Error?</v>
      </c>
    </row>
    <row r="2558" spans="1:4" x14ac:dyDescent="0.2">
      <c r="A2558" s="5">
        <v>2497</v>
      </c>
      <c r="B2558" s="1831">
        <f>'Acct Summary 7-8'!C14</f>
        <v>1596097</v>
      </c>
      <c r="C2558" s="2" t="s">
        <v>569</v>
      </c>
      <c r="D2558" s="2" t="str">
        <f t="shared" si="38"/>
        <v>Error?</v>
      </c>
    </row>
    <row r="2559" spans="1:4" x14ac:dyDescent="0.2">
      <c r="A2559" s="5">
        <v>2498</v>
      </c>
      <c r="B2559" s="1831">
        <f>'Acct Summary 7-8'!C15</f>
        <v>1554376</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61867807</v>
      </c>
      <c r="C2561" s="2" t="s">
        <v>569</v>
      </c>
      <c r="D2561" s="2" t="str">
        <f t="shared" si="39"/>
        <v>Error?</v>
      </c>
    </row>
    <row r="2562" spans="1:4" x14ac:dyDescent="0.2">
      <c r="A2562" s="5">
        <v>2501</v>
      </c>
      <c r="B2562" s="1831">
        <f>'Acct Summary 7-8'!C20</f>
        <v>-1495303</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5252133</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50000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5302133</v>
      </c>
      <c r="C2568" s="2" t="s">
        <v>569</v>
      </c>
      <c r="D2568" s="2" t="str">
        <f t="shared" si="39"/>
        <v>Error?</v>
      </c>
    </row>
    <row r="2569" spans="1:4" x14ac:dyDescent="0.2">
      <c r="A2569" s="5">
        <v>2508</v>
      </c>
      <c r="B2569" s="1831">
        <f>'Acct Summary 7-8'!D13</f>
        <v>5021387</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5021387</v>
      </c>
      <c r="C2573" s="2" t="s">
        <v>569</v>
      </c>
      <c r="D2573" s="2" t="str">
        <f t="shared" si="39"/>
        <v>Error?</v>
      </c>
    </row>
    <row r="2574" spans="1:4" x14ac:dyDescent="0.2">
      <c r="A2574" s="5">
        <v>2513</v>
      </c>
      <c r="B2574" s="1831">
        <f>'Acct Summary 7-8'!D20</f>
        <v>280746</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711901</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4321705</v>
      </c>
      <c r="C2593" s="2" t="s">
        <v>569</v>
      </c>
      <c r="D2593" s="2" t="str">
        <f t="shared" si="39"/>
        <v>Error?</v>
      </c>
    </row>
    <row r="2594" spans="1:4" x14ac:dyDescent="0.2">
      <c r="A2594" s="5">
        <v>2533</v>
      </c>
      <c r="B2594" s="1831">
        <f>'Acct Summary 7-8'!F7</f>
        <v>544076</v>
      </c>
      <c r="C2594" s="2" t="s">
        <v>569</v>
      </c>
      <c r="D2594" s="2" t="str">
        <f t="shared" si="39"/>
        <v>Error?</v>
      </c>
    </row>
    <row r="2595" spans="1:4" x14ac:dyDescent="0.2">
      <c r="A2595" s="5">
        <v>2534</v>
      </c>
      <c r="B2595" s="1831">
        <f>'Acct Summary 7-8'!F8</f>
        <v>5577682</v>
      </c>
      <c r="C2595" s="2" t="s">
        <v>569</v>
      </c>
      <c r="D2595" s="2" t="str">
        <f t="shared" si="39"/>
        <v>Error?</v>
      </c>
    </row>
    <row r="2596" spans="1:4" x14ac:dyDescent="0.2">
      <c r="A2596" s="5">
        <v>2535</v>
      </c>
      <c r="B2596" s="1831">
        <f>'Acct Summary 7-8'!F13</f>
        <v>3277558</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3277558</v>
      </c>
      <c r="C2600" s="2" t="s">
        <v>569</v>
      </c>
      <c r="D2600" s="2" t="str">
        <f t="shared" si="39"/>
        <v>Error?</v>
      </c>
    </row>
    <row r="2601" spans="1:4" x14ac:dyDescent="0.2">
      <c r="A2601" s="5">
        <v>2540</v>
      </c>
      <c r="B2601" s="1831">
        <f>'Acct Summary 7-8'!F20</f>
        <v>2300124</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2604520</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2604520</v>
      </c>
      <c r="C2606" s="2" t="s">
        <v>569</v>
      </c>
      <c r="D2606" s="2" t="str">
        <f t="shared" si="39"/>
        <v>Error?</v>
      </c>
    </row>
    <row r="2607" spans="1:4" x14ac:dyDescent="0.2">
      <c r="A2607" s="5">
        <v>2546</v>
      </c>
      <c r="B2607" s="1831">
        <f>'Acct Summary 7-8'!G12</f>
        <v>1093158</v>
      </c>
      <c r="C2607" s="2" t="s">
        <v>569</v>
      </c>
      <c r="D2607" s="2" t="str">
        <f t="shared" si="39"/>
        <v>Error?</v>
      </c>
    </row>
    <row r="2608" spans="1:4" x14ac:dyDescent="0.2">
      <c r="A2608" s="5">
        <v>2547</v>
      </c>
      <c r="B2608" s="1831">
        <f>'Acct Summary 7-8'!G13</f>
        <v>1383124</v>
      </c>
      <c r="C2608" s="2" t="s">
        <v>569</v>
      </c>
      <c r="D2608" s="2" t="str">
        <f t="shared" si="39"/>
        <v>Error?</v>
      </c>
    </row>
    <row r="2609" spans="1:4" x14ac:dyDescent="0.2">
      <c r="A2609" s="5">
        <v>2548</v>
      </c>
      <c r="B2609" s="1831">
        <f>'Acct Summary 7-8'!G14</f>
        <v>194685</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2670967</v>
      </c>
      <c r="C2612" s="2" t="s">
        <v>569</v>
      </c>
      <c r="D2612" s="2" t="str">
        <f t="shared" si="39"/>
        <v>Error?</v>
      </c>
    </row>
    <row r="2613" spans="1:4" x14ac:dyDescent="0.2">
      <c r="A2613" s="5">
        <v>2552</v>
      </c>
      <c r="B2613" s="1831">
        <f>'Acct Summary 7-8'!G20</f>
        <v>-66447</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2244040</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2766968</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3751874</v>
      </c>
      <c r="C2634" s="2" t="s">
        <v>569</v>
      </c>
      <c r="D2634" s="2" t="str">
        <f t="shared" si="40"/>
        <v>Error?</v>
      </c>
    </row>
    <row r="2635" spans="1:4" x14ac:dyDescent="0.2">
      <c r="A2635" s="5">
        <v>2574</v>
      </c>
      <c r="B2635" s="1831">
        <f>'Acct Summary 7-8'!E17</f>
        <v>3751874</v>
      </c>
      <c r="C2635" s="2" t="s">
        <v>569</v>
      </c>
      <c r="D2635" s="2" t="str">
        <f t="shared" si="40"/>
        <v>Error?</v>
      </c>
    </row>
    <row r="2636" spans="1:4" x14ac:dyDescent="0.2">
      <c r="A2636" s="5">
        <v>2575</v>
      </c>
      <c r="B2636" s="1831">
        <f>'Acct Summary 7-8'!E20</f>
        <v>-984906</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20069</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20069</v>
      </c>
      <c r="C2658" s="2" t="s">
        <v>569</v>
      </c>
      <c r="D2658" s="2" t="str">
        <f t="shared" si="40"/>
        <v>Error?</v>
      </c>
    </row>
    <row r="2659" spans="1:4" x14ac:dyDescent="0.2">
      <c r="A2659" s="5">
        <v>2598</v>
      </c>
      <c r="B2659" s="1831">
        <f>'Acct Summary 7-8'!H13</f>
        <v>67676</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67676</v>
      </c>
      <c r="C2661" s="2" t="s">
        <v>569</v>
      </c>
      <c r="D2661" s="2" t="str">
        <f t="shared" si="40"/>
        <v>Error?</v>
      </c>
    </row>
    <row r="2662" spans="1:4" x14ac:dyDescent="0.2">
      <c r="A2662" s="5">
        <v>2601</v>
      </c>
      <c r="B2662" s="1831">
        <f>'Acct Summary 7-8'!H20</f>
        <v>-47607</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285173</v>
      </c>
      <c r="D2718" s="2" t="str">
        <f t="shared" si="41"/>
        <v>Error?</v>
      </c>
    </row>
    <row r="2719" spans="1:4" x14ac:dyDescent="0.2">
      <c r="A2719" s="5">
        <v>2658</v>
      </c>
      <c r="B2719" s="1831">
        <f>'Expenditures 15-22'!D51</f>
        <v>68244</v>
      </c>
      <c r="D2719" s="2" t="str">
        <f t="shared" si="41"/>
        <v>Error?</v>
      </c>
    </row>
    <row r="2720" spans="1:4" x14ac:dyDescent="0.2">
      <c r="A2720" s="5">
        <v>2659</v>
      </c>
      <c r="B2720" s="1831">
        <f>'Expenditures 15-22'!E51</f>
        <v>2646</v>
      </c>
      <c r="D2720" s="2" t="str">
        <f t="shared" si="41"/>
        <v>Error?</v>
      </c>
    </row>
    <row r="2721" spans="1:4" x14ac:dyDescent="0.2">
      <c r="A2721" s="5">
        <v>2660</v>
      </c>
      <c r="B2721" s="1831">
        <f>'Expenditures 15-22'!F51</f>
        <v>2286</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1829</v>
      </c>
      <c r="D2723" s="2" t="str">
        <f t="shared" si="41"/>
        <v>Error?</v>
      </c>
    </row>
    <row r="2724" spans="1:4" x14ac:dyDescent="0.2">
      <c r="A2724" s="5">
        <v>2663</v>
      </c>
      <c r="B2724" s="1831">
        <f>'Expenditures 15-22'!K51</f>
        <v>360178</v>
      </c>
      <c r="C2724" s="2" t="s">
        <v>569</v>
      </c>
      <c r="D2724" s="2" t="str">
        <f t="shared" si="41"/>
        <v>Error?</v>
      </c>
    </row>
    <row r="2725" spans="1:4" x14ac:dyDescent="0.2">
      <c r="A2725" s="5">
        <v>2664</v>
      </c>
      <c r="B2725" s="1831">
        <f>'Expenditures 15-22'!D247</f>
        <v>16357</v>
      </c>
      <c r="D2725" s="2" t="str">
        <f t="shared" si="41"/>
        <v>Error?</v>
      </c>
    </row>
    <row r="2726" spans="1:4" x14ac:dyDescent="0.2">
      <c r="A2726" s="5">
        <v>2665</v>
      </c>
      <c r="B2726" s="1831">
        <f>'Expenditures 15-22'!K247</f>
        <v>16357</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1989</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162344</v>
      </c>
      <c r="C2789" s="2" t="s">
        <v>569</v>
      </c>
      <c r="D2789" s="2" t="str">
        <f t="shared" si="42"/>
        <v>Error?</v>
      </c>
    </row>
    <row r="2790" spans="1:4" x14ac:dyDescent="0.2">
      <c r="A2790" s="5">
        <v>2729</v>
      </c>
      <c r="B2790" s="1831">
        <f>'Expenditures 15-22'!E102</f>
        <v>177636</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251637</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167758</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3074847</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3485074</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687366</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167758</v>
      </c>
      <c r="D2908" s="2" t="str">
        <f t="shared" si="44"/>
        <v>Error?</v>
      </c>
    </row>
    <row r="2909" spans="1:4" x14ac:dyDescent="0.2">
      <c r="A2909" s="10">
        <v>2848</v>
      </c>
      <c r="B2909" s="1831"/>
      <c r="D2909" s="2" t="str">
        <f t="shared" si="44"/>
        <v>OK</v>
      </c>
    </row>
    <row r="2910" spans="1:4" x14ac:dyDescent="0.2">
      <c r="A2910" s="5">
        <v>2849</v>
      </c>
      <c r="B2910" s="1831">
        <f>'Assets-Liab 5-6'!I34</f>
        <v>167758</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3317316</v>
      </c>
      <c r="D2912" s="2" t="str">
        <f t="shared" si="44"/>
        <v>Error?</v>
      </c>
    </row>
    <row r="2913" spans="1:4" x14ac:dyDescent="0.2">
      <c r="A2913" s="5">
        <v>2852</v>
      </c>
      <c r="B2913" s="1831">
        <f>'Assets-Liab 5-6'!I41</f>
        <v>3485074</v>
      </c>
      <c r="C2913" s="2" t="s">
        <v>569</v>
      </c>
      <c r="D2913" s="2" t="str">
        <f t="shared" si="44"/>
        <v>Error?</v>
      </c>
    </row>
    <row r="2914" spans="1:4" x14ac:dyDescent="0.2">
      <c r="A2914" s="5">
        <v>2853</v>
      </c>
      <c r="B2914" s="1831">
        <f>'Assets-Liab 5-6'!L33</f>
        <v>687366</v>
      </c>
      <c r="D2914" s="2" t="str">
        <f t="shared" si="44"/>
        <v>Error?</v>
      </c>
    </row>
    <row r="2915" spans="1:4" x14ac:dyDescent="0.2">
      <c r="A2915" s="10">
        <v>2854</v>
      </c>
      <c r="B2915" s="1831"/>
      <c r="D2915" s="2" t="str">
        <f t="shared" si="44"/>
        <v>OK</v>
      </c>
    </row>
    <row r="2916" spans="1:4" x14ac:dyDescent="0.2">
      <c r="A2916" s="5">
        <v>2855</v>
      </c>
      <c r="B2916" s="1831">
        <f>'Assets-Liab 5-6'!L34</f>
        <v>687366</v>
      </c>
      <c r="C2916" s="2" t="s">
        <v>569</v>
      </c>
      <c r="D2916" s="2" t="str">
        <f t="shared" si="44"/>
        <v>Error?</v>
      </c>
    </row>
    <row r="2917" spans="1:4" x14ac:dyDescent="0.2">
      <c r="A2917" s="5">
        <v>2856</v>
      </c>
      <c r="B2917" s="1831">
        <f>'Assets-Liab 5-6'!L41</f>
        <v>687366</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133771</v>
      </c>
      <c r="D2949" s="2" t="str">
        <f t="shared" si="45"/>
        <v>Error?</v>
      </c>
    </row>
    <row r="2950" spans="1:4" x14ac:dyDescent="0.2">
      <c r="A2950" s="5">
        <v>2889</v>
      </c>
      <c r="B2950" s="1831">
        <f>'Expenditures 15-22'!E79</f>
        <v>28573</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942136</v>
      </c>
      <c r="D2955" s="2" t="str">
        <f t="shared" si="45"/>
        <v>Error?</v>
      </c>
    </row>
    <row r="2956" spans="1:4" x14ac:dyDescent="0.2">
      <c r="A2956" s="5">
        <v>2895</v>
      </c>
      <c r="B2956" s="1831">
        <f>'Expenditures 15-22'!H79</f>
        <v>132865</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1075907</v>
      </c>
      <c r="C2973" s="2" t="s">
        <v>569</v>
      </c>
      <c r="D2973" s="2" t="str">
        <f t="shared" si="45"/>
        <v>Error?</v>
      </c>
    </row>
    <row r="2974" spans="1:4" x14ac:dyDescent="0.2">
      <c r="A2974" s="5">
        <v>2913</v>
      </c>
      <c r="B2974" s="1831">
        <f>'Expenditures 15-22'!K79</f>
        <v>161438</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1989</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850894</v>
      </c>
      <c r="D3055" s="2" t="str">
        <f t="shared" si="46"/>
        <v>Error?</v>
      </c>
    </row>
    <row r="3056" spans="1:4" x14ac:dyDescent="0.2">
      <c r="A3056" s="5">
        <v>2995</v>
      </c>
      <c r="B3056" s="1831">
        <f>'Expenditures 15-22'!D10</f>
        <v>150873</v>
      </c>
      <c r="D3056" s="2" t="str">
        <f t="shared" si="46"/>
        <v>Error?</v>
      </c>
    </row>
    <row r="3057" spans="1:4" x14ac:dyDescent="0.2">
      <c r="A3057" s="5">
        <v>2996</v>
      </c>
      <c r="B3057" s="1831">
        <f>'Expenditures 15-22'!E10</f>
        <v>454135</v>
      </c>
      <c r="D3057" s="2" t="str">
        <f t="shared" si="46"/>
        <v>Error?</v>
      </c>
    </row>
    <row r="3058" spans="1:4" x14ac:dyDescent="0.2">
      <c r="A3058" s="5">
        <v>2997</v>
      </c>
      <c r="B3058" s="1831">
        <f>'Expenditures 15-22'!F10</f>
        <v>492751</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2492737</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113249</v>
      </c>
      <c r="D3064" s="2" t="str">
        <f t="shared" si="46"/>
        <v>Error?</v>
      </c>
    </row>
    <row r="3065" spans="1:4" x14ac:dyDescent="0.2">
      <c r="A3065" s="5">
        <v>3004</v>
      </c>
      <c r="B3065" s="1831">
        <f>'Expenditures 15-22'!K219</f>
        <v>113249</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210290</v>
      </c>
      <c r="C3225" s="2" t="s">
        <v>569</v>
      </c>
      <c r="D3225" s="2" t="str">
        <f t="shared" si="49"/>
        <v>Error?</v>
      </c>
    </row>
    <row r="3226" spans="1:4" x14ac:dyDescent="0.2">
      <c r="A3226" s="5">
        <v>3165</v>
      </c>
      <c r="B3226" s="1831">
        <f>'Acct Summary 7-8'!I8</f>
        <v>210290</v>
      </c>
      <c r="C3226" s="2" t="s">
        <v>569</v>
      </c>
      <c r="D3226" s="2" t="str">
        <f t="shared" si="49"/>
        <v>Error?</v>
      </c>
    </row>
    <row r="3227" spans="1:4" x14ac:dyDescent="0.2">
      <c r="A3227" s="5">
        <v>3166</v>
      </c>
      <c r="B3227" s="1831">
        <f>'Acct Summary 7-8'!I20</f>
        <v>210290</v>
      </c>
      <c r="C3227" s="2" t="s">
        <v>569</v>
      </c>
      <c r="D3227" s="2" t="str">
        <f t="shared" si="49"/>
        <v>Error?</v>
      </c>
    </row>
    <row r="3228" spans="1:4" x14ac:dyDescent="0.2">
      <c r="A3228" s="5">
        <v>3167</v>
      </c>
      <c r="B3228" s="1831">
        <f>'Acct Summary 7-8'!C43</f>
        <v>904777</v>
      </c>
      <c r="D3228" s="2" t="str">
        <f t="shared" si="49"/>
        <v>Error?</v>
      </c>
    </row>
    <row r="3229" spans="1:4" x14ac:dyDescent="0.2">
      <c r="A3229" s="5">
        <v>3168</v>
      </c>
      <c r="B3229" s="1831">
        <f>'Acct Summary 7-8'!C44</f>
        <v>904777</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1081842</v>
      </c>
      <c r="C3231" s="2" t="s">
        <v>569</v>
      </c>
      <c r="D3231" s="2" t="str">
        <f t="shared" si="49"/>
        <v>Error?</v>
      </c>
    </row>
    <row r="3232" spans="1:4" x14ac:dyDescent="0.2">
      <c r="A3232" s="5">
        <v>3171</v>
      </c>
      <c r="B3232" s="1831">
        <f>'Acct Summary 7-8'!C77</f>
        <v>-177065</v>
      </c>
      <c r="C3232" s="2" t="s">
        <v>569</v>
      </c>
      <c r="D3232" s="2" t="str">
        <f t="shared" si="49"/>
        <v>Error?</v>
      </c>
    </row>
    <row r="3233" spans="1:4" x14ac:dyDescent="0.2">
      <c r="A3233" s="5">
        <v>3172</v>
      </c>
      <c r="B3233" s="1831">
        <f>'Acct Summary 7-8'!C78</f>
        <v>-1672368</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280746</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2300124</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-66447</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1081842</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1081842</v>
      </c>
      <c r="C3277" s="2" t="s">
        <v>569</v>
      </c>
      <c r="D3277" s="2" t="str">
        <f t="shared" si="50"/>
        <v>Error?</v>
      </c>
    </row>
    <row r="3278" spans="1:4" x14ac:dyDescent="0.2">
      <c r="A3278" s="5">
        <v>3217</v>
      </c>
      <c r="B3278" s="1831">
        <f>'Acct Summary 7-8'!E78</f>
        <v>96936</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-47607</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210290</v>
      </c>
      <c r="C3320" s="2" t="s">
        <v>569</v>
      </c>
      <c r="D3320" s="2" t="str">
        <f t="shared" si="50"/>
        <v>Error?</v>
      </c>
    </row>
    <row r="3321" spans="1:4" x14ac:dyDescent="0.2">
      <c r="A3321" s="5">
        <v>3260</v>
      </c>
      <c r="B3321" s="1831">
        <f>'Acct Summary 7-8'!I79</f>
        <v>3107026</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3317316</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5160623</v>
      </c>
      <c r="D3366" s="2" t="str">
        <f t="shared" si="51"/>
        <v>Error?</v>
      </c>
    </row>
    <row r="3367" spans="1:4" x14ac:dyDescent="0.2">
      <c r="A3367" s="5">
        <v>3306</v>
      </c>
      <c r="B3367" s="1831">
        <f>'Expenditures 15-22'!C19</f>
        <v>54238</v>
      </c>
      <c r="D3367" s="2" t="str">
        <f t="shared" si="51"/>
        <v>Error?</v>
      </c>
    </row>
    <row r="3368" spans="1:4" x14ac:dyDescent="0.2">
      <c r="A3368" s="5">
        <v>3307</v>
      </c>
      <c r="B3368" s="1831">
        <f>'Expenditures 15-22'!D8</f>
        <v>1275434</v>
      </c>
      <c r="D3368" s="2" t="str">
        <f t="shared" si="51"/>
        <v>Error?</v>
      </c>
    </row>
    <row r="3369" spans="1:4" x14ac:dyDescent="0.2">
      <c r="A3369" s="5">
        <v>3308</v>
      </c>
      <c r="B3369" s="1831">
        <f>'Expenditures 15-22'!D19</f>
        <v>15745</v>
      </c>
      <c r="D3369" s="2" t="str">
        <f t="shared" si="51"/>
        <v>Error?</v>
      </c>
    </row>
    <row r="3370" spans="1:4" x14ac:dyDescent="0.2">
      <c r="A3370" s="5">
        <v>3309</v>
      </c>
      <c r="B3370" s="1831">
        <f>'Expenditures 15-22'!E8</f>
        <v>22810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65629</v>
      </c>
      <c r="D3372" s="2" t="str">
        <f t="shared" si="51"/>
        <v>Error?</v>
      </c>
    </row>
    <row r="3373" spans="1:4" x14ac:dyDescent="0.2">
      <c r="A3373" s="5">
        <v>3312</v>
      </c>
      <c r="B3373" s="1831">
        <f>'Expenditures 15-22'!F19</f>
        <v>4825</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883322</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6549562</v>
      </c>
      <c r="C3380" s="2" t="s">
        <v>569</v>
      </c>
      <c r="D3380" s="2" t="str">
        <f t="shared" si="51"/>
        <v>Error?</v>
      </c>
    </row>
    <row r="3381" spans="1:4" x14ac:dyDescent="0.2">
      <c r="A3381" s="5">
        <v>3320</v>
      </c>
      <c r="B3381" s="1831">
        <f>'Expenditures 15-22'!K19</f>
        <v>958130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498237</v>
      </c>
      <c r="D3387" s="2" t="str">
        <f t="shared" si="51"/>
        <v>Error?</v>
      </c>
    </row>
    <row r="3388" spans="1:4" x14ac:dyDescent="0.2">
      <c r="A3388" s="5">
        <v>3327</v>
      </c>
      <c r="B3388" s="1831">
        <f>'Expenditures 15-22'!D217</f>
        <v>393475</v>
      </c>
      <c r="D3388" s="2" t="str">
        <f t="shared" si="51"/>
        <v>Error?</v>
      </c>
    </row>
    <row r="3389" spans="1:4" x14ac:dyDescent="0.2">
      <c r="A3389" s="5">
        <v>3328</v>
      </c>
      <c r="B3389" s="1831">
        <f>'Expenditures 15-22'!D228</f>
        <v>786</v>
      </c>
      <c r="D3389" s="2" t="str">
        <f t="shared" si="51"/>
        <v>Error?</v>
      </c>
    </row>
    <row r="3390" spans="1:4" x14ac:dyDescent="0.2">
      <c r="A3390" s="5">
        <v>3329</v>
      </c>
      <c r="B3390" s="1831">
        <f>'Expenditures 15-22'!K215</f>
        <v>498237</v>
      </c>
      <c r="C3390" s="2" t="s">
        <v>569</v>
      </c>
      <c r="D3390" s="2" t="str">
        <f t="shared" si="51"/>
        <v>Error?</v>
      </c>
    </row>
    <row r="3391" spans="1:4" x14ac:dyDescent="0.2">
      <c r="A3391" s="5">
        <v>3330</v>
      </c>
      <c r="B3391" s="1831">
        <f>'Expenditures 15-22'!K217</f>
        <v>393475</v>
      </c>
      <c r="C3391" s="2" t="s">
        <v>569</v>
      </c>
      <c r="D3391" s="2" t="str">
        <f t="shared" ref="D3391:D3454" si="52">IF(ISBLANK(B3391),"OK",IF(A3391-B3391=0,"OK","Error?"))</f>
        <v>Error?</v>
      </c>
    </row>
    <row r="3392" spans="1:4" x14ac:dyDescent="0.2">
      <c r="A3392" s="5">
        <v>3331</v>
      </c>
      <c r="B3392" s="1831">
        <f>'Expenditures 15-22'!K228</f>
        <v>786</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40000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2487812</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613496</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443728</v>
      </c>
      <c r="D3417" s="2" t="str">
        <f t="shared" si="52"/>
        <v>Error?</v>
      </c>
    </row>
    <row r="3418" spans="1:4" x14ac:dyDescent="0.2">
      <c r="A3418" s="10">
        <v>3357</v>
      </c>
      <c r="B3418" s="1831"/>
      <c r="D3418" s="2" t="str">
        <f t="shared" si="52"/>
        <v>OK</v>
      </c>
    </row>
    <row r="3419" spans="1:4" x14ac:dyDescent="0.2">
      <c r="A3419" s="5">
        <v>3358</v>
      </c>
      <c r="B3419" s="1831">
        <f>'Assets-Liab 5-6'!F4</f>
        <v>2006858</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41003</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760</v>
      </c>
      <c r="D3425" s="2" t="str">
        <f t="shared" si="52"/>
        <v>Error?</v>
      </c>
    </row>
    <row r="3426" spans="1:4" x14ac:dyDescent="0.2">
      <c r="A3426" s="10">
        <v>3365</v>
      </c>
      <c r="B3426" s="1831"/>
      <c r="D3426" s="2" t="str">
        <f t="shared" si="52"/>
        <v>OK</v>
      </c>
    </row>
    <row r="3427" spans="1:4" x14ac:dyDescent="0.2">
      <c r="A3427" s="5">
        <v>3366</v>
      </c>
      <c r="B3427" s="1831">
        <f>'Assets-Liab 5-6'!I4</f>
        <v>242469</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687366</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1193126</v>
      </c>
      <c r="C3446" s="2" t="s">
        <v>569</v>
      </c>
      <c r="D3446" s="2" t="str">
        <f t="shared" si="52"/>
        <v>Error?</v>
      </c>
    </row>
    <row r="3447" spans="1:4" x14ac:dyDescent="0.2">
      <c r="A3447" s="5">
        <v>3386</v>
      </c>
      <c r="B3447" s="1831">
        <f>'Tax Sched 23'!D16</f>
        <v>1193126</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1212800</v>
      </c>
      <c r="C3449" s="2" t="s">
        <v>569</v>
      </c>
      <c r="D3449" s="2" t="str">
        <f t="shared" si="52"/>
        <v>Error?</v>
      </c>
    </row>
    <row r="3450" spans="1:4" x14ac:dyDescent="0.2">
      <c r="A3450" s="5">
        <v>3389</v>
      </c>
      <c r="B3450" s="1831">
        <f>'Tax Sched 23'!E16</f>
        <v>1212800</v>
      </c>
      <c r="D3450" s="2" t="str">
        <f t="shared" si="52"/>
        <v>Error?</v>
      </c>
    </row>
    <row r="3451" spans="1:4" x14ac:dyDescent="0.2">
      <c r="A3451" s="5">
        <v>3390</v>
      </c>
      <c r="B3451" s="1831">
        <f>'Cap Outlay Deprec 26'!C15</f>
        <v>2090975</v>
      </c>
      <c r="D3451" s="2" t="str">
        <f t="shared" si="52"/>
        <v>Error?</v>
      </c>
    </row>
    <row r="3452" spans="1:4" x14ac:dyDescent="0.2">
      <c r="A3452" s="5">
        <v>3391</v>
      </c>
      <c r="B3452" s="1831">
        <f>'Cap Outlay Deprec 26'!D15</f>
        <v>1158193</v>
      </c>
      <c r="D3452" s="2" t="str">
        <f t="shared" si="52"/>
        <v>Error?</v>
      </c>
    </row>
    <row r="3453" spans="1:4" x14ac:dyDescent="0.2">
      <c r="A3453" s="5">
        <v>3392</v>
      </c>
      <c r="B3453" s="1831">
        <f>'Cap Outlay Deprec 26'!E15</f>
        <v>2997531</v>
      </c>
      <c r="D3453" s="2" t="str">
        <f t="shared" si="52"/>
        <v>Error?</v>
      </c>
    </row>
    <row r="3454" spans="1:4" x14ac:dyDescent="0.2">
      <c r="A3454" s="5">
        <v>3393</v>
      </c>
      <c r="B3454" s="1831">
        <f>'Cap Outlay Deprec 26'!F15</f>
        <v>251637</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251637</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1989</v>
      </c>
      <c r="E3521" s="4" t="s">
        <v>134</v>
      </c>
    </row>
    <row r="3522" spans="1:5" x14ac:dyDescent="0.2">
      <c r="A3522" s="10">
        <v>3461</v>
      </c>
      <c r="B3522" s="1831"/>
      <c r="D3522" s="4" t="s">
        <v>1989</v>
      </c>
      <c r="E3522" s="4" t="s">
        <v>134</v>
      </c>
    </row>
    <row r="3523" spans="1:5" x14ac:dyDescent="0.2">
      <c r="A3523" s="10">
        <v>3462</v>
      </c>
      <c r="B3523" s="1831"/>
      <c r="D3523" s="4" t="s">
        <v>1989</v>
      </c>
      <c r="E3523" s="4" t="s">
        <v>134</v>
      </c>
    </row>
    <row r="3524" spans="1:5" x14ac:dyDescent="0.2">
      <c r="A3524" s="10">
        <v>3463</v>
      </c>
      <c r="B3524" s="1831"/>
      <c r="D3524" s="4" t="s">
        <v>1989</v>
      </c>
      <c r="E3524" s="4" t="s">
        <v>134</v>
      </c>
    </row>
    <row r="3525" spans="1:5" x14ac:dyDescent="0.2">
      <c r="A3525" s="10">
        <v>3464</v>
      </c>
      <c r="B3525" s="1831"/>
      <c r="D3525" s="4" t="s">
        <v>1989</v>
      </c>
      <c r="E3525" s="4" t="s">
        <v>134</v>
      </c>
    </row>
    <row r="3526" spans="1:5" x14ac:dyDescent="0.2">
      <c r="A3526" s="10">
        <v>3465</v>
      </c>
      <c r="B3526" s="1831"/>
      <c r="D3526" s="4" t="s">
        <v>1989</v>
      </c>
      <c r="E3526" s="4" t="s">
        <v>134</v>
      </c>
    </row>
    <row r="3527" spans="1:5" x14ac:dyDescent="0.2">
      <c r="A3527" s="10">
        <v>3466</v>
      </c>
      <c r="B3527" s="1831"/>
      <c r="D3527" s="4" t="s">
        <v>1989</v>
      </c>
      <c r="E3527" s="4" t="s">
        <v>134</v>
      </c>
    </row>
    <row r="3528" spans="1:5" x14ac:dyDescent="0.2">
      <c r="A3528" s="10">
        <v>3467</v>
      </c>
      <c r="B3528" s="1831"/>
      <c r="D3528" s="4" t="s">
        <v>1989</v>
      </c>
      <c r="E3528" s="4" t="s">
        <v>134</v>
      </c>
    </row>
    <row r="3529" spans="1:5" x14ac:dyDescent="0.2">
      <c r="A3529" s="10">
        <v>3468</v>
      </c>
      <c r="B3529" s="1831"/>
      <c r="D3529" s="4" t="s">
        <v>1989</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31134</v>
      </c>
      <c r="D3546" s="2" t="str">
        <f t="shared" si="54"/>
        <v>Error?</v>
      </c>
    </row>
    <row r="3547" spans="1:4" x14ac:dyDescent="0.2">
      <c r="A3547" s="10">
        <v>3486</v>
      </c>
      <c r="B3547" s="1831"/>
      <c r="D3547" s="2" t="str">
        <f t="shared" si="54"/>
        <v>OK</v>
      </c>
    </row>
    <row r="3548" spans="1:4" x14ac:dyDescent="0.2">
      <c r="A3548" s="5">
        <v>3487</v>
      </c>
      <c r="B3548" s="1831">
        <f>'Assets-Liab 5-6'!K6</f>
        <v>167758</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201209</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400101</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167758</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167758</v>
      </c>
      <c r="C3565" s="2" t="s">
        <v>569</v>
      </c>
      <c r="D3565" s="2" t="str">
        <f t="shared" si="54"/>
        <v>Error?</v>
      </c>
    </row>
    <row r="3566" spans="1:4" x14ac:dyDescent="0.2">
      <c r="A3566" s="5">
        <v>3505</v>
      </c>
      <c r="B3566" s="1831">
        <f>'Assets-Liab 5-6'!K38</f>
        <v>232343</v>
      </c>
      <c r="D3566" s="2" t="str">
        <f t="shared" si="54"/>
        <v>Error?</v>
      </c>
    </row>
    <row r="3567" spans="1:4" x14ac:dyDescent="0.2">
      <c r="A3567" s="5">
        <v>3506</v>
      </c>
      <c r="B3567" s="1831">
        <f>'Assets-Liab 5-6'!K39</f>
        <v>0</v>
      </c>
      <c r="D3567" s="2" t="str">
        <f t="shared" si="54"/>
        <v>Error?</v>
      </c>
    </row>
    <row r="3568" spans="1:4" x14ac:dyDescent="0.2">
      <c r="A3568" s="5">
        <v>3507</v>
      </c>
      <c r="B3568" s="1831">
        <f>'Assets-Liab 5-6'!K41</f>
        <v>400101</v>
      </c>
      <c r="C3568" s="2" t="s">
        <v>569</v>
      </c>
      <c r="D3568" s="2" t="str">
        <f t="shared" si="54"/>
        <v>Error?</v>
      </c>
    </row>
    <row r="3569" spans="1:4" x14ac:dyDescent="0.2">
      <c r="A3569" s="5">
        <v>3508</v>
      </c>
      <c r="B3569" s="1831">
        <f>'Acct Summary 7-8'!K4</f>
        <v>170990</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170990</v>
      </c>
      <c r="C3571" s="2" t="s">
        <v>569</v>
      </c>
      <c r="D3571" s="2" t="str">
        <f t="shared" si="54"/>
        <v>Error?</v>
      </c>
    </row>
    <row r="3572" spans="1:4" x14ac:dyDescent="0.2">
      <c r="A3572" s="5">
        <v>3511</v>
      </c>
      <c r="B3572" s="1831">
        <f>'Acct Summary 7-8'!K13</f>
        <v>0</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0</v>
      </c>
      <c r="C3575" s="2" t="s">
        <v>569</v>
      </c>
      <c r="D3575" s="2" t="str">
        <f t="shared" si="54"/>
        <v>Error?</v>
      </c>
    </row>
    <row r="3576" spans="1:4" x14ac:dyDescent="0.2">
      <c r="A3576" s="5">
        <v>3515</v>
      </c>
      <c r="B3576" s="1831">
        <f>'Acct Summary 7-8'!K20</f>
        <v>170990</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170990</v>
      </c>
      <c r="C3588" s="2" t="s">
        <v>569</v>
      </c>
      <c r="D3588" s="2" t="str">
        <f t="shared" si="55"/>
        <v>Error?</v>
      </c>
    </row>
    <row r="3589" spans="1:4" x14ac:dyDescent="0.2">
      <c r="A3589" s="5">
        <v>3528</v>
      </c>
      <c r="B3589" s="1831">
        <f>'Acct Summary 7-8'!K79</f>
        <v>61353</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232343</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0</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0</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170990</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168568</v>
      </c>
      <c r="C3725" s="2" t="s">
        <v>569</v>
      </c>
      <c r="D3725" s="2" t="str">
        <f t="shared" si="57"/>
        <v>Error?</v>
      </c>
    </row>
    <row r="3726" spans="1:4" x14ac:dyDescent="0.2">
      <c r="A3726" s="5">
        <v>3665</v>
      </c>
      <c r="B3726" s="1831">
        <f>'Tax Sched 23'!D13</f>
        <v>168568</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170313</v>
      </c>
      <c r="C3728" s="2" t="s">
        <v>569</v>
      </c>
      <c r="D3728" s="2" t="str">
        <f t="shared" si="57"/>
        <v>Error?</v>
      </c>
    </row>
    <row r="3729" spans="1:4" x14ac:dyDescent="0.2">
      <c r="A3729" s="5">
        <v>3668</v>
      </c>
      <c r="B3729" s="1831">
        <f>'Tax Sched 23'!E13</f>
        <v>170313</v>
      </c>
      <c r="D3729" s="2" t="str">
        <f t="shared" si="57"/>
        <v>Error?</v>
      </c>
    </row>
    <row r="3730" spans="1:4" x14ac:dyDescent="0.2">
      <c r="A3730" s="5">
        <v>3669</v>
      </c>
      <c r="B3730" s="1831">
        <f>'ICR Computation 30'!E10</f>
        <v>1892825</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63299</v>
      </c>
      <c r="D4081" s="2" t="str">
        <f t="shared" si="62"/>
        <v>Error?</v>
      </c>
    </row>
    <row r="4082" spans="1:4" x14ac:dyDescent="0.2">
      <c r="A4082" s="5">
        <v>4021</v>
      </c>
      <c r="B4082" s="1831">
        <f>'Expenditures 15-22'!D180</f>
        <v>1418</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64717</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26144703</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86517207</v>
      </c>
      <c r="C4122" s="2" t="s">
        <v>569</v>
      </c>
      <c r="D4122" s="2" t="str">
        <f t="shared" si="63"/>
        <v>Error?</v>
      </c>
    </row>
    <row r="4123" spans="1:4" x14ac:dyDescent="0.2">
      <c r="A4123" s="5">
        <v>4062</v>
      </c>
      <c r="B4123" s="1831">
        <f>'Acct Summary 7-8'!D10</f>
        <v>5302133</v>
      </c>
      <c r="C4123" s="2" t="s">
        <v>569</v>
      </c>
      <c r="D4123" s="2" t="str">
        <f t="shared" si="63"/>
        <v>Error?</v>
      </c>
    </row>
    <row r="4124" spans="1:4" x14ac:dyDescent="0.2">
      <c r="A4124" s="5">
        <v>4063</v>
      </c>
      <c r="B4124" s="1831">
        <f>'Acct Summary 7-8'!E10</f>
        <v>2766968</v>
      </c>
      <c r="C4124" s="2" t="s">
        <v>569</v>
      </c>
      <c r="D4124" s="2" t="str">
        <f t="shared" si="63"/>
        <v>Error?</v>
      </c>
    </row>
    <row r="4125" spans="1:4" x14ac:dyDescent="0.2">
      <c r="A4125" s="5">
        <v>4064</v>
      </c>
      <c r="B4125" s="1831">
        <f>'Acct Summary 7-8'!F10</f>
        <v>5577682</v>
      </c>
      <c r="C4125" s="2" t="s">
        <v>569</v>
      </c>
      <c r="D4125" s="2" t="str">
        <f t="shared" si="63"/>
        <v>Error?</v>
      </c>
    </row>
    <row r="4126" spans="1:4" x14ac:dyDescent="0.2">
      <c r="A4126" s="5">
        <v>4065</v>
      </c>
      <c r="B4126" s="1831">
        <f>'Acct Summary 7-8'!G10</f>
        <v>2604520</v>
      </c>
      <c r="C4126" s="2" t="s">
        <v>569</v>
      </c>
      <c r="D4126" s="2" t="str">
        <f t="shared" si="63"/>
        <v>Error?</v>
      </c>
    </row>
    <row r="4127" spans="1:4" x14ac:dyDescent="0.2">
      <c r="A4127" s="5">
        <v>4066</v>
      </c>
      <c r="B4127" s="1831">
        <f>'Acct Summary 7-8'!H10</f>
        <v>20069</v>
      </c>
      <c r="C4127" s="2" t="s">
        <v>569</v>
      </c>
      <c r="D4127" s="2" t="str">
        <f t="shared" si="63"/>
        <v>Error?</v>
      </c>
    </row>
    <row r="4128" spans="1:4" x14ac:dyDescent="0.2">
      <c r="A4128" s="5">
        <v>4067</v>
      </c>
      <c r="B4128" s="1831">
        <f>'Acct Summary 7-8'!I10</f>
        <v>210290</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170990</v>
      </c>
      <c r="C4130" s="2" t="s">
        <v>569</v>
      </c>
      <c r="D4130" s="2" t="str">
        <f t="shared" si="63"/>
        <v>Error?</v>
      </c>
    </row>
    <row r="4131" spans="1:4" x14ac:dyDescent="0.2">
      <c r="A4131" s="5">
        <v>4070</v>
      </c>
      <c r="B4131" s="1831">
        <f>'Acct Summary 7-8'!C18</f>
        <v>26144703</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88012510</v>
      </c>
      <c r="C4136" s="2" t="s">
        <v>569</v>
      </c>
      <c r="D4136" s="2" t="str">
        <f t="shared" si="63"/>
        <v>Error?</v>
      </c>
    </row>
    <row r="4137" spans="1:4" x14ac:dyDescent="0.2">
      <c r="A4137" s="5">
        <v>4076</v>
      </c>
      <c r="B4137" s="1831">
        <f>'Acct Summary 7-8'!D19</f>
        <v>5021387</v>
      </c>
      <c r="C4137" s="2" t="s">
        <v>569</v>
      </c>
      <c r="D4137" s="2" t="str">
        <f t="shared" si="63"/>
        <v>Error?</v>
      </c>
    </row>
    <row r="4138" spans="1:4" x14ac:dyDescent="0.2">
      <c r="A4138" s="5">
        <v>4077</v>
      </c>
      <c r="B4138" s="1831">
        <f>'Acct Summary 7-8'!E19</f>
        <v>3751874</v>
      </c>
      <c r="C4138" s="2" t="s">
        <v>569</v>
      </c>
      <c r="D4138" s="2" t="str">
        <f t="shared" si="63"/>
        <v>Error?</v>
      </c>
    </row>
    <row r="4139" spans="1:4" x14ac:dyDescent="0.2">
      <c r="A4139" s="5">
        <v>4078</v>
      </c>
      <c r="B4139" s="1831">
        <f>'Acct Summary 7-8'!F19</f>
        <v>3277558</v>
      </c>
      <c r="C4139" s="2" t="s">
        <v>569</v>
      </c>
      <c r="D4139" s="2" t="str">
        <f t="shared" si="63"/>
        <v>Error?</v>
      </c>
    </row>
    <row r="4140" spans="1:4" x14ac:dyDescent="0.2">
      <c r="A4140" s="5">
        <v>4079</v>
      </c>
      <c r="B4140" s="1831">
        <f>'Acct Summary 7-8'!G19</f>
        <v>2670967</v>
      </c>
      <c r="C4140" s="2" t="s">
        <v>569</v>
      </c>
      <c r="D4140" s="2" t="str">
        <f t="shared" si="63"/>
        <v>Error?</v>
      </c>
    </row>
    <row r="4141" spans="1:4" x14ac:dyDescent="0.2">
      <c r="A4141" s="5">
        <v>4080</v>
      </c>
      <c r="B4141" s="1831">
        <f>'Acct Summary 7-8'!H19</f>
        <v>67676</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0</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29772261</v>
      </c>
      <c r="C4171" s="2" t="s">
        <v>569</v>
      </c>
      <c r="D4171" s="2" t="str">
        <f t="shared" si="64"/>
        <v>Error?</v>
      </c>
    </row>
    <row r="4172" spans="1:4" x14ac:dyDescent="0.2">
      <c r="A4172" s="5">
        <v>4111</v>
      </c>
      <c r="B4172" s="1831">
        <f>'Short-Term Long-Term Debt 24'!J49</f>
        <v>29324805</v>
      </c>
      <c r="C4172" s="2" t="s">
        <v>569</v>
      </c>
      <c r="D4172" s="2" t="str">
        <f t="shared" si="64"/>
        <v>Error?</v>
      </c>
    </row>
    <row r="4173" spans="1:4" x14ac:dyDescent="0.2">
      <c r="A4173" s="5">
        <v>4112</v>
      </c>
      <c r="B4173" s="1831">
        <f>'Short-Term Long-Term Debt 24'!H49</f>
        <v>2279197</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1891</v>
      </c>
    </row>
    <row r="4236" spans="1:5" x14ac:dyDescent="0.2">
      <c r="A4236" s="10">
        <v>4175</v>
      </c>
      <c r="B4236" s="1831"/>
      <c r="D4236" s="2" t="str">
        <f t="shared" si="65"/>
        <v>OK</v>
      </c>
      <c r="E4236" s="4" t="s">
        <v>1891</v>
      </c>
    </row>
    <row r="4237" spans="1:5" x14ac:dyDescent="0.2">
      <c r="A4237" s="10">
        <v>4176</v>
      </c>
      <c r="B4237" s="1831"/>
      <c r="D4237" s="2" t="str">
        <f t="shared" si="65"/>
        <v>OK</v>
      </c>
      <c r="E4237" s="4" t="s">
        <v>1891</v>
      </c>
    </row>
    <row r="4238" spans="1:5" x14ac:dyDescent="0.2">
      <c r="A4238" s="10">
        <v>4177</v>
      </c>
      <c r="B4238" s="1831"/>
      <c r="D4238" s="2" t="str">
        <f t="shared" si="65"/>
        <v>OK</v>
      </c>
      <c r="E4238" s="4" t="s">
        <v>1891</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2845.991</v>
      </c>
      <c r="C4265" s="2" t="s">
        <v>569</v>
      </c>
      <c r="D4265" s="2" t="str">
        <f t="shared" si="65"/>
        <v>Error?</v>
      </c>
      <c r="E4265" s="125"/>
    </row>
    <row r="4266" spans="1:5" x14ac:dyDescent="0.2">
      <c r="A4266" s="12">
        <v>4205</v>
      </c>
      <c r="B4266" s="1831">
        <f>('FP Info 3'!F10)*100000</f>
        <v>523.16000000000008</v>
      </c>
      <c r="C4266" s="2" t="s">
        <v>569</v>
      </c>
      <c r="D4266" s="2" t="str">
        <f t="shared" si="65"/>
        <v>Error?</v>
      </c>
      <c r="E4266" s="125"/>
    </row>
    <row r="4267" spans="1:5" x14ac:dyDescent="0.2">
      <c r="A4267" s="12">
        <v>4206</v>
      </c>
      <c r="B4267" s="1831">
        <f>('FP Info 3'!H10)*100000</f>
        <v>209.26400000000001</v>
      </c>
      <c r="C4267" s="2" t="s">
        <v>569</v>
      </c>
      <c r="D4267" s="2" t="str">
        <f t="shared" si="65"/>
        <v>Error?</v>
      </c>
      <c r="E4267" s="125"/>
    </row>
    <row r="4268" spans="1:5" x14ac:dyDescent="0.2">
      <c r="A4268" s="12">
        <v>4207</v>
      </c>
      <c r="B4268" s="1831">
        <f>('FP Info 3'!J10)*100000</f>
        <v>3578</v>
      </c>
      <c r="C4268" s="2" t="s">
        <v>569</v>
      </c>
      <c r="D4268" s="2" t="str">
        <f t="shared" si="65"/>
        <v>Error?</v>
      </c>
    </row>
    <row r="4269" spans="1:5" x14ac:dyDescent="0.2">
      <c r="A4269" s="12">
        <v>4208</v>
      </c>
      <c r="B4269" s="1831">
        <f>'FP Info 3'!J16</f>
        <v>30820144</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190294</v>
      </c>
      <c r="D4331" s="2" t="str">
        <f t="shared" si="66"/>
        <v>Error?</v>
      </c>
    </row>
    <row r="4332" spans="1:4" x14ac:dyDescent="0.2">
      <c r="A4332" s="5">
        <v>4271</v>
      </c>
      <c r="B4332" s="1831">
        <f>'Revenues 9-14'!C203</f>
        <v>281658</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251584</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154187</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1891</v>
      </c>
    </row>
    <row r="4400" spans="1:5" x14ac:dyDescent="0.2">
      <c r="A4400" s="10">
        <v>4339</v>
      </c>
      <c r="B4400" s="1831"/>
      <c r="D4400" s="2" t="str">
        <f t="shared" si="67"/>
        <v>OK</v>
      </c>
      <c r="E4400" s="4" t="s">
        <v>1891</v>
      </c>
    </row>
    <row r="4401" spans="1:5" x14ac:dyDescent="0.2">
      <c r="A4401" s="10">
        <v>4340</v>
      </c>
      <c r="B4401" s="1831"/>
      <c r="D4401" s="2" t="str">
        <f t="shared" si="67"/>
        <v>OK</v>
      </c>
      <c r="E4401" s="4" t="s">
        <v>1891</v>
      </c>
    </row>
    <row r="4402" spans="1:5" x14ac:dyDescent="0.2">
      <c r="A4402" s="10">
        <v>4341</v>
      </c>
      <c r="B4402" s="1831"/>
      <c r="D4402" s="2" t="str">
        <f t="shared" si="67"/>
        <v>OK</v>
      </c>
      <c r="E4402" s="4" t="s">
        <v>1891</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193991</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17986</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533771</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522928</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523.16000000000008</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522928</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507087</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92988</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132105</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104428</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357662586</v>
      </c>
      <c r="D4995" s="2" t="str">
        <f t="shared" si="77"/>
        <v>Error?</v>
      </c>
    </row>
    <row r="4996" spans="1:4" x14ac:dyDescent="0.2">
      <c r="A4996" s="12">
        <v>4935</v>
      </c>
      <c r="B4996" s="1831">
        <f>'FP Info 3'!H31</f>
        <v>49357436.868000001</v>
      </c>
      <c r="D4996" s="2" t="str">
        <f t="shared" si="77"/>
        <v>Error?</v>
      </c>
    </row>
    <row r="4997" spans="1:4" x14ac:dyDescent="0.2">
      <c r="A4997" s="12">
        <v>4936</v>
      </c>
      <c r="B4997" s="1831">
        <f>'FP Info 3'!H37</f>
        <v>29772261</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168568</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9170476</v>
      </c>
      <c r="D5061" s="2" t="str">
        <f t="shared" si="78"/>
        <v>Error?</v>
      </c>
    </row>
    <row r="5062" spans="1:4" x14ac:dyDescent="0.2">
      <c r="A5062" s="10">
        <v>5001</v>
      </c>
      <c r="B5062" s="1831"/>
      <c r="D5062" s="2" t="str">
        <f t="shared" si="78"/>
        <v>OK</v>
      </c>
    </row>
    <row r="5063" spans="1:4" x14ac:dyDescent="0.2">
      <c r="A5063" s="5">
        <v>5002</v>
      </c>
      <c r="B5063" s="1831">
        <f>'Revenues 9-14'!C7</f>
        <v>134858</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9473902</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1432648</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1432648</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300543</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300543</v>
      </c>
      <c r="C5090" s="2" t="s">
        <v>569</v>
      </c>
      <c r="D5090" s="2" t="str">
        <f t="shared" si="78"/>
        <v>Error?</v>
      </c>
    </row>
    <row r="5091" spans="1:4" x14ac:dyDescent="0.2">
      <c r="A5091" s="5">
        <v>5030</v>
      </c>
      <c r="B5091" s="1831">
        <f>'Revenues 9-14'!C70</f>
        <v>2</v>
      </c>
      <c r="D5091" s="2" t="str">
        <f t="shared" si="78"/>
        <v>Error?</v>
      </c>
    </row>
    <row r="5092" spans="1:4" x14ac:dyDescent="0.2">
      <c r="A5092" s="5">
        <v>5031</v>
      </c>
      <c r="B5092" s="1831">
        <f>'Revenues 9-14'!C71</f>
        <v>20162</v>
      </c>
      <c r="D5092" s="2" t="str">
        <f t="shared" si="78"/>
        <v>Error?</v>
      </c>
    </row>
    <row r="5093" spans="1:4" x14ac:dyDescent="0.2">
      <c r="A5093" s="5">
        <v>5032</v>
      </c>
      <c r="B5093" s="1831">
        <f>'Revenues 9-14'!C72</f>
        <v>8789</v>
      </c>
      <c r="D5093" s="2" t="str">
        <f t="shared" si="78"/>
        <v>Error?</v>
      </c>
    </row>
    <row r="5094" spans="1:4" x14ac:dyDescent="0.2">
      <c r="A5094" s="5">
        <v>5033</v>
      </c>
      <c r="B5094" s="1831">
        <f>'Revenues 9-14'!C73</f>
        <v>13763</v>
      </c>
      <c r="D5094" s="2" t="str">
        <f t="shared" si="78"/>
        <v>Error?</v>
      </c>
    </row>
    <row r="5095" spans="1:4" x14ac:dyDescent="0.2">
      <c r="A5095" s="5">
        <v>5034</v>
      </c>
      <c r="B5095" s="1831">
        <f>'Revenues 9-14'!C74</f>
        <v>62370</v>
      </c>
      <c r="D5095" s="2" t="str">
        <f t="shared" si="78"/>
        <v>Error?</v>
      </c>
    </row>
    <row r="5096" spans="1:4" x14ac:dyDescent="0.2">
      <c r="A5096" s="5">
        <v>5035</v>
      </c>
      <c r="B5096" s="1831">
        <f>'Revenues 9-14'!C75</f>
        <v>107523</v>
      </c>
      <c r="C5096" s="2" t="s">
        <v>569</v>
      </c>
      <c r="D5096" s="2" t="str">
        <f t="shared" si="78"/>
        <v>Error?</v>
      </c>
    </row>
    <row r="5097" spans="1:4" x14ac:dyDescent="0.2">
      <c r="A5097" s="5">
        <v>5036</v>
      </c>
      <c r="B5097" s="1831">
        <f>'Revenues 9-14'!C77</f>
        <v>21391</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-808</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20583</v>
      </c>
      <c r="C5102" s="2" t="s">
        <v>569</v>
      </c>
      <c r="D5102" s="2" t="str">
        <f t="shared" si="78"/>
        <v>Error?</v>
      </c>
    </row>
    <row r="5103" spans="1:4" x14ac:dyDescent="0.2">
      <c r="A5103" s="5">
        <v>5042</v>
      </c>
      <c r="B5103" s="1831">
        <f>'Revenues 9-14'!C84</f>
        <v>524</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645</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1169</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5000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-504</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241</v>
      </c>
      <c r="D5118" s="2" t="str">
        <f t="shared" si="78"/>
        <v>Error?</v>
      </c>
    </row>
    <row r="5119" spans="1:4" x14ac:dyDescent="0.2">
      <c r="A5119" s="5">
        <v>5058</v>
      </c>
      <c r="B5119" s="1831">
        <f>'Revenues 9-14'!C107</f>
        <v>69988</v>
      </c>
      <c r="D5119" s="2" t="str">
        <f t="shared" ref="D5119:D5182" si="79">IF(ISBLANK(B5119),"OK",IF(A5119-B5119=0,"OK","Error?"))</f>
        <v>Error?</v>
      </c>
    </row>
    <row r="5120" spans="1:4" x14ac:dyDescent="0.2">
      <c r="A5120" s="5">
        <v>5059</v>
      </c>
      <c r="B5120" s="1831">
        <f>'Revenues 9-14'!C108</f>
        <v>96039</v>
      </c>
      <c r="C5120" s="2" t="s">
        <v>569</v>
      </c>
      <c r="D5120" s="2" t="str">
        <f t="shared" si="79"/>
        <v>Error?</v>
      </c>
    </row>
    <row r="5121" spans="1:4" x14ac:dyDescent="0.2">
      <c r="A5121" s="5">
        <v>5060</v>
      </c>
      <c r="B5121" s="1831">
        <f>'Revenues 9-14'!C109</f>
        <v>11432407</v>
      </c>
      <c r="C5121" s="2" t="s">
        <v>569</v>
      </c>
      <c r="D5121" s="2" t="str">
        <f t="shared" si="79"/>
        <v>Error?</v>
      </c>
    </row>
    <row r="5122" spans="1:4" x14ac:dyDescent="0.2">
      <c r="A5122" s="5">
        <v>5061</v>
      </c>
      <c r="B5122" s="1831">
        <f>'Revenues 9-14'!C111</f>
        <v>40000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40000</v>
      </c>
      <c r="C5125" s="2" t="s">
        <v>569</v>
      </c>
      <c r="D5125" s="2" t="str">
        <f t="shared" si="79"/>
        <v>Error?</v>
      </c>
    </row>
    <row r="5126" spans="1:4" x14ac:dyDescent="0.2">
      <c r="A5126" s="5">
        <v>5065</v>
      </c>
      <c r="B5126" s="1831">
        <f>'Revenues 9-14'!C117</f>
        <v>36092778</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36092778</v>
      </c>
      <c r="C5132" s="2" t="s">
        <v>569</v>
      </c>
      <c r="D5132" s="2" t="str">
        <f t="shared" si="79"/>
        <v>Error?</v>
      </c>
    </row>
    <row r="5133" spans="1:4" x14ac:dyDescent="0.2">
      <c r="A5133" s="5">
        <v>5072</v>
      </c>
      <c r="B5133" s="1831">
        <f>'Revenues 9-14'!C125</f>
        <v>368049</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236248</v>
      </c>
      <c r="D5137" s="2" t="str">
        <f t="shared" si="79"/>
        <v>Error?</v>
      </c>
    </row>
    <row r="5138" spans="1:4" x14ac:dyDescent="0.2">
      <c r="A5138" s="10">
        <v>5077</v>
      </c>
      <c r="B5138" s="1831"/>
      <c r="D5138" s="2" t="str">
        <f t="shared" si="79"/>
        <v>OK</v>
      </c>
    </row>
    <row r="5139" spans="1:4" x14ac:dyDescent="0.2">
      <c r="A5139" s="5">
        <v>5078</v>
      </c>
      <c r="B5139" s="1831">
        <f>'Revenues 9-14'!C129</f>
        <v>1628</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605925</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58880</v>
      </c>
      <c r="D5167" s="2" t="str">
        <f t="shared" si="79"/>
        <v>Error?</v>
      </c>
    </row>
    <row r="5168" spans="1:4" x14ac:dyDescent="0.2">
      <c r="A5168" s="5">
        <v>5107</v>
      </c>
      <c r="B5168" s="1831">
        <f>'Revenues 9-14'!C148</f>
        <v>22694</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2404038</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1891</v>
      </c>
    </row>
    <row r="5200" spans="1:5" x14ac:dyDescent="0.2">
      <c r="A5200" s="10">
        <v>5139</v>
      </c>
      <c r="B5200" s="1831"/>
      <c r="D5200" s="2" t="str">
        <f t="shared" si="80"/>
        <v>OK</v>
      </c>
      <c r="E5200" s="4" t="s">
        <v>1891</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3598624</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39691402</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132105</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1540162</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624282</v>
      </c>
      <c r="D5241" s="2" t="str">
        <f t="shared" si="80"/>
        <v>Error?</v>
      </c>
    </row>
    <row r="5242" spans="1:4" x14ac:dyDescent="0.2">
      <c r="A5242" s="5">
        <v>5181</v>
      </c>
      <c r="B5242" s="1831">
        <f>'Revenues 9-14'!C194</f>
        <v>464578</v>
      </c>
      <c r="D5242" s="2" t="str">
        <f t="shared" si="80"/>
        <v>Error?</v>
      </c>
    </row>
    <row r="5243" spans="1:4" x14ac:dyDescent="0.2">
      <c r="A5243" s="5">
        <v>5182</v>
      </c>
      <c r="B5243" s="1831">
        <f>'Revenues 9-14'!C195</f>
        <v>1166</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2895857</v>
      </c>
      <c r="C5246" s="2" t="s">
        <v>569</v>
      </c>
      <c r="D5246" s="2" t="str">
        <f t="shared" si="80"/>
        <v>Error?</v>
      </c>
    </row>
    <row r="5247" spans="1:4" x14ac:dyDescent="0.2">
      <c r="A5247" s="5">
        <v>5186</v>
      </c>
      <c r="B5247" s="1831">
        <f>'Revenues 9-14'!C200</f>
        <v>3034751</v>
      </c>
      <c r="D5247" s="2" t="str">
        <f t="shared" ref="D5247:D5310" si="81">IF(ISBLANK(B5247),"OK",IF(A5247-B5247=0,"OK","Error?"))</f>
        <v>Error?</v>
      </c>
    </row>
    <row r="5248" spans="1:4" x14ac:dyDescent="0.2">
      <c r="A5248" s="5">
        <v>5187</v>
      </c>
      <c r="B5248" s="1831">
        <f>'Revenues 9-14'!C201</f>
        <v>22714</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1891</v>
      </c>
    </row>
    <row r="5255" spans="1:5" x14ac:dyDescent="0.2">
      <c r="A5255" s="5">
        <v>5194</v>
      </c>
      <c r="B5255" s="1831">
        <f>'Revenues 9-14'!C202</f>
        <v>0</v>
      </c>
      <c r="D5255" s="2" t="str">
        <f t="shared" si="81"/>
        <v>Error?</v>
      </c>
    </row>
    <row r="5256" spans="1:5" x14ac:dyDescent="0.2">
      <c r="A5256" s="5">
        <v>5195</v>
      </c>
      <c r="B5256" s="1831">
        <f>'Revenues 9-14'!C206</f>
        <v>193991</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3339123</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35719</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1548294</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1584013</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1650</v>
      </c>
      <c r="D5312" s="2" t="str">
        <f t="shared" si="82"/>
        <v>Error?</v>
      </c>
    </row>
    <row r="5313" spans="1:5" x14ac:dyDescent="0.2">
      <c r="A5313" s="10">
        <v>5252</v>
      </c>
      <c r="B5313" s="1831"/>
      <c r="D5313" s="2" t="str">
        <f t="shared" si="82"/>
        <v>OK</v>
      </c>
      <c r="E5313" s="4" t="s">
        <v>1891</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9076590</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9208695</v>
      </c>
      <c r="C5326" s="2" t="s">
        <v>569</v>
      </c>
      <c r="D5326" s="2" t="str">
        <f t="shared" si="82"/>
        <v>Error?</v>
      </c>
    </row>
    <row r="5327" spans="1:5" x14ac:dyDescent="0.2">
      <c r="A5327" s="5">
        <v>5266</v>
      </c>
      <c r="B5327" s="1831">
        <f>'Revenues 9-14'!C268</f>
        <v>60372504</v>
      </c>
      <c r="C5327" s="2" t="s">
        <v>569</v>
      </c>
      <c r="D5327" s="2" t="str">
        <f t="shared" si="82"/>
        <v>Error?</v>
      </c>
    </row>
    <row r="5328" spans="1:5" x14ac:dyDescent="0.2">
      <c r="A5328" s="5">
        <v>5267</v>
      </c>
      <c r="B5328" s="1831">
        <f>'Revenues 9-14'!D5</f>
        <v>1685738</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1685738</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2218968</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2218968</v>
      </c>
      <c r="C5339" s="2" t="s">
        <v>569</v>
      </c>
      <c r="D5339" s="2" t="str">
        <f t="shared" si="82"/>
        <v>Error?</v>
      </c>
    </row>
    <row r="5340" spans="1:4" x14ac:dyDescent="0.2">
      <c r="A5340" s="5">
        <v>5279</v>
      </c>
      <c r="B5340" s="1831">
        <f>'Revenues 9-14'!D65</f>
        <v>51347</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51347</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11255</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11</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1284814</v>
      </c>
      <c r="D5354" s="2" t="str">
        <f t="shared" si="82"/>
        <v>Error?</v>
      </c>
    </row>
    <row r="5355" spans="1:4" x14ac:dyDescent="0.2">
      <c r="A5355" s="5">
        <v>5294</v>
      </c>
      <c r="B5355" s="1831">
        <f>'Revenues 9-14'!D108</f>
        <v>1296080</v>
      </c>
      <c r="C5355" s="2" t="s">
        <v>569</v>
      </c>
      <c r="D5355" s="2" t="str">
        <f t="shared" si="82"/>
        <v>Error?</v>
      </c>
    </row>
    <row r="5356" spans="1:4" x14ac:dyDescent="0.2">
      <c r="A5356" s="5">
        <v>5295</v>
      </c>
      <c r="B5356" s="1831">
        <f>'Revenues 9-14'!D109</f>
        <v>5252133</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1891</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5302133</v>
      </c>
      <c r="C5508" s="2" t="s">
        <v>569</v>
      </c>
      <c r="D5508" s="2" t="str">
        <f t="shared" si="85"/>
        <v>Error?</v>
      </c>
    </row>
    <row r="5509" spans="1:4" x14ac:dyDescent="0.2">
      <c r="A5509" s="5">
        <v>5448</v>
      </c>
      <c r="B5509" s="1831">
        <f>'Revenues 9-14'!E5</f>
        <v>2233507</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2233507</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10533</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10533</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2244040</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2766968</v>
      </c>
      <c r="C5552" s="2" t="s">
        <v>569</v>
      </c>
      <c r="D5552" s="2" t="str">
        <f t="shared" si="85"/>
        <v>Error?</v>
      </c>
    </row>
    <row r="5553" spans="1:4" x14ac:dyDescent="0.2">
      <c r="A5553" s="5">
        <v>5492</v>
      </c>
      <c r="B5553" s="1831">
        <f>'Revenues 9-14'!F5</f>
        <v>674292</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674292</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37609</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37609</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711901</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1885230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1885230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1899539</v>
      </c>
      <c r="D5615" s="2" t="str">
        <f t="shared" si="86"/>
        <v>Error?</v>
      </c>
    </row>
    <row r="5616" spans="1:4" x14ac:dyDescent="0.2">
      <c r="A5616" s="10">
        <v>5555</v>
      </c>
      <c r="B5616" s="1831"/>
      <c r="D5616" s="2" t="str">
        <f t="shared" si="86"/>
        <v>OK</v>
      </c>
    </row>
    <row r="5617" spans="1:5" x14ac:dyDescent="0.2">
      <c r="A5617" s="5">
        <v>5556</v>
      </c>
      <c r="B5617" s="1831">
        <f>'Revenues 9-14'!F153</f>
        <v>443948</v>
      </c>
      <c r="D5617" s="2" t="str">
        <f t="shared" si="86"/>
        <v>Error?</v>
      </c>
    </row>
    <row r="5618" spans="1:5" x14ac:dyDescent="0.2">
      <c r="A5618" s="5">
        <v>5557</v>
      </c>
      <c r="B5618" s="1831">
        <f>'Revenues 9-14'!F155</f>
        <v>2343487</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1891</v>
      </c>
    </row>
    <row r="5631" spans="1:5" x14ac:dyDescent="0.2">
      <c r="A5631" s="10">
        <v>5570</v>
      </c>
      <c r="B5631" s="1831"/>
      <c r="D5631" s="2" t="str">
        <f t="shared" ref="D5631:D5694" si="87">IF(ISBLANK(B5631),"OK",IF(A5631-B5631=0,"OK","Error?"))</f>
        <v>OK</v>
      </c>
      <c r="E5631" s="4" t="s">
        <v>1891</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2436475</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4321705</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544076</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1891</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544076</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1891</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544076</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544076</v>
      </c>
      <c r="C5719" s="2" t="s">
        <v>569</v>
      </c>
      <c r="D5719" s="2" t="str">
        <f t="shared" si="88"/>
        <v>Error?</v>
      </c>
    </row>
    <row r="5720" spans="1:4" x14ac:dyDescent="0.2">
      <c r="A5720" s="5">
        <v>5659</v>
      </c>
      <c r="B5720" s="1831">
        <f>'Revenues 9-14'!F268</f>
        <v>5577682</v>
      </c>
      <c r="C5720" s="2" t="s">
        <v>569</v>
      </c>
      <c r="D5720" s="2" t="str">
        <f t="shared" si="88"/>
        <v>Error?</v>
      </c>
    </row>
    <row r="5721" spans="1:4" x14ac:dyDescent="0.2">
      <c r="A5721" s="5">
        <v>5660</v>
      </c>
      <c r="B5721" s="1831">
        <f>'Revenues 9-14'!G5</f>
        <v>1236923</v>
      </c>
      <c r="D5721" s="2" t="str">
        <f t="shared" si="88"/>
        <v>Error?</v>
      </c>
    </row>
    <row r="5722" spans="1:4" x14ac:dyDescent="0.2">
      <c r="A5722" s="5">
        <v>5661</v>
      </c>
      <c r="B5722" s="1831">
        <f>'Revenues 9-14'!G7</f>
        <v>0</v>
      </c>
      <c r="D5722" s="2" t="str">
        <f t="shared" si="88"/>
        <v>Error?</v>
      </c>
    </row>
    <row r="5723" spans="1:4" x14ac:dyDescent="0.2">
      <c r="A5723" s="5">
        <v>5662</v>
      </c>
      <c r="B5723" s="1831">
        <f>'Revenues 9-14'!G8</f>
        <v>1193126</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2430049</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135000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135000</v>
      </c>
      <c r="C5730" s="2" t="s">
        <v>569</v>
      </c>
      <c r="D5730" s="2" t="str">
        <f t="shared" si="88"/>
        <v>Error?</v>
      </c>
    </row>
    <row r="5731" spans="1:4" x14ac:dyDescent="0.2">
      <c r="A5731" s="5">
        <v>5670</v>
      </c>
      <c r="B5731" s="1831">
        <f>'Revenues 9-14'!G65</f>
        <v>39471</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39471</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1891</v>
      </c>
    </row>
    <row r="5768" spans="1:5" x14ac:dyDescent="0.2">
      <c r="A5768" s="10">
        <v>5707</v>
      </c>
      <c r="B5768" s="1831"/>
      <c r="D5768" s="2" t="str">
        <f t="shared" si="89"/>
        <v>OK</v>
      </c>
      <c r="E5768" s="4" t="s">
        <v>1891</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1891</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1891</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2604520</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3</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3</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9125</v>
      </c>
      <c r="D5885" s="2" t="str">
        <f t="shared" si="90"/>
        <v>Error?</v>
      </c>
    </row>
    <row r="5886" spans="1:4" x14ac:dyDescent="0.2">
      <c r="A5886" s="5">
        <v>5825</v>
      </c>
      <c r="B5886" s="1831">
        <f>'Revenues 9-14'!H108</f>
        <v>20066</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20069</v>
      </c>
      <c r="C5915" s="2" t="s">
        <v>569</v>
      </c>
      <c r="D5915" s="2" t="str">
        <f t="shared" si="91"/>
        <v>Error?</v>
      </c>
    </row>
    <row r="5916" spans="1:4" x14ac:dyDescent="0.2">
      <c r="A5916" s="5">
        <v>5855</v>
      </c>
      <c r="B5916" s="1831">
        <f>'Revenues 9-14'!I5</f>
        <v>168568</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168568</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41722</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41722</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210290</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168569</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168569</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2421</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2421</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170990</v>
      </c>
      <c r="C6023" s="2" t="s">
        <v>569</v>
      </c>
      <c r="D6023" s="2" t="str">
        <f t="shared" si="93"/>
        <v>Error?</v>
      </c>
    </row>
    <row r="6024" spans="1:5" x14ac:dyDescent="0.2">
      <c r="A6024" s="5">
        <v>5963</v>
      </c>
      <c r="B6024" s="1831">
        <f>'Revenues 9-14'!G109</f>
        <v>2604520</v>
      </c>
      <c r="C6024" s="2" t="s">
        <v>569</v>
      </c>
      <c r="D6024" s="2" t="str">
        <f t="shared" si="93"/>
        <v>Error?</v>
      </c>
    </row>
    <row r="6025" spans="1:5" x14ac:dyDescent="0.2">
      <c r="A6025" s="5">
        <v>5964</v>
      </c>
      <c r="B6025" s="1831">
        <f>'Revenues 9-14'!H109</f>
        <v>20069</v>
      </c>
      <c r="C6025" s="2" t="s">
        <v>569</v>
      </c>
      <c r="D6025" s="2" t="str">
        <f t="shared" si="93"/>
        <v>Error?</v>
      </c>
    </row>
    <row r="6026" spans="1:5" x14ac:dyDescent="0.2">
      <c r="A6026" s="5">
        <v>5965</v>
      </c>
      <c r="B6026" s="1831">
        <f>'Revenues 9-14'!I109</f>
        <v>210290</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170990</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2437</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265669</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4614.8999999999996</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137134</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1967420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586698</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66430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3160332</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98765</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38369</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1215067</v>
      </c>
      <c r="D6142" s="2" t="str">
        <f t="shared" si="94"/>
        <v>Error?</v>
      </c>
      <c r="E6142" s="2" t="s">
        <v>189</v>
      </c>
    </row>
    <row r="6143" spans="1:5" x14ac:dyDescent="0.2">
      <c r="A6143">
        <v>6082</v>
      </c>
      <c r="B6143" s="1831">
        <f>'Assets-Liab 5-6'!D27</f>
        <v>690500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15979</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47607</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234061</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4621535</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309621</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29028</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1608233</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1909691</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1250641</v>
      </c>
      <c r="D6214" s="2" t="str">
        <f t="shared" si="96"/>
        <v>Error?</v>
      </c>
      <c r="E6214" s="2" t="s">
        <v>189</v>
      </c>
    </row>
    <row r="6215" spans="1:5" x14ac:dyDescent="0.2">
      <c r="A6215">
        <v>6154</v>
      </c>
      <c r="B6215" s="1831">
        <f>'Assets-Liab 5-6'!J39</f>
        <v>0</v>
      </c>
      <c r="D6215" s="2" t="str">
        <f t="shared" si="96"/>
        <v>Error?</v>
      </c>
      <c r="E6215" s="2" t="s">
        <v>189</v>
      </c>
    </row>
    <row r="6216" spans="1:5" x14ac:dyDescent="0.2">
      <c r="A6216">
        <v>6155</v>
      </c>
      <c r="B6216" s="1831">
        <f>'Assets-Liab 5-6'!J41</f>
        <v>3160332</v>
      </c>
      <c r="D6216" s="2" t="str">
        <f t="shared" si="96"/>
        <v>Error?</v>
      </c>
      <c r="E6216" s="2" t="s">
        <v>189</v>
      </c>
    </row>
    <row r="6217" spans="1:5" x14ac:dyDescent="0.2">
      <c r="A6217">
        <v>6156</v>
      </c>
      <c r="B6217" s="1831">
        <f>'Assets-Liab 5-6'!J4</f>
        <v>0</v>
      </c>
      <c r="D6217" s="2" t="str">
        <f t="shared" si="96"/>
        <v>Error?</v>
      </c>
      <c r="E6217" s="2" t="s">
        <v>189</v>
      </c>
    </row>
    <row r="6218" spans="1:5" x14ac:dyDescent="0.2">
      <c r="A6218">
        <v>6157</v>
      </c>
      <c r="B6218" s="1831">
        <f>'Assets-Liab 5-6'!J5</f>
        <v>1552099</v>
      </c>
      <c r="D6218" s="2" t="str">
        <f t="shared" si="96"/>
        <v>Error?</v>
      </c>
      <c r="E6218" s="2" t="s">
        <v>189</v>
      </c>
    </row>
    <row r="6219" spans="1:5" x14ac:dyDescent="0.2">
      <c r="A6219">
        <v>6158</v>
      </c>
      <c r="B6219" s="1831">
        <f>'Assets-Liab 5-6'!J6</f>
        <v>1608233</v>
      </c>
      <c r="D6219" s="2" t="str">
        <f t="shared" si="96"/>
        <v>Error?</v>
      </c>
      <c r="E6219" s="2" t="s">
        <v>189</v>
      </c>
    </row>
    <row r="6220" spans="1:5" x14ac:dyDescent="0.2">
      <c r="A6220">
        <v>6159</v>
      </c>
      <c r="B6220" s="1831">
        <f>'Acct Summary 7-8'!J4</f>
        <v>1635933</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1635933</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1635933</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1563883</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1563883</v>
      </c>
      <c r="D6229" s="2" t="str">
        <f t="shared" si="96"/>
        <v>Error?</v>
      </c>
      <c r="E6229" s="2" t="s">
        <v>189</v>
      </c>
    </row>
    <row r="6230" spans="1:5" x14ac:dyDescent="0.2">
      <c r="A6230">
        <v>6169</v>
      </c>
      <c r="B6230" s="1831">
        <f>'Acct Summary 7-8'!J20</f>
        <v>72050</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72050</v>
      </c>
      <c r="D6263" s="2" t="str">
        <f t="shared" si="96"/>
        <v>Error?</v>
      </c>
      <c r="E6263" s="2" t="s">
        <v>189</v>
      </c>
    </row>
    <row r="6264" spans="1:5" x14ac:dyDescent="0.2">
      <c r="A6264">
        <v>6203</v>
      </c>
      <c r="B6264" s="1831">
        <f>'Acct Summary 7-8'!J79</f>
        <v>1178591</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1250641</v>
      </c>
      <c r="D6266" s="2" t="str">
        <f t="shared" si="96"/>
        <v>Error?</v>
      </c>
      <c r="E6266" s="2" t="s">
        <v>189</v>
      </c>
    </row>
    <row r="6267" spans="1:5" x14ac:dyDescent="0.2">
      <c r="A6267">
        <v>6206</v>
      </c>
      <c r="B6267" s="1831">
        <f>'Acct Summary 7-8'!C82</f>
        <v>-1672368</v>
      </c>
      <c r="D6267" s="2" t="str">
        <f t="shared" si="96"/>
        <v>Error?</v>
      </c>
      <c r="E6267" s="2" t="s">
        <v>189</v>
      </c>
    </row>
    <row r="6268" spans="1:5" x14ac:dyDescent="0.2">
      <c r="A6268">
        <v>6207</v>
      </c>
      <c r="B6268" s="1831">
        <f>'Acct Summary 7-8'!D82</f>
        <v>280746</v>
      </c>
      <c r="D6268" s="2" t="str">
        <f t="shared" si="96"/>
        <v>Error?</v>
      </c>
      <c r="E6268" s="2" t="s">
        <v>189</v>
      </c>
    </row>
    <row r="6269" spans="1:5" x14ac:dyDescent="0.2">
      <c r="A6269">
        <v>6208</v>
      </c>
      <c r="B6269" s="1831">
        <f>'Acct Summary 7-8'!E82</f>
        <v>96936</v>
      </c>
      <c r="D6269" s="2" t="str">
        <f t="shared" si="96"/>
        <v>Error?</v>
      </c>
      <c r="E6269" s="2" t="s">
        <v>189</v>
      </c>
    </row>
    <row r="6270" spans="1:5" x14ac:dyDescent="0.2">
      <c r="A6270">
        <v>6209</v>
      </c>
      <c r="B6270" s="1831">
        <f>'Acct Summary 7-8'!F82</f>
        <v>2300124</v>
      </c>
      <c r="D6270" s="2" t="str">
        <f t="shared" si="96"/>
        <v>Error?</v>
      </c>
      <c r="E6270" s="2" t="s">
        <v>189</v>
      </c>
    </row>
    <row r="6271" spans="1:5" x14ac:dyDescent="0.2">
      <c r="A6271">
        <v>6210</v>
      </c>
      <c r="B6271" s="1831">
        <f>'Acct Summary 7-8'!G82</f>
        <v>-66447</v>
      </c>
      <c r="D6271" s="2" t="str">
        <f t="shared" ref="D6271:D6334" si="97">IF(ISBLANK(B6271),"OK",IF(A6271-B6271=0,"OK","Error?"))</f>
        <v>Error?</v>
      </c>
      <c r="E6271" s="2" t="s">
        <v>189</v>
      </c>
    </row>
    <row r="6272" spans="1:5" x14ac:dyDescent="0.2">
      <c r="A6272">
        <v>6211</v>
      </c>
      <c r="B6272" s="1831">
        <f>'Acct Summary 7-8'!H82</f>
        <v>-47607</v>
      </c>
      <c r="D6272" s="2" t="str">
        <f t="shared" si="97"/>
        <v>Error?</v>
      </c>
      <c r="E6272" s="2" t="s">
        <v>189</v>
      </c>
    </row>
    <row r="6273" spans="1:5" x14ac:dyDescent="0.2">
      <c r="A6273">
        <v>6212</v>
      </c>
      <c r="B6273" s="1831">
        <f>'Acct Summary 7-8'!I82</f>
        <v>210290</v>
      </c>
      <c r="D6273" s="2" t="str">
        <f t="shared" si="97"/>
        <v>Error?</v>
      </c>
      <c r="E6273" s="2" t="s">
        <v>189</v>
      </c>
    </row>
    <row r="6274" spans="1:5" x14ac:dyDescent="0.2">
      <c r="A6274">
        <v>6213</v>
      </c>
      <c r="B6274" s="1831">
        <f>'Acct Summary 7-8'!J82</f>
        <v>72050</v>
      </c>
      <c r="D6274" s="2" t="str">
        <f t="shared" si="97"/>
        <v>Error?</v>
      </c>
      <c r="E6274" s="2" t="s">
        <v>189</v>
      </c>
    </row>
    <row r="6275" spans="1:5" x14ac:dyDescent="0.2">
      <c r="A6275">
        <v>6214</v>
      </c>
      <c r="B6275" s="1831">
        <f>'Acct Summary 7-8'!K82</f>
        <v>170990</v>
      </c>
      <c r="D6275" s="2" t="str">
        <f t="shared" si="97"/>
        <v>Error?</v>
      </c>
      <c r="E6275" s="2" t="s">
        <v>189</v>
      </c>
    </row>
    <row r="6276" spans="1:5" x14ac:dyDescent="0.2">
      <c r="A6276">
        <v>6215</v>
      </c>
      <c r="B6276" s="1831">
        <f>'Acct Summary 7-8'!C83</f>
        <v>-8.9115640893543666E-2</v>
      </c>
      <c r="D6276" s="2" t="str">
        <f t="shared" si="97"/>
        <v>Error?</v>
      </c>
      <c r="E6276" s="2" t="s">
        <v>189</v>
      </c>
    </row>
    <row r="6277" spans="1:5" x14ac:dyDescent="0.2">
      <c r="A6277">
        <v>6216</v>
      </c>
      <c r="B6277" s="1831">
        <f>'Acct Summary 7-8'!D83</f>
        <v>8.1092392919688353E-2</v>
      </c>
      <c r="D6277" s="2" t="str">
        <f t="shared" si="97"/>
        <v>Error?</v>
      </c>
      <c r="E6277" s="2" t="s">
        <v>189</v>
      </c>
    </row>
    <row r="6278" spans="1:5" x14ac:dyDescent="0.2">
      <c r="A6278">
        <v>6217</v>
      </c>
      <c r="B6278" s="1831">
        <f>'Acct Summary 7-8'!E83</f>
        <v>0.21663806050203818</v>
      </c>
      <c r="D6278" s="2" t="str">
        <f t="shared" si="97"/>
        <v>Error?</v>
      </c>
      <c r="E6278" s="2" t="s">
        <v>189</v>
      </c>
    </row>
    <row r="6279" spans="1:5" x14ac:dyDescent="0.2">
      <c r="A6279">
        <v>6218</v>
      </c>
      <c r="B6279" s="1831">
        <f>'Acct Summary 7-8'!F83</f>
        <v>0.43608305531377423</v>
      </c>
      <c r="D6279" s="2" t="str">
        <f t="shared" si="97"/>
        <v>Error?</v>
      </c>
      <c r="E6279" s="2" t="s">
        <v>189</v>
      </c>
    </row>
    <row r="6280" spans="1:5" x14ac:dyDescent="0.2">
      <c r="A6280">
        <v>6219</v>
      </c>
      <c r="B6280" s="1831">
        <f>'Acct Summary 7-8'!G83</f>
        <v>-4.0634278043962829E-2</v>
      </c>
      <c r="D6280" s="2" t="str">
        <f t="shared" si="97"/>
        <v>Error?</v>
      </c>
      <c r="E6280" s="2" t="s">
        <v>189</v>
      </c>
    </row>
    <row r="6281" spans="1:5" x14ac:dyDescent="0.2">
      <c r="A6281">
        <v>6220</v>
      </c>
      <c r="B6281" s="1831">
        <f>'Acct Summary 7-8'!H83</f>
        <v>1.0162230238862682</v>
      </c>
      <c r="D6281" s="2" t="str">
        <f t="shared" si="97"/>
        <v>Error?</v>
      </c>
      <c r="E6281" s="2" t="s">
        <v>189</v>
      </c>
    </row>
    <row r="6282" spans="1:5" x14ac:dyDescent="0.2">
      <c r="A6282">
        <v>6221</v>
      </c>
      <c r="B6282" s="1831">
        <f>'Acct Summary 7-8'!I83</f>
        <v>6.3391609361302934E-2</v>
      </c>
      <c r="D6282" s="2" t="str">
        <f t="shared" si="97"/>
        <v>Error?</v>
      </c>
      <c r="E6282" s="2" t="s">
        <v>189</v>
      </c>
    </row>
    <row r="6283" spans="1:5" x14ac:dyDescent="0.2">
      <c r="A6283">
        <v>6222</v>
      </c>
      <c r="B6283" s="1831">
        <f>'Acct Summary 7-8'!J83</f>
        <v>5.7610457357467088E-2</v>
      </c>
      <c r="D6283" s="2" t="str">
        <f t="shared" si="97"/>
        <v>Error?</v>
      </c>
      <c r="E6283" s="2" t="s">
        <v>189</v>
      </c>
    </row>
    <row r="6284" spans="1:5" x14ac:dyDescent="0.2">
      <c r="A6284">
        <v>6223</v>
      </c>
      <c r="B6284" s="1831">
        <f>'Acct Summary 7-8'!K83</f>
        <v>0.73593781607364972</v>
      </c>
      <c r="D6284" s="2" t="str">
        <f t="shared" si="97"/>
        <v>Error?</v>
      </c>
      <c r="E6284" s="2" t="s">
        <v>189</v>
      </c>
    </row>
    <row r="6285" spans="1:5" x14ac:dyDescent="0.2">
      <c r="A6285">
        <v>6224</v>
      </c>
      <c r="B6285" s="1831">
        <f>'Acct Summary 7-8'!E37</f>
        <v>1049197</v>
      </c>
      <c r="D6285" s="2" t="str">
        <f t="shared" si="97"/>
        <v>Error?</v>
      </c>
      <c r="E6285" s="2" t="s">
        <v>189</v>
      </c>
    </row>
    <row r="6286" spans="1:5" x14ac:dyDescent="0.2">
      <c r="A6286">
        <v>6225</v>
      </c>
      <c r="B6286" s="1831">
        <f>'Acct Summary 7-8'!E38</f>
        <v>32645</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1606276</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1606276</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29613</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29613</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21314</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10941</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44</v>
      </c>
      <c r="D6350" s="2" t="str">
        <f t="shared" si="98"/>
        <v>Error?</v>
      </c>
      <c r="E6350" s="2" t="s">
        <v>189</v>
      </c>
    </row>
    <row r="6351" spans="1:5" x14ac:dyDescent="0.2">
      <c r="A6351">
        <v>6290</v>
      </c>
      <c r="B6351" s="1831">
        <f>'Revenues 9-14'!J108</f>
        <v>44</v>
      </c>
      <c r="D6351" s="2" t="str">
        <f t="shared" si="98"/>
        <v>Error?</v>
      </c>
      <c r="E6351" s="2" t="s">
        <v>189</v>
      </c>
    </row>
    <row r="6352" spans="1:5" x14ac:dyDescent="0.2">
      <c r="A6352">
        <v>6291</v>
      </c>
      <c r="B6352" s="1831">
        <f>'Revenues 9-14'!J109</f>
        <v>1635933</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1890</v>
      </c>
    </row>
    <row r="6383" spans="1:6" x14ac:dyDescent="0.2">
      <c r="A6383" s="126">
        <v>6322</v>
      </c>
      <c r="B6383" s="1831"/>
      <c r="D6383" s="2" t="str">
        <f t="shared" si="98"/>
        <v>OK</v>
      </c>
      <c r="E6383" s="2" t="s">
        <v>189</v>
      </c>
      <c r="F6383" s="1" t="s">
        <v>1890</v>
      </c>
    </row>
    <row r="6384" spans="1:6" x14ac:dyDescent="0.2">
      <c r="A6384" s="126">
        <v>6323</v>
      </c>
      <c r="B6384" s="1831"/>
      <c r="D6384" s="2" t="str">
        <f t="shared" si="98"/>
        <v>OK</v>
      </c>
      <c r="E6384" s="2" t="s">
        <v>189</v>
      </c>
      <c r="F6384" s="1" t="s">
        <v>1890</v>
      </c>
    </row>
    <row r="6385" spans="1:6" x14ac:dyDescent="0.2">
      <c r="A6385" s="126">
        <v>6324</v>
      </c>
      <c r="B6385" s="1831"/>
      <c r="D6385" s="2" t="str">
        <f t="shared" si="98"/>
        <v>OK</v>
      </c>
      <c r="E6385" s="2" t="s">
        <v>189</v>
      </c>
      <c r="F6385" s="1" t="s">
        <v>1890</v>
      </c>
    </row>
    <row r="6386" spans="1:6" x14ac:dyDescent="0.2">
      <c r="A6386" s="126">
        <v>6325</v>
      </c>
      <c r="B6386" s="1831"/>
      <c r="D6386" s="2" t="str">
        <f t="shared" si="98"/>
        <v>OK</v>
      </c>
      <c r="E6386" s="2" t="s">
        <v>189</v>
      </c>
      <c r="F6386" s="1" t="s">
        <v>1890</v>
      </c>
    </row>
    <row r="6387" spans="1:6" x14ac:dyDescent="0.2">
      <c r="A6387" s="126">
        <v>6326</v>
      </c>
      <c r="B6387" s="1831"/>
      <c r="D6387" s="2" t="str">
        <f t="shared" si="98"/>
        <v>OK</v>
      </c>
      <c r="E6387" s="2" t="s">
        <v>189</v>
      </c>
      <c r="F6387" s="1" t="s">
        <v>1890</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1890</v>
      </c>
    </row>
    <row r="6411" spans="1:6" x14ac:dyDescent="0.2">
      <c r="A6411" s="126">
        <v>6350</v>
      </c>
      <c r="B6411" s="1831"/>
      <c r="D6411" s="2" t="str">
        <f t="shared" si="99"/>
        <v>OK</v>
      </c>
      <c r="E6411" s="2" t="s">
        <v>189</v>
      </c>
      <c r="F6411" s="1" t="s">
        <v>1890</v>
      </c>
    </row>
    <row r="6412" spans="1:6" x14ac:dyDescent="0.2">
      <c r="A6412" s="126">
        <v>6351</v>
      </c>
      <c r="B6412" s="1831"/>
      <c r="D6412" s="2" t="str">
        <f t="shared" si="99"/>
        <v>OK</v>
      </c>
      <c r="E6412" s="2" t="s">
        <v>189</v>
      </c>
      <c r="F6412" s="1" t="s">
        <v>1890</v>
      </c>
    </row>
    <row r="6413" spans="1:6" x14ac:dyDescent="0.2">
      <c r="A6413" s="126">
        <v>6352</v>
      </c>
      <c r="B6413" s="1831"/>
      <c r="D6413" s="2" t="str">
        <f t="shared" si="99"/>
        <v>OK</v>
      </c>
      <c r="E6413" s="2" t="s">
        <v>189</v>
      </c>
      <c r="F6413" s="1" t="s">
        <v>1890</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1986</v>
      </c>
    </row>
    <row r="6417" spans="1:5" x14ac:dyDescent="0.2">
      <c r="A6417" s="126">
        <v>6356</v>
      </c>
      <c r="B6417" s="1831"/>
      <c r="D6417" s="2" t="str">
        <f t="shared" si="99"/>
        <v>OK</v>
      </c>
      <c r="E6417" s="4" t="s">
        <v>1986</v>
      </c>
    </row>
    <row r="6418" spans="1:5" x14ac:dyDescent="0.2">
      <c r="A6418" s="126">
        <v>6357</v>
      </c>
      <c r="B6418" s="1831"/>
      <c r="D6418" s="2" t="str">
        <f t="shared" si="99"/>
        <v>OK</v>
      </c>
      <c r="E6418" s="4" t="s">
        <v>1986</v>
      </c>
    </row>
    <row r="6419" spans="1:5" x14ac:dyDescent="0.2">
      <c r="A6419" s="126">
        <v>6358</v>
      </c>
      <c r="B6419" s="1831"/>
      <c r="D6419" s="2" t="str">
        <f t="shared" si="99"/>
        <v>OK</v>
      </c>
      <c r="E6419" s="4" t="s">
        <v>1986</v>
      </c>
    </row>
    <row r="6420" spans="1:5" x14ac:dyDescent="0.2">
      <c r="A6420" s="126">
        <v>6359</v>
      </c>
      <c r="B6420" s="1831"/>
      <c r="D6420" s="2" t="str">
        <f t="shared" si="99"/>
        <v>OK</v>
      </c>
      <c r="E6420" s="4" t="s">
        <v>1986</v>
      </c>
    </row>
    <row r="6421" spans="1:5" x14ac:dyDescent="0.2">
      <c r="A6421" s="126">
        <v>6360</v>
      </c>
      <c r="B6421" s="1831"/>
      <c r="D6421" s="2" t="str">
        <f t="shared" si="99"/>
        <v>OK</v>
      </c>
      <c r="E6421" s="4" t="s">
        <v>1986</v>
      </c>
    </row>
    <row r="6422" spans="1:5" x14ac:dyDescent="0.2">
      <c r="A6422" s="126">
        <v>6361</v>
      </c>
      <c r="B6422" s="1831"/>
      <c r="D6422" s="2" t="str">
        <f t="shared" si="99"/>
        <v>OK</v>
      </c>
      <c r="E6422" s="4" t="s">
        <v>1986</v>
      </c>
    </row>
    <row r="6423" spans="1:5" x14ac:dyDescent="0.2">
      <c r="A6423" s="126">
        <v>6362</v>
      </c>
      <c r="B6423" s="1831"/>
      <c r="D6423" s="2" t="str">
        <f t="shared" si="99"/>
        <v>OK</v>
      </c>
      <c r="E6423" s="4" t="s">
        <v>1986</v>
      </c>
    </row>
    <row r="6424" spans="1:5" x14ac:dyDescent="0.2">
      <c r="A6424" s="126">
        <v>6363</v>
      </c>
      <c r="B6424" s="1831"/>
      <c r="D6424" s="2" t="str">
        <f t="shared" si="99"/>
        <v>OK</v>
      </c>
      <c r="E6424" s="4" t="s">
        <v>1986</v>
      </c>
    </row>
    <row r="6425" spans="1:5" x14ac:dyDescent="0.2">
      <c r="A6425" s="126">
        <v>6364</v>
      </c>
      <c r="B6425" s="1831"/>
      <c r="D6425" s="2" t="str">
        <f t="shared" si="99"/>
        <v>OK</v>
      </c>
      <c r="E6425" s="4" t="s">
        <v>1986</v>
      </c>
    </row>
    <row r="6426" spans="1:5" x14ac:dyDescent="0.2">
      <c r="A6426" s="126">
        <v>6365</v>
      </c>
      <c r="B6426" s="1831"/>
      <c r="D6426" s="2" t="str">
        <f t="shared" si="99"/>
        <v>OK</v>
      </c>
      <c r="E6426" s="4" t="s">
        <v>1986</v>
      </c>
    </row>
    <row r="6427" spans="1:5" x14ac:dyDescent="0.2">
      <c r="A6427" s="126">
        <v>6366</v>
      </c>
      <c r="B6427" s="1831"/>
      <c r="D6427" s="2" t="str">
        <f t="shared" si="99"/>
        <v>OK</v>
      </c>
      <c r="E6427" s="4" t="s">
        <v>1986</v>
      </c>
    </row>
    <row r="6428" spans="1:5" x14ac:dyDescent="0.2">
      <c r="A6428" s="126">
        <v>6367</v>
      </c>
      <c r="B6428" s="1831"/>
      <c r="D6428" s="2" t="str">
        <f t="shared" si="99"/>
        <v>OK</v>
      </c>
      <c r="E6428" s="4" t="s">
        <v>1986</v>
      </c>
    </row>
    <row r="6429" spans="1:5" x14ac:dyDescent="0.2">
      <c r="A6429" s="126">
        <v>6368</v>
      </c>
      <c r="B6429" s="1831"/>
      <c r="D6429" s="2" t="str">
        <f t="shared" si="99"/>
        <v>OK</v>
      </c>
      <c r="E6429" s="4" t="s">
        <v>1986</v>
      </c>
    </row>
    <row r="6430" spans="1:5" x14ac:dyDescent="0.2">
      <c r="A6430" s="126">
        <v>6369</v>
      </c>
      <c r="B6430" s="1831"/>
      <c r="D6430" s="2" t="str">
        <f t="shared" si="99"/>
        <v>OK</v>
      </c>
      <c r="E6430" s="4" t="s">
        <v>1986</v>
      </c>
    </row>
    <row r="6431" spans="1:5" x14ac:dyDescent="0.2">
      <c r="A6431" s="126">
        <v>6370</v>
      </c>
      <c r="B6431" s="1831"/>
      <c r="D6431" s="2" t="str">
        <f t="shared" si="99"/>
        <v>OK</v>
      </c>
      <c r="E6431" s="4" t="s">
        <v>1986</v>
      </c>
    </row>
    <row r="6432" spans="1:5" x14ac:dyDescent="0.2">
      <c r="A6432" s="126">
        <v>6371</v>
      </c>
      <c r="B6432" s="1831"/>
      <c r="D6432" s="2" t="str">
        <f t="shared" si="99"/>
        <v>OK</v>
      </c>
      <c r="E6432" s="4" t="s">
        <v>1986</v>
      </c>
    </row>
    <row r="6433" spans="1:5" x14ac:dyDescent="0.2">
      <c r="A6433" s="126">
        <v>6372</v>
      </c>
      <c r="B6433" s="1831"/>
      <c r="D6433" s="2" t="str">
        <f t="shared" si="99"/>
        <v>OK</v>
      </c>
      <c r="E6433" s="4" t="s">
        <v>1986</v>
      </c>
    </row>
    <row r="6434" spans="1:5" x14ac:dyDescent="0.2">
      <c r="A6434" s="126">
        <v>6373</v>
      </c>
      <c r="B6434" s="1831"/>
      <c r="D6434" s="2" t="str">
        <f t="shared" si="99"/>
        <v>OK</v>
      </c>
      <c r="E6434" s="4" t="s">
        <v>1986</v>
      </c>
    </row>
    <row r="6435" spans="1:5" x14ac:dyDescent="0.2">
      <c r="A6435" s="126">
        <v>6374</v>
      </c>
      <c r="B6435" s="1831"/>
      <c r="D6435" s="2" t="str">
        <f t="shared" si="99"/>
        <v>OK</v>
      </c>
      <c r="E6435" s="4" t="s">
        <v>1986</v>
      </c>
    </row>
    <row r="6436" spans="1:5" x14ac:dyDescent="0.2">
      <c r="A6436" s="126">
        <v>6375</v>
      </c>
      <c r="B6436" s="1831"/>
      <c r="D6436" s="2" t="str">
        <f t="shared" si="99"/>
        <v>OK</v>
      </c>
      <c r="E6436" s="4" t="s">
        <v>1986</v>
      </c>
    </row>
    <row r="6437" spans="1:5" x14ac:dyDescent="0.2">
      <c r="A6437" s="126">
        <v>6376</v>
      </c>
      <c r="B6437" s="1831"/>
      <c r="D6437" s="2" t="str">
        <f t="shared" si="99"/>
        <v>OK</v>
      </c>
      <c r="E6437" s="4" t="s">
        <v>1986</v>
      </c>
    </row>
    <row r="6438" spans="1:5" x14ac:dyDescent="0.2">
      <c r="A6438" s="126">
        <v>6377</v>
      </c>
      <c r="B6438" s="1831"/>
      <c r="D6438" s="2" t="str">
        <f t="shared" si="99"/>
        <v>OK</v>
      </c>
      <c r="E6438" s="4" t="s">
        <v>1986</v>
      </c>
    </row>
    <row r="6439" spans="1:5" x14ac:dyDescent="0.2">
      <c r="A6439" s="126">
        <v>6378</v>
      </c>
      <c r="B6439" s="1831"/>
      <c r="D6439" s="2" t="str">
        <f t="shared" si="99"/>
        <v>OK</v>
      </c>
      <c r="E6439" s="4" t="s">
        <v>1986</v>
      </c>
    </row>
    <row r="6440" spans="1:5" x14ac:dyDescent="0.2">
      <c r="A6440" s="126">
        <v>6379</v>
      </c>
      <c r="B6440" s="1831"/>
      <c r="D6440" s="2" t="str">
        <f t="shared" si="99"/>
        <v>OK</v>
      </c>
      <c r="E6440" s="4" t="s">
        <v>1986</v>
      </c>
    </row>
    <row r="6441" spans="1:5" x14ac:dyDescent="0.2">
      <c r="A6441" s="126">
        <v>6380</v>
      </c>
      <c r="B6441" s="1831"/>
      <c r="D6441" s="2" t="str">
        <f t="shared" si="99"/>
        <v>OK</v>
      </c>
      <c r="E6441" s="4" t="s">
        <v>1986</v>
      </c>
    </row>
    <row r="6442" spans="1:5" x14ac:dyDescent="0.2">
      <c r="A6442" s="126">
        <v>6381</v>
      </c>
      <c r="B6442" s="1831"/>
      <c r="D6442" s="2" t="str">
        <f t="shared" si="99"/>
        <v>OK</v>
      </c>
      <c r="E6442" s="4" t="s">
        <v>1986</v>
      </c>
    </row>
    <row r="6443" spans="1:5" x14ac:dyDescent="0.2">
      <c r="A6443" s="126">
        <v>6382</v>
      </c>
      <c r="B6443" s="1831"/>
      <c r="D6443" s="2" t="str">
        <f t="shared" si="99"/>
        <v>OK</v>
      </c>
      <c r="E6443" s="4" t="s">
        <v>1986</v>
      </c>
    </row>
    <row r="6444" spans="1:5" x14ac:dyDescent="0.2">
      <c r="A6444" s="126">
        <v>6383</v>
      </c>
      <c r="B6444" s="1831"/>
      <c r="D6444" s="2" t="str">
        <f t="shared" si="99"/>
        <v>OK</v>
      </c>
      <c r="E6444" s="4" t="s">
        <v>1986</v>
      </c>
    </row>
    <row r="6445" spans="1:5" x14ac:dyDescent="0.2">
      <c r="A6445" s="126">
        <v>6384</v>
      </c>
      <c r="B6445" s="1831"/>
      <c r="D6445" s="2" t="str">
        <f t="shared" si="99"/>
        <v>OK</v>
      </c>
      <c r="E6445" s="4" t="s">
        <v>1986</v>
      </c>
    </row>
    <row r="6446" spans="1:5" x14ac:dyDescent="0.2">
      <c r="A6446" s="126">
        <v>6385</v>
      </c>
      <c r="B6446" s="1831"/>
      <c r="D6446" s="2" t="str">
        <f t="shared" si="99"/>
        <v>OK</v>
      </c>
      <c r="E6446" s="4" t="s">
        <v>1986</v>
      </c>
    </row>
    <row r="6447" spans="1:5" x14ac:dyDescent="0.2">
      <c r="A6447" s="126">
        <v>6386</v>
      </c>
      <c r="B6447" s="1831"/>
      <c r="D6447" s="2" t="str">
        <f t="shared" si="99"/>
        <v>OK</v>
      </c>
      <c r="E6447" s="4" t="s">
        <v>1986</v>
      </c>
    </row>
    <row r="6448" spans="1:5" x14ac:dyDescent="0.2">
      <c r="A6448" s="126">
        <v>6387</v>
      </c>
      <c r="B6448" s="1831"/>
      <c r="D6448" s="2" t="str">
        <f t="shared" si="99"/>
        <v>OK</v>
      </c>
      <c r="E6448" s="4" t="s">
        <v>1986</v>
      </c>
    </row>
    <row r="6449" spans="1:5" x14ac:dyDescent="0.2">
      <c r="A6449" s="126">
        <v>6388</v>
      </c>
      <c r="B6449" s="1831"/>
      <c r="D6449" s="2" t="str">
        <f t="shared" si="99"/>
        <v>OK</v>
      </c>
      <c r="E6449" s="4" t="s">
        <v>1986</v>
      </c>
    </row>
    <row r="6450" spans="1:5" x14ac:dyDescent="0.2">
      <c r="A6450" s="126">
        <v>6389</v>
      </c>
      <c r="B6450" s="1831"/>
      <c r="D6450" s="2" t="str">
        <f t="shared" si="99"/>
        <v>OK</v>
      </c>
      <c r="E6450" s="4" t="s">
        <v>1986</v>
      </c>
    </row>
    <row r="6451" spans="1:5" x14ac:dyDescent="0.2">
      <c r="A6451" s="126">
        <v>6390</v>
      </c>
      <c r="B6451" s="1831"/>
      <c r="D6451" s="2" t="str">
        <f t="shared" si="99"/>
        <v>OK</v>
      </c>
      <c r="E6451" s="4" t="s">
        <v>1986</v>
      </c>
    </row>
    <row r="6452" spans="1:5" x14ac:dyDescent="0.2">
      <c r="A6452" s="126">
        <v>6391</v>
      </c>
      <c r="B6452" s="1831"/>
      <c r="D6452" s="2" t="str">
        <f t="shared" si="99"/>
        <v>OK</v>
      </c>
      <c r="E6452" s="4" t="s">
        <v>1986</v>
      </c>
    </row>
    <row r="6453" spans="1:5" x14ac:dyDescent="0.2">
      <c r="A6453" s="126">
        <v>6392</v>
      </c>
      <c r="B6453" s="1831"/>
      <c r="D6453" s="2" t="str">
        <f t="shared" si="99"/>
        <v>OK</v>
      </c>
      <c r="E6453" s="4" t="s">
        <v>1986</v>
      </c>
    </row>
    <row r="6454" spans="1:5" x14ac:dyDescent="0.2">
      <c r="A6454" s="126">
        <v>6393</v>
      </c>
      <c r="B6454" s="1831"/>
      <c r="D6454" s="2" t="str">
        <f t="shared" si="99"/>
        <v>OK</v>
      </c>
      <c r="E6454" s="4" t="s">
        <v>1986</v>
      </c>
    </row>
    <row r="6455" spans="1:5" x14ac:dyDescent="0.2">
      <c r="A6455" s="126">
        <v>6394</v>
      </c>
      <c r="B6455" s="1831"/>
      <c r="D6455" s="2" t="str">
        <f t="shared" si="99"/>
        <v>OK</v>
      </c>
      <c r="E6455" s="4" t="s">
        <v>1986</v>
      </c>
    </row>
    <row r="6456" spans="1:5" x14ac:dyDescent="0.2">
      <c r="A6456" s="126">
        <v>6395</v>
      </c>
      <c r="B6456" s="1831"/>
      <c r="D6456" s="2" t="str">
        <f t="shared" si="99"/>
        <v>OK</v>
      </c>
      <c r="E6456" s="4" t="s">
        <v>1986</v>
      </c>
    </row>
    <row r="6457" spans="1:5" x14ac:dyDescent="0.2">
      <c r="A6457" s="126">
        <v>6396</v>
      </c>
      <c r="B6457" s="1831"/>
      <c r="D6457" s="2" t="str">
        <f t="shared" si="99"/>
        <v>OK</v>
      </c>
      <c r="E6457" s="4" t="s">
        <v>1986</v>
      </c>
    </row>
    <row r="6458" spans="1:5" x14ac:dyDescent="0.2">
      <c r="A6458" s="126">
        <v>6397</v>
      </c>
      <c r="B6458" s="1831"/>
      <c r="D6458" s="2" t="str">
        <f t="shared" si="99"/>
        <v>OK</v>
      </c>
      <c r="E6458" s="4" t="s">
        <v>1986</v>
      </c>
    </row>
    <row r="6459" spans="1:5" x14ac:dyDescent="0.2">
      <c r="A6459" s="126">
        <v>6398</v>
      </c>
      <c r="B6459" s="1831"/>
      <c r="D6459" s="2" t="str">
        <f t="shared" si="99"/>
        <v>OK</v>
      </c>
      <c r="E6459" s="4" t="s">
        <v>1986</v>
      </c>
    </row>
    <row r="6460" spans="1:5" x14ac:dyDescent="0.2">
      <c r="A6460" s="126">
        <v>6399</v>
      </c>
      <c r="B6460" s="1831"/>
      <c r="D6460" s="2" t="str">
        <f t="shared" si="99"/>
        <v>OK</v>
      </c>
      <c r="E6460" s="4" t="s">
        <v>1986</v>
      </c>
    </row>
    <row r="6461" spans="1:5" x14ac:dyDescent="0.2">
      <c r="A6461" s="126">
        <v>6400</v>
      </c>
      <c r="B6461" s="1831"/>
      <c r="D6461" s="2" t="str">
        <f t="shared" si="99"/>
        <v>OK</v>
      </c>
      <c r="E6461" s="4" t="s">
        <v>1986</v>
      </c>
    </row>
    <row r="6462" spans="1:5" x14ac:dyDescent="0.2">
      <c r="A6462" s="126">
        <v>6401</v>
      </c>
      <c r="B6462" s="1831"/>
      <c r="D6462" s="2" t="str">
        <f t="shared" si="99"/>
        <v>OK</v>
      </c>
      <c r="E6462" s="4" t="s">
        <v>1986</v>
      </c>
    </row>
    <row r="6463" spans="1:5" x14ac:dyDescent="0.2">
      <c r="A6463" s="126">
        <v>6402</v>
      </c>
      <c r="B6463" s="1831"/>
      <c r="D6463" s="2" t="str">
        <f t="shared" ref="D6463:D6526" si="100">IF(ISBLANK(B6463),"OK",IF(A6463-B6463=0,"OK","Error?"))</f>
        <v>OK</v>
      </c>
      <c r="E6463" s="4" t="s">
        <v>1986</v>
      </c>
    </row>
    <row r="6464" spans="1:5" x14ac:dyDescent="0.2">
      <c r="A6464" s="126">
        <v>6403</v>
      </c>
      <c r="B6464" s="1831"/>
      <c r="D6464" s="2" t="str">
        <f t="shared" si="100"/>
        <v>OK</v>
      </c>
      <c r="E6464" s="4" t="s">
        <v>1986</v>
      </c>
    </row>
    <row r="6465" spans="1:5" x14ac:dyDescent="0.2">
      <c r="A6465" s="126">
        <v>6404</v>
      </c>
      <c r="B6465" s="1831"/>
      <c r="D6465" s="2" t="str">
        <f t="shared" si="100"/>
        <v>OK</v>
      </c>
      <c r="E6465" s="4" t="s">
        <v>1986</v>
      </c>
    </row>
    <row r="6466" spans="1:5" x14ac:dyDescent="0.2">
      <c r="A6466" s="126">
        <v>6405</v>
      </c>
      <c r="B6466" s="1831"/>
      <c r="D6466" s="2" t="str">
        <f t="shared" si="100"/>
        <v>OK</v>
      </c>
      <c r="E6466" s="4" t="s">
        <v>1986</v>
      </c>
    </row>
    <row r="6467" spans="1:5" x14ac:dyDescent="0.2">
      <c r="A6467" s="126">
        <v>6406</v>
      </c>
      <c r="B6467" s="1831"/>
      <c r="D6467" s="2" t="str">
        <f t="shared" si="100"/>
        <v>OK</v>
      </c>
      <c r="E6467" s="4" t="s">
        <v>1986</v>
      </c>
    </row>
    <row r="6468" spans="1:5" x14ac:dyDescent="0.2">
      <c r="A6468" s="126">
        <v>6407</v>
      </c>
      <c r="B6468" s="1831"/>
      <c r="D6468" s="2" t="str">
        <f t="shared" si="100"/>
        <v>OK</v>
      </c>
      <c r="E6468" s="4" t="s">
        <v>1986</v>
      </c>
    </row>
    <row r="6469" spans="1:5" x14ac:dyDescent="0.2">
      <c r="A6469" s="126">
        <v>6408</v>
      </c>
      <c r="B6469" s="1831"/>
      <c r="D6469" s="2" t="str">
        <f t="shared" si="100"/>
        <v>OK</v>
      </c>
      <c r="E6469" s="4" t="s">
        <v>1986</v>
      </c>
    </row>
    <row r="6470" spans="1:5" x14ac:dyDescent="0.2">
      <c r="A6470" s="126">
        <v>6409</v>
      </c>
      <c r="B6470" s="1831"/>
      <c r="D6470" s="2" t="str">
        <f t="shared" si="100"/>
        <v>OK</v>
      </c>
      <c r="E6470" s="4" t="s">
        <v>1986</v>
      </c>
    </row>
    <row r="6471" spans="1:5" x14ac:dyDescent="0.2">
      <c r="A6471" s="126">
        <v>6410</v>
      </c>
      <c r="B6471" s="1831"/>
      <c r="D6471" s="2" t="str">
        <f t="shared" si="100"/>
        <v>OK</v>
      </c>
      <c r="E6471" s="4" t="s">
        <v>1986</v>
      </c>
    </row>
    <row r="6472" spans="1:5" x14ac:dyDescent="0.2">
      <c r="A6472" s="126">
        <v>6411</v>
      </c>
      <c r="B6472" s="1831"/>
      <c r="D6472" s="2" t="str">
        <f t="shared" si="100"/>
        <v>OK</v>
      </c>
      <c r="E6472" s="4" t="s">
        <v>1986</v>
      </c>
    </row>
    <row r="6473" spans="1:5" x14ac:dyDescent="0.2">
      <c r="A6473" s="126">
        <v>6412</v>
      </c>
      <c r="B6473" s="1831"/>
      <c r="D6473" s="2" t="str">
        <f t="shared" si="100"/>
        <v>OK</v>
      </c>
      <c r="E6473" s="4" t="s">
        <v>1986</v>
      </c>
    </row>
    <row r="6474" spans="1:5" x14ac:dyDescent="0.2">
      <c r="A6474" s="126">
        <v>6413</v>
      </c>
      <c r="B6474" s="1831"/>
      <c r="D6474" s="2" t="str">
        <f t="shared" si="100"/>
        <v>OK</v>
      </c>
      <c r="E6474" s="4" t="s">
        <v>1986</v>
      </c>
    </row>
    <row r="6475" spans="1:5" x14ac:dyDescent="0.2">
      <c r="A6475" s="126">
        <v>6414</v>
      </c>
      <c r="B6475" s="1831"/>
      <c r="D6475" s="2" t="str">
        <f t="shared" si="100"/>
        <v>OK</v>
      </c>
      <c r="E6475" s="4" t="s">
        <v>1986</v>
      </c>
    </row>
    <row r="6476" spans="1:5" x14ac:dyDescent="0.2">
      <c r="A6476" s="126">
        <v>6415</v>
      </c>
      <c r="B6476" s="1831"/>
      <c r="D6476" s="2" t="str">
        <f t="shared" si="100"/>
        <v>OK</v>
      </c>
      <c r="E6476" s="4" t="s">
        <v>1986</v>
      </c>
    </row>
    <row r="6477" spans="1:5" x14ac:dyDescent="0.2">
      <c r="A6477" s="126">
        <v>6416</v>
      </c>
      <c r="B6477" s="1831"/>
      <c r="D6477" s="2" t="str">
        <f t="shared" si="100"/>
        <v>OK</v>
      </c>
      <c r="E6477" s="4" t="s">
        <v>1986</v>
      </c>
    </row>
    <row r="6478" spans="1:5" x14ac:dyDescent="0.2">
      <c r="A6478" s="126">
        <v>6417</v>
      </c>
      <c r="B6478" s="1831"/>
      <c r="D6478" s="2" t="str">
        <f t="shared" si="100"/>
        <v>OK</v>
      </c>
      <c r="E6478" s="4" t="s">
        <v>1986</v>
      </c>
    </row>
    <row r="6479" spans="1:5" x14ac:dyDescent="0.2">
      <c r="A6479" s="126">
        <v>6418</v>
      </c>
      <c r="B6479" s="1831"/>
      <c r="D6479" s="2" t="str">
        <f t="shared" si="100"/>
        <v>OK</v>
      </c>
      <c r="E6479" s="4" t="s">
        <v>1986</v>
      </c>
    </row>
    <row r="6480" spans="1:5" x14ac:dyDescent="0.2">
      <c r="A6480" s="126">
        <v>6419</v>
      </c>
      <c r="B6480" s="1831"/>
      <c r="D6480" s="2" t="str">
        <f t="shared" si="100"/>
        <v>OK</v>
      </c>
      <c r="E6480" s="4" t="s">
        <v>1986</v>
      </c>
    </row>
    <row r="6481" spans="1:5" x14ac:dyDescent="0.2">
      <c r="A6481" s="126">
        <v>6420</v>
      </c>
      <c r="B6481" s="1831"/>
      <c r="D6481" s="2" t="str">
        <f t="shared" si="100"/>
        <v>OK</v>
      </c>
      <c r="E6481" s="4" t="s">
        <v>1986</v>
      </c>
    </row>
    <row r="6482" spans="1:5" x14ac:dyDescent="0.2">
      <c r="A6482" s="126">
        <v>6421</v>
      </c>
      <c r="B6482" s="1831"/>
      <c r="D6482" s="2" t="str">
        <f t="shared" si="100"/>
        <v>OK</v>
      </c>
      <c r="E6482" s="4" t="s">
        <v>1986</v>
      </c>
    </row>
    <row r="6483" spans="1:5" x14ac:dyDescent="0.2">
      <c r="A6483" s="126">
        <v>6422</v>
      </c>
      <c r="B6483" s="1831"/>
      <c r="D6483" s="2" t="str">
        <f t="shared" si="100"/>
        <v>OK</v>
      </c>
      <c r="E6483" s="4" t="s">
        <v>1986</v>
      </c>
    </row>
    <row r="6484" spans="1:5" x14ac:dyDescent="0.2">
      <c r="A6484" s="126">
        <v>6423</v>
      </c>
      <c r="B6484" s="1831"/>
      <c r="D6484" s="2" t="str">
        <f t="shared" si="100"/>
        <v>OK</v>
      </c>
      <c r="E6484" s="4" t="s">
        <v>1986</v>
      </c>
    </row>
    <row r="6485" spans="1:5" x14ac:dyDescent="0.2">
      <c r="A6485" s="126">
        <v>6424</v>
      </c>
      <c r="B6485" s="1831"/>
      <c r="D6485" s="2" t="str">
        <f t="shared" si="100"/>
        <v>OK</v>
      </c>
      <c r="E6485" s="4" t="s">
        <v>1986</v>
      </c>
    </row>
    <row r="6486" spans="1:5" x14ac:dyDescent="0.2">
      <c r="A6486" s="126">
        <v>6425</v>
      </c>
      <c r="B6486" s="1831"/>
      <c r="D6486" s="2" t="str">
        <f t="shared" si="100"/>
        <v>OK</v>
      </c>
      <c r="E6486" s="4" t="s">
        <v>1986</v>
      </c>
    </row>
    <row r="6487" spans="1:5" x14ac:dyDescent="0.2">
      <c r="A6487" s="126">
        <v>6426</v>
      </c>
      <c r="B6487" s="1831"/>
      <c r="D6487" s="2" t="str">
        <f t="shared" si="100"/>
        <v>OK</v>
      </c>
      <c r="E6487" s="4" t="s">
        <v>1986</v>
      </c>
    </row>
    <row r="6488" spans="1:5" x14ac:dyDescent="0.2">
      <c r="A6488" s="126">
        <v>6427</v>
      </c>
      <c r="B6488" s="1831"/>
      <c r="D6488" s="2" t="str">
        <f t="shared" si="100"/>
        <v>OK</v>
      </c>
      <c r="E6488" s="4" t="s">
        <v>1986</v>
      </c>
    </row>
    <row r="6489" spans="1:5" x14ac:dyDescent="0.2">
      <c r="A6489" s="126">
        <v>6428</v>
      </c>
      <c r="B6489" s="1831"/>
      <c r="D6489" s="2" t="str">
        <f t="shared" si="100"/>
        <v>OK</v>
      </c>
      <c r="E6489" s="4" t="s">
        <v>1986</v>
      </c>
    </row>
    <row r="6490" spans="1:5" x14ac:dyDescent="0.2">
      <c r="A6490" s="126">
        <v>6429</v>
      </c>
      <c r="B6490" s="1831"/>
      <c r="D6490" s="2" t="str">
        <f t="shared" si="100"/>
        <v>OK</v>
      </c>
      <c r="E6490" s="4" t="s">
        <v>1986</v>
      </c>
    </row>
    <row r="6491" spans="1:5" x14ac:dyDescent="0.2">
      <c r="A6491" s="126">
        <v>6430</v>
      </c>
      <c r="B6491" s="1831"/>
      <c r="D6491" s="2" t="str">
        <f t="shared" si="100"/>
        <v>OK</v>
      </c>
      <c r="E6491" s="4" t="s">
        <v>1986</v>
      </c>
    </row>
    <row r="6492" spans="1:5" x14ac:dyDescent="0.2">
      <c r="A6492" s="126">
        <v>6431</v>
      </c>
      <c r="B6492" s="1831"/>
      <c r="D6492" s="2" t="str">
        <f t="shared" si="100"/>
        <v>OK</v>
      </c>
      <c r="E6492" s="4" t="s">
        <v>1986</v>
      </c>
    </row>
    <row r="6493" spans="1:5" x14ac:dyDescent="0.2">
      <c r="A6493" s="126">
        <v>6432</v>
      </c>
      <c r="B6493" s="1831"/>
      <c r="D6493" s="2" t="str">
        <f t="shared" si="100"/>
        <v>OK</v>
      </c>
      <c r="E6493" s="4" t="s">
        <v>1986</v>
      </c>
    </row>
    <row r="6494" spans="1:5" x14ac:dyDescent="0.2">
      <c r="A6494" s="126">
        <v>6433</v>
      </c>
      <c r="B6494" s="1831"/>
      <c r="D6494" s="2" t="str">
        <f t="shared" si="100"/>
        <v>OK</v>
      </c>
      <c r="E6494" s="4" t="s">
        <v>1986</v>
      </c>
    </row>
    <row r="6495" spans="1:5" x14ac:dyDescent="0.2">
      <c r="A6495" s="126">
        <v>6434</v>
      </c>
      <c r="B6495" s="1831"/>
      <c r="D6495" s="2" t="str">
        <f t="shared" si="100"/>
        <v>OK</v>
      </c>
      <c r="E6495" s="4" t="s">
        <v>1986</v>
      </c>
    </row>
    <row r="6496" spans="1:5" x14ac:dyDescent="0.2">
      <c r="A6496" s="126">
        <v>6435</v>
      </c>
      <c r="B6496" s="1831"/>
      <c r="D6496" s="2" t="str">
        <f t="shared" si="100"/>
        <v>OK</v>
      </c>
      <c r="E6496" s="4" t="s">
        <v>1986</v>
      </c>
    </row>
    <row r="6497" spans="1:5" x14ac:dyDescent="0.2">
      <c r="A6497" s="126">
        <v>6436</v>
      </c>
      <c r="B6497" s="1831"/>
      <c r="D6497" s="2" t="str">
        <f t="shared" si="100"/>
        <v>OK</v>
      </c>
      <c r="E6497" s="4" t="s">
        <v>1986</v>
      </c>
    </row>
    <row r="6498" spans="1:5" x14ac:dyDescent="0.2">
      <c r="A6498" s="126">
        <v>6437</v>
      </c>
      <c r="B6498" s="1831"/>
      <c r="D6498" s="2" t="str">
        <f t="shared" si="100"/>
        <v>OK</v>
      </c>
      <c r="E6498" s="4" t="s">
        <v>1986</v>
      </c>
    </row>
    <row r="6499" spans="1:5" x14ac:dyDescent="0.2">
      <c r="A6499" s="126">
        <v>6438</v>
      </c>
      <c r="B6499" s="1831"/>
      <c r="D6499" s="2" t="str">
        <f t="shared" si="100"/>
        <v>OK</v>
      </c>
      <c r="E6499" s="4" t="s">
        <v>1986</v>
      </c>
    </row>
    <row r="6500" spans="1:5" x14ac:dyDescent="0.2">
      <c r="A6500" s="126">
        <v>6439</v>
      </c>
      <c r="B6500" s="1831"/>
      <c r="D6500" s="2" t="str">
        <f t="shared" si="100"/>
        <v>OK</v>
      </c>
      <c r="E6500" s="4" t="s">
        <v>1986</v>
      </c>
    </row>
    <row r="6501" spans="1:5" x14ac:dyDescent="0.2">
      <c r="A6501" s="126">
        <v>6440</v>
      </c>
      <c r="B6501" s="1831"/>
      <c r="D6501" s="2" t="str">
        <f t="shared" si="100"/>
        <v>OK</v>
      </c>
      <c r="E6501" s="4" t="s">
        <v>1986</v>
      </c>
    </row>
    <row r="6502" spans="1:5" x14ac:dyDescent="0.2">
      <c r="A6502" s="126">
        <v>6441</v>
      </c>
      <c r="B6502" s="1831"/>
      <c r="D6502" s="2" t="str">
        <f t="shared" si="100"/>
        <v>OK</v>
      </c>
      <c r="E6502" s="4" t="s">
        <v>1986</v>
      </c>
    </row>
    <row r="6503" spans="1:5" x14ac:dyDescent="0.2">
      <c r="A6503" s="126">
        <v>6442</v>
      </c>
      <c r="B6503" s="1831"/>
      <c r="D6503" s="2" t="str">
        <f t="shared" si="100"/>
        <v>OK</v>
      </c>
      <c r="E6503" s="4" t="s">
        <v>1986</v>
      </c>
    </row>
    <row r="6504" spans="1:5" x14ac:dyDescent="0.2">
      <c r="A6504" s="126">
        <v>6443</v>
      </c>
      <c r="B6504" s="1831"/>
      <c r="D6504" s="2" t="str">
        <f t="shared" si="100"/>
        <v>OK</v>
      </c>
      <c r="E6504" s="4" t="s">
        <v>1986</v>
      </c>
    </row>
    <row r="6505" spans="1:5" x14ac:dyDescent="0.2">
      <c r="A6505" s="126">
        <v>6444</v>
      </c>
      <c r="B6505" s="1831"/>
      <c r="D6505" s="2" t="str">
        <f t="shared" si="100"/>
        <v>OK</v>
      </c>
      <c r="E6505" s="4" t="s">
        <v>1986</v>
      </c>
    </row>
    <row r="6506" spans="1:5" x14ac:dyDescent="0.2">
      <c r="A6506" s="126">
        <v>6445</v>
      </c>
      <c r="B6506" s="1831"/>
      <c r="D6506" s="2" t="str">
        <f t="shared" si="100"/>
        <v>OK</v>
      </c>
      <c r="E6506" s="4" t="s">
        <v>1986</v>
      </c>
    </row>
    <row r="6507" spans="1:5" x14ac:dyDescent="0.2">
      <c r="A6507" s="126">
        <v>6446</v>
      </c>
      <c r="B6507" s="1831"/>
      <c r="D6507" s="2" t="str">
        <f t="shared" si="100"/>
        <v>OK</v>
      </c>
      <c r="E6507" s="4" t="s">
        <v>1986</v>
      </c>
    </row>
    <row r="6508" spans="1:5" x14ac:dyDescent="0.2">
      <c r="A6508" s="126">
        <v>6447</v>
      </c>
      <c r="B6508" s="1831"/>
      <c r="D6508" s="2" t="str">
        <f t="shared" si="100"/>
        <v>OK</v>
      </c>
      <c r="E6508" s="4" t="s">
        <v>1986</v>
      </c>
    </row>
    <row r="6509" spans="1:5" x14ac:dyDescent="0.2">
      <c r="A6509" s="126">
        <v>6448</v>
      </c>
      <c r="B6509" s="1831"/>
      <c r="D6509" s="2" t="str">
        <f t="shared" si="100"/>
        <v>OK</v>
      </c>
      <c r="E6509" s="4" t="s">
        <v>1986</v>
      </c>
    </row>
    <row r="6510" spans="1:5" x14ac:dyDescent="0.2">
      <c r="A6510" s="126">
        <v>6449</v>
      </c>
      <c r="B6510" s="1831"/>
      <c r="D6510" s="2" t="str">
        <f t="shared" si="100"/>
        <v>OK</v>
      </c>
      <c r="E6510" s="4" t="s">
        <v>1986</v>
      </c>
    </row>
    <row r="6511" spans="1:5" x14ac:dyDescent="0.2">
      <c r="A6511" s="126">
        <v>6450</v>
      </c>
      <c r="B6511" s="1831"/>
      <c r="D6511" s="2" t="str">
        <f t="shared" si="100"/>
        <v>OK</v>
      </c>
      <c r="E6511" s="4" t="s">
        <v>1986</v>
      </c>
    </row>
    <row r="6512" spans="1:5" x14ac:dyDescent="0.2">
      <c r="A6512" s="126">
        <v>6451</v>
      </c>
      <c r="B6512" s="1831"/>
      <c r="D6512" s="2" t="str">
        <f t="shared" si="100"/>
        <v>OK</v>
      </c>
      <c r="E6512" s="4" t="s">
        <v>1986</v>
      </c>
    </row>
    <row r="6513" spans="1:5" x14ac:dyDescent="0.2">
      <c r="A6513" s="126">
        <v>6452</v>
      </c>
      <c r="B6513" s="1831"/>
      <c r="D6513" s="2" t="str">
        <f t="shared" si="100"/>
        <v>OK</v>
      </c>
      <c r="E6513" s="4" t="s">
        <v>1986</v>
      </c>
    </row>
    <row r="6514" spans="1:5" x14ac:dyDescent="0.2">
      <c r="A6514" s="126">
        <v>6453</v>
      </c>
      <c r="B6514" s="1831"/>
      <c r="D6514" s="2" t="str">
        <f t="shared" si="100"/>
        <v>OK</v>
      </c>
      <c r="E6514" s="4" t="s">
        <v>1986</v>
      </c>
    </row>
    <row r="6515" spans="1:5" x14ac:dyDescent="0.2">
      <c r="A6515" s="126">
        <v>6454</v>
      </c>
      <c r="B6515" s="1831"/>
      <c r="D6515" s="2" t="str">
        <f t="shared" si="100"/>
        <v>OK</v>
      </c>
      <c r="E6515" s="4" t="s">
        <v>1986</v>
      </c>
    </row>
    <row r="6516" spans="1:5" x14ac:dyDescent="0.2">
      <c r="A6516" s="126">
        <v>6455</v>
      </c>
      <c r="B6516" s="1831"/>
      <c r="D6516" s="2" t="str">
        <f t="shared" si="100"/>
        <v>OK</v>
      </c>
      <c r="E6516" s="4" t="s">
        <v>1986</v>
      </c>
    </row>
    <row r="6517" spans="1:5" x14ac:dyDescent="0.2">
      <c r="A6517" s="126">
        <v>6456</v>
      </c>
      <c r="B6517" s="1831"/>
      <c r="D6517" s="2" t="str">
        <f t="shared" si="100"/>
        <v>OK</v>
      </c>
      <c r="E6517" s="4" t="s">
        <v>1986</v>
      </c>
    </row>
    <row r="6518" spans="1:5" x14ac:dyDescent="0.2">
      <c r="A6518" s="126">
        <v>6457</v>
      </c>
      <c r="B6518" s="1831"/>
      <c r="D6518" s="2" t="str">
        <f t="shared" si="100"/>
        <v>OK</v>
      </c>
      <c r="E6518" s="4" t="s">
        <v>1986</v>
      </c>
    </row>
    <row r="6519" spans="1:5" x14ac:dyDescent="0.2">
      <c r="A6519" s="126">
        <v>6458</v>
      </c>
      <c r="B6519" s="1831"/>
      <c r="D6519" s="2" t="str">
        <f t="shared" si="100"/>
        <v>OK</v>
      </c>
      <c r="E6519" s="4" t="s">
        <v>1986</v>
      </c>
    </row>
    <row r="6520" spans="1:5" x14ac:dyDescent="0.2">
      <c r="A6520" s="126">
        <v>6459</v>
      </c>
      <c r="B6520" s="1831"/>
      <c r="D6520" s="2" t="str">
        <f t="shared" si="100"/>
        <v>OK</v>
      </c>
      <c r="E6520" s="4" t="s">
        <v>1986</v>
      </c>
    </row>
    <row r="6521" spans="1:5" x14ac:dyDescent="0.2">
      <c r="A6521" s="126">
        <v>6460</v>
      </c>
      <c r="B6521" s="1831"/>
      <c r="D6521" s="2" t="str">
        <f t="shared" si="100"/>
        <v>OK</v>
      </c>
      <c r="E6521" s="4" t="s">
        <v>1986</v>
      </c>
    </row>
    <row r="6522" spans="1:5" x14ac:dyDescent="0.2">
      <c r="A6522" s="126">
        <v>6461</v>
      </c>
      <c r="B6522" s="1831"/>
      <c r="D6522" s="2" t="str">
        <f t="shared" si="100"/>
        <v>OK</v>
      </c>
      <c r="E6522" s="4" t="s">
        <v>1986</v>
      </c>
    </row>
    <row r="6523" spans="1:5" x14ac:dyDescent="0.2">
      <c r="A6523" s="126">
        <v>6462</v>
      </c>
      <c r="B6523" s="1831"/>
      <c r="D6523" s="2" t="str">
        <f t="shared" si="100"/>
        <v>OK</v>
      </c>
      <c r="E6523" s="4" t="s">
        <v>1986</v>
      </c>
    </row>
    <row r="6524" spans="1:5" x14ac:dyDescent="0.2">
      <c r="A6524" s="126">
        <v>6463</v>
      </c>
      <c r="B6524" s="1831"/>
      <c r="D6524" s="2" t="str">
        <f t="shared" si="100"/>
        <v>OK</v>
      </c>
      <c r="E6524" s="4" t="s">
        <v>1986</v>
      </c>
    </row>
    <row r="6525" spans="1:5" x14ac:dyDescent="0.2">
      <c r="A6525" s="126">
        <v>6464</v>
      </c>
      <c r="B6525" s="1831"/>
      <c r="D6525" s="2" t="str">
        <f t="shared" si="100"/>
        <v>OK</v>
      </c>
      <c r="E6525" s="4" t="s">
        <v>1986</v>
      </c>
    </row>
    <row r="6526" spans="1:5" x14ac:dyDescent="0.2">
      <c r="A6526" s="126">
        <v>6465</v>
      </c>
      <c r="B6526" s="1831"/>
      <c r="D6526" s="2" t="str">
        <f t="shared" si="100"/>
        <v>OK</v>
      </c>
      <c r="E6526" s="4" t="s">
        <v>1986</v>
      </c>
    </row>
    <row r="6527" spans="1:5" x14ac:dyDescent="0.2">
      <c r="A6527" s="126">
        <v>6466</v>
      </c>
      <c r="B6527" s="1831"/>
      <c r="D6527" s="2" t="str">
        <f t="shared" ref="D6527:D6590" si="101">IF(ISBLANK(B6527),"OK",IF(A6527-B6527=0,"OK","Error?"))</f>
        <v>OK</v>
      </c>
      <c r="E6527" s="4" t="s">
        <v>1986</v>
      </c>
    </row>
    <row r="6528" spans="1:5" x14ac:dyDescent="0.2">
      <c r="A6528" s="126">
        <v>6467</v>
      </c>
      <c r="B6528" s="1831"/>
      <c r="D6528" s="2" t="str">
        <f t="shared" si="101"/>
        <v>OK</v>
      </c>
      <c r="E6528" s="4" t="s">
        <v>1986</v>
      </c>
    </row>
    <row r="6529" spans="1:5" x14ac:dyDescent="0.2">
      <c r="A6529" s="126">
        <v>6468</v>
      </c>
      <c r="B6529" s="1831"/>
      <c r="D6529" s="2" t="str">
        <f t="shared" si="101"/>
        <v>OK</v>
      </c>
      <c r="E6529" s="4" t="s">
        <v>1986</v>
      </c>
    </row>
    <row r="6530" spans="1:5" x14ac:dyDescent="0.2">
      <c r="A6530" s="126">
        <v>6469</v>
      </c>
      <c r="B6530" s="1831"/>
      <c r="D6530" s="2" t="str">
        <f t="shared" si="101"/>
        <v>OK</v>
      </c>
      <c r="E6530" s="4" t="s">
        <v>1986</v>
      </c>
    </row>
    <row r="6531" spans="1:5" x14ac:dyDescent="0.2">
      <c r="A6531" s="126">
        <v>6470</v>
      </c>
      <c r="B6531" s="1831"/>
      <c r="D6531" s="2" t="str">
        <f t="shared" si="101"/>
        <v>OK</v>
      </c>
      <c r="E6531" s="4" t="s">
        <v>1986</v>
      </c>
    </row>
    <row r="6532" spans="1:5" x14ac:dyDescent="0.2">
      <c r="A6532" s="126">
        <v>6471</v>
      </c>
      <c r="B6532" s="1831"/>
      <c r="D6532" s="2" t="str">
        <f t="shared" si="101"/>
        <v>OK</v>
      </c>
      <c r="E6532" s="4" t="s">
        <v>1986</v>
      </c>
    </row>
    <row r="6533" spans="1:5" x14ac:dyDescent="0.2">
      <c r="A6533" s="126">
        <v>6472</v>
      </c>
      <c r="B6533" s="1831"/>
      <c r="D6533" s="2" t="str">
        <f t="shared" si="101"/>
        <v>OK</v>
      </c>
      <c r="E6533" s="4" t="s">
        <v>1986</v>
      </c>
    </row>
    <row r="6534" spans="1:5" x14ac:dyDescent="0.2">
      <c r="A6534" s="126">
        <v>6473</v>
      </c>
      <c r="B6534" s="1831"/>
      <c r="D6534" s="2" t="str">
        <f t="shared" si="101"/>
        <v>OK</v>
      </c>
      <c r="E6534" s="4" t="s">
        <v>1986</v>
      </c>
    </row>
    <row r="6535" spans="1:5" x14ac:dyDescent="0.2">
      <c r="A6535" s="126">
        <v>6474</v>
      </c>
      <c r="B6535" s="1831"/>
      <c r="D6535" s="2" t="str">
        <f t="shared" si="101"/>
        <v>OK</v>
      </c>
      <c r="E6535" s="4" t="s">
        <v>1986</v>
      </c>
    </row>
    <row r="6536" spans="1:5" x14ac:dyDescent="0.2">
      <c r="A6536" s="126">
        <v>6475</v>
      </c>
      <c r="B6536" s="1831"/>
      <c r="D6536" s="2" t="str">
        <f t="shared" si="101"/>
        <v>OK</v>
      </c>
      <c r="E6536" s="4" t="s">
        <v>1986</v>
      </c>
    </row>
    <row r="6537" spans="1:5" x14ac:dyDescent="0.2">
      <c r="A6537" s="126">
        <v>6476</v>
      </c>
      <c r="B6537" s="1831"/>
      <c r="D6537" s="2" t="str">
        <f t="shared" si="101"/>
        <v>OK</v>
      </c>
      <c r="E6537" s="4" t="s">
        <v>1986</v>
      </c>
    </row>
    <row r="6538" spans="1:5" x14ac:dyDescent="0.2">
      <c r="A6538" s="126">
        <v>6477</v>
      </c>
      <c r="B6538" s="1831"/>
      <c r="D6538" s="2" t="str">
        <f t="shared" si="101"/>
        <v>OK</v>
      </c>
      <c r="E6538" s="4" t="s">
        <v>1986</v>
      </c>
    </row>
    <row r="6539" spans="1:5" x14ac:dyDescent="0.2">
      <c r="A6539" s="126">
        <v>6478</v>
      </c>
      <c r="B6539" s="1831"/>
      <c r="D6539" s="2" t="str">
        <f t="shared" si="101"/>
        <v>OK</v>
      </c>
      <c r="E6539" s="4" t="s">
        <v>1986</v>
      </c>
    </row>
    <row r="6540" spans="1:5" x14ac:dyDescent="0.2">
      <c r="A6540" s="126">
        <v>6479</v>
      </c>
      <c r="B6540" s="1831"/>
      <c r="D6540" s="2" t="str">
        <f t="shared" si="101"/>
        <v>OK</v>
      </c>
      <c r="E6540" s="4" t="s">
        <v>1986</v>
      </c>
    </row>
    <row r="6541" spans="1:5" x14ac:dyDescent="0.2">
      <c r="A6541" s="126">
        <v>6480</v>
      </c>
      <c r="B6541" s="1831"/>
      <c r="D6541" s="2" t="str">
        <f t="shared" si="101"/>
        <v>OK</v>
      </c>
      <c r="E6541" s="4" t="s">
        <v>1986</v>
      </c>
    </row>
    <row r="6542" spans="1:5" x14ac:dyDescent="0.2">
      <c r="A6542" s="126">
        <v>6481</v>
      </c>
      <c r="B6542" s="1831"/>
      <c r="D6542" s="2" t="str">
        <f t="shared" si="101"/>
        <v>OK</v>
      </c>
      <c r="E6542" s="4" t="s">
        <v>1986</v>
      </c>
    </row>
    <row r="6543" spans="1:5" x14ac:dyDescent="0.2">
      <c r="A6543" s="126">
        <v>6482</v>
      </c>
      <c r="B6543" s="1831"/>
      <c r="D6543" s="2" t="str">
        <f t="shared" si="101"/>
        <v>OK</v>
      </c>
      <c r="E6543" s="4" t="s">
        <v>1986</v>
      </c>
    </row>
    <row r="6544" spans="1:5" x14ac:dyDescent="0.2">
      <c r="A6544" s="126">
        <v>6483</v>
      </c>
      <c r="B6544" s="1831"/>
      <c r="D6544" s="2" t="str">
        <f t="shared" si="101"/>
        <v>OK</v>
      </c>
      <c r="E6544" s="4" t="s">
        <v>1986</v>
      </c>
    </row>
    <row r="6545" spans="1:5" x14ac:dyDescent="0.2">
      <c r="A6545" s="126">
        <v>6484</v>
      </c>
      <c r="B6545" s="1831"/>
      <c r="D6545" s="2" t="str">
        <f t="shared" si="101"/>
        <v>OK</v>
      </c>
      <c r="E6545" s="4" t="s">
        <v>1986</v>
      </c>
    </row>
    <row r="6546" spans="1:5" x14ac:dyDescent="0.2">
      <c r="A6546" s="126">
        <v>6485</v>
      </c>
      <c r="B6546" s="1831"/>
      <c r="D6546" s="2" t="str">
        <f t="shared" si="101"/>
        <v>OK</v>
      </c>
      <c r="E6546" s="4" t="s">
        <v>1986</v>
      </c>
    </row>
    <row r="6547" spans="1:5" x14ac:dyDescent="0.2">
      <c r="A6547" s="126">
        <v>6486</v>
      </c>
      <c r="B6547" s="1831"/>
      <c r="D6547" s="2" t="str">
        <f t="shared" si="101"/>
        <v>OK</v>
      </c>
      <c r="E6547" s="4" t="s">
        <v>1986</v>
      </c>
    </row>
    <row r="6548" spans="1:5" x14ac:dyDescent="0.2">
      <c r="A6548" s="126">
        <v>6487</v>
      </c>
      <c r="B6548" s="1831"/>
      <c r="D6548" s="2" t="str">
        <f t="shared" si="101"/>
        <v>OK</v>
      </c>
      <c r="E6548" s="4" t="s">
        <v>1986</v>
      </c>
    </row>
    <row r="6549" spans="1:5" x14ac:dyDescent="0.2">
      <c r="A6549" s="126">
        <v>6488</v>
      </c>
      <c r="B6549" s="1831"/>
      <c r="D6549" s="2" t="str">
        <f t="shared" si="101"/>
        <v>OK</v>
      </c>
      <c r="E6549" s="4" t="s">
        <v>1986</v>
      </c>
    </row>
    <row r="6550" spans="1:5" x14ac:dyDescent="0.2">
      <c r="A6550" s="126">
        <v>6489</v>
      </c>
      <c r="B6550" s="1831"/>
      <c r="D6550" s="2" t="str">
        <f t="shared" si="101"/>
        <v>OK</v>
      </c>
      <c r="E6550" s="4" t="s">
        <v>1986</v>
      </c>
    </row>
    <row r="6551" spans="1:5" x14ac:dyDescent="0.2">
      <c r="A6551" s="126">
        <v>6490</v>
      </c>
      <c r="B6551" s="1831"/>
      <c r="D6551" s="2" t="str">
        <f t="shared" si="101"/>
        <v>OK</v>
      </c>
      <c r="E6551" s="4" t="s">
        <v>1986</v>
      </c>
    </row>
    <row r="6552" spans="1:5" x14ac:dyDescent="0.2">
      <c r="A6552" s="126">
        <v>6491</v>
      </c>
      <c r="B6552" s="1831"/>
      <c r="D6552" s="2" t="str">
        <f t="shared" si="101"/>
        <v>OK</v>
      </c>
      <c r="E6552" s="4" t="s">
        <v>1986</v>
      </c>
    </row>
    <row r="6553" spans="1:5" x14ac:dyDescent="0.2">
      <c r="A6553" s="126">
        <v>6492</v>
      </c>
      <c r="B6553" s="1831"/>
      <c r="D6553" s="2" t="str">
        <f t="shared" si="101"/>
        <v>OK</v>
      </c>
      <c r="E6553" s="4" t="s">
        <v>1986</v>
      </c>
    </row>
    <row r="6554" spans="1:5" x14ac:dyDescent="0.2">
      <c r="A6554" s="126">
        <v>6493</v>
      </c>
      <c r="B6554" s="1831"/>
      <c r="D6554" s="2" t="str">
        <f t="shared" si="101"/>
        <v>OK</v>
      </c>
      <c r="E6554" s="4" t="s">
        <v>1986</v>
      </c>
    </row>
    <row r="6555" spans="1:5" x14ac:dyDescent="0.2">
      <c r="A6555" s="126">
        <v>6494</v>
      </c>
      <c r="B6555" s="1831"/>
      <c r="D6555" s="2" t="str">
        <f t="shared" si="101"/>
        <v>OK</v>
      </c>
      <c r="E6555" s="4" t="s">
        <v>1986</v>
      </c>
    </row>
    <row r="6556" spans="1:5" x14ac:dyDescent="0.2">
      <c r="A6556" s="126">
        <v>6495</v>
      </c>
      <c r="B6556" s="1831"/>
      <c r="D6556" s="2" t="str">
        <f t="shared" si="101"/>
        <v>OK</v>
      </c>
      <c r="E6556" s="4" t="s">
        <v>1986</v>
      </c>
    </row>
    <row r="6557" spans="1:5" x14ac:dyDescent="0.2">
      <c r="A6557" s="126">
        <v>6496</v>
      </c>
      <c r="B6557" s="1831"/>
      <c r="D6557" s="2" t="str">
        <f t="shared" si="101"/>
        <v>OK</v>
      </c>
      <c r="E6557" s="4" t="s">
        <v>1986</v>
      </c>
    </row>
    <row r="6558" spans="1:5" x14ac:dyDescent="0.2">
      <c r="A6558" s="126">
        <v>6497</v>
      </c>
      <c r="B6558" s="1831"/>
      <c r="D6558" s="2" t="str">
        <f t="shared" si="101"/>
        <v>OK</v>
      </c>
      <c r="E6558" s="4" t="s">
        <v>1986</v>
      </c>
    </row>
    <row r="6559" spans="1:5" x14ac:dyDescent="0.2">
      <c r="A6559" s="126">
        <v>6498</v>
      </c>
      <c r="B6559" s="1831"/>
      <c r="D6559" s="2" t="str">
        <f t="shared" si="101"/>
        <v>OK</v>
      </c>
      <c r="E6559" s="4" t="s">
        <v>1986</v>
      </c>
    </row>
    <row r="6560" spans="1:5" x14ac:dyDescent="0.2">
      <c r="A6560" s="126">
        <v>6499</v>
      </c>
      <c r="B6560" s="1831"/>
      <c r="D6560" s="2" t="str">
        <f t="shared" si="101"/>
        <v>OK</v>
      </c>
      <c r="E6560" s="4" t="s">
        <v>1986</v>
      </c>
    </row>
    <row r="6561" spans="1:5" x14ac:dyDescent="0.2">
      <c r="A6561" s="126">
        <v>6500</v>
      </c>
      <c r="B6561" s="1831"/>
      <c r="D6561" s="2" t="str">
        <f t="shared" si="101"/>
        <v>OK</v>
      </c>
      <c r="E6561" s="4" t="s">
        <v>1986</v>
      </c>
    </row>
    <row r="6562" spans="1:5" x14ac:dyDescent="0.2">
      <c r="A6562" s="126">
        <v>6501</v>
      </c>
      <c r="B6562" s="1831"/>
      <c r="D6562" s="2" t="str">
        <f t="shared" si="101"/>
        <v>OK</v>
      </c>
      <c r="E6562" s="4" t="s">
        <v>1986</v>
      </c>
    </row>
    <row r="6563" spans="1:5" x14ac:dyDescent="0.2">
      <c r="A6563" s="126">
        <v>6502</v>
      </c>
      <c r="B6563" s="1831"/>
      <c r="D6563" s="2" t="str">
        <f t="shared" si="101"/>
        <v>OK</v>
      </c>
      <c r="E6563" s="4" t="s">
        <v>1986</v>
      </c>
    </row>
    <row r="6564" spans="1:5" x14ac:dyDescent="0.2">
      <c r="A6564" s="126">
        <v>6503</v>
      </c>
      <c r="B6564" s="1831"/>
      <c r="D6564" s="2" t="str">
        <f t="shared" si="101"/>
        <v>OK</v>
      </c>
      <c r="E6564" s="4" t="s">
        <v>1986</v>
      </c>
    </row>
    <row r="6565" spans="1:5" x14ac:dyDescent="0.2">
      <c r="A6565" s="126">
        <v>6504</v>
      </c>
      <c r="B6565" s="1831"/>
      <c r="D6565" s="2" t="str">
        <f t="shared" si="101"/>
        <v>OK</v>
      </c>
      <c r="E6565" s="4" t="s">
        <v>1986</v>
      </c>
    </row>
    <row r="6566" spans="1:5" x14ac:dyDescent="0.2">
      <c r="A6566" s="126">
        <v>6505</v>
      </c>
      <c r="B6566" s="1831"/>
      <c r="D6566" s="2" t="str">
        <f t="shared" si="101"/>
        <v>OK</v>
      </c>
      <c r="E6566" s="4" t="s">
        <v>1986</v>
      </c>
    </row>
    <row r="6567" spans="1:5" x14ac:dyDescent="0.2">
      <c r="A6567" s="126">
        <v>6506</v>
      </c>
      <c r="B6567" s="1831"/>
      <c r="D6567" s="2" t="str">
        <f t="shared" si="101"/>
        <v>OK</v>
      </c>
      <c r="E6567" s="4" t="s">
        <v>1986</v>
      </c>
    </row>
    <row r="6568" spans="1:5" x14ac:dyDescent="0.2">
      <c r="A6568" s="126">
        <v>6507</v>
      </c>
      <c r="B6568" s="1831"/>
      <c r="D6568" s="2" t="str">
        <f t="shared" si="101"/>
        <v>OK</v>
      </c>
      <c r="E6568" s="4" t="s">
        <v>1986</v>
      </c>
    </row>
    <row r="6569" spans="1:5" x14ac:dyDescent="0.2">
      <c r="A6569" s="126">
        <v>6508</v>
      </c>
      <c r="B6569" s="1831"/>
      <c r="D6569" s="2" t="str">
        <f t="shared" si="101"/>
        <v>OK</v>
      </c>
      <c r="E6569" s="4" t="s">
        <v>1986</v>
      </c>
    </row>
    <row r="6570" spans="1:5" x14ac:dyDescent="0.2">
      <c r="A6570" s="126">
        <v>6509</v>
      </c>
      <c r="B6570" s="1831"/>
      <c r="D6570" s="2" t="str">
        <f t="shared" si="101"/>
        <v>OK</v>
      </c>
      <c r="E6570" s="4" t="s">
        <v>1986</v>
      </c>
    </row>
    <row r="6571" spans="1:5" x14ac:dyDescent="0.2">
      <c r="A6571" s="126">
        <v>6510</v>
      </c>
      <c r="B6571" s="1831"/>
      <c r="D6571" s="2" t="str">
        <f t="shared" si="101"/>
        <v>OK</v>
      </c>
      <c r="E6571" s="4" t="s">
        <v>1986</v>
      </c>
    </row>
    <row r="6572" spans="1:5" x14ac:dyDescent="0.2">
      <c r="A6572" s="126">
        <v>6511</v>
      </c>
      <c r="B6572" s="1831"/>
      <c r="D6572" s="2" t="str">
        <f t="shared" si="101"/>
        <v>OK</v>
      </c>
      <c r="E6572" s="4" t="s">
        <v>1986</v>
      </c>
    </row>
    <row r="6573" spans="1:5" x14ac:dyDescent="0.2">
      <c r="A6573" s="126">
        <v>6512</v>
      </c>
      <c r="B6573" s="1831"/>
      <c r="D6573" s="2" t="str">
        <f t="shared" si="101"/>
        <v>OK</v>
      </c>
      <c r="E6573" s="4" t="s">
        <v>1986</v>
      </c>
    </row>
    <row r="6574" spans="1:5" x14ac:dyDescent="0.2">
      <c r="A6574" s="126">
        <v>6513</v>
      </c>
      <c r="B6574" s="1831"/>
      <c r="D6574" s="2" t="str">
        <f t="shared" si="101"/>
        <v>OK</v>
      </c>
      <c r="E6574" s="4" t="s">
        <v>1986</v>
      </c>
    </row>
    <row r="6575" spans="1:5" x14ac:dyDescent="0.2">
      <c r="A6575" s="126">
        <v>6514</v>
      </c>
      <c r="B6575" s="1831"/>
      <c r="D6575" s="2" t="str">
        <f t="shared" si="101"/>
        <v>OK</v>
      </c>
      <c r="E6575" s="4" t="s">
        <v>1986</v>
      </c>
    </row>
    <row r="6576" spans="1:5" x14ac:dyDescent="0.2">
      <c r="A6576" s="126">
        <v>6515</v>
      </c>
      <c r="B6576" s="1831"/>
      <c r="D6576" s="2" t="str">
        <f t="shared" si="101"/>
        <v>OK</v>
      </c>
      <c r="E6576" s="4" t="s">
        <v>1986</v>
      </c>
    </row>
    <row r="6577" spans="1:5" x14ac:dyDescent="0.2">
      <c r="A6577" s="126">
        <v>6516</v>
      </c>
      <c r="B6577" s="1831"/>
      <c r="D6577" s="2" t="str">
        <f t="shared" si="101"/>
        <v>OK</v>
      </c>
      <c r="E6577" s="4" t="s">
        <v>1986</v>
      </c>
    </row>
    <row r="6578" spans="1:5" x14ac:dyDescent="0.2">
      <c r="A6578" s="126">
        <v>6517</v>
      </c>
      <c r="B6578" s="1831"/>
      <c r="D6578" s="2" t="str">
        <f t="shared" si="101"/>
        <v>OK</v>
      </c>
      <c r="E6578" s="4" t="s">
        <v>1986</v>
      </c>
    </row>
    <row r="6579" spans="1:5" x14ac:dyDescent="0.2">
      <c r="A6579" s="126">
        <v>6518</v>
      </c>
      <c r="B6579" s="1831"/>
      <c r="D6579" s="2" t="str">
        <f t="shared" si="101"/>
        <v>OK</v>
      </c>
      <c r="E6579" s="4" t="s">
        <v>1986</v>
      </c>
    </row>
    <row r="6580" spans="1:5" x14ac:dyDescent="0.2">
      <c r="A6580" s="126">
        <v>6519</v>
      </c>
      <c r="B6580" s="1831"/>
      <c r="D6580" s="2" t="str">
        <f t="shared" si="101"/>
        <v>OK</v>
      </c>
      <c r="E6580" s="4" t="s">
        <v>1986</v>
      </c>
    </row>
    <row r="6581" spans="1:5" x14ac:dyDescent="0.2">
      <c r="A6581" s="126">
        <v>6520</v>
      </c>
      <c r="B6581" s="1831"/>
      <c r="D6581" s="2" t="str">
        <f t="shared" si="101"/>
        <v>OK</v>
      </c>
      <c r="E6581" s="4" t="s">
        <v>1986</v>
      </c>
    </row>
    <row r="6582" spans="1:5" x14ac:dyDescent="0.2">
      <c r="A6582" s="126">
        <v>6521</v>
      </c>
      <c r="B6582" s="1831"/>
      <c r="D6582" s="2" t="str">
        <f t="shared" si="101"/>
        <v>OK</v>
      </c>
      <c r="E6582" s="4" t="s">
        <v>1986</v>
      </c>
    </row>
    <row r="6583" spans="1:5" x14ac:dyDescent="0.2">
      <c r="A6583" s="126">
        <v>6522</v>
      </c>
      <c r="B6583" s="1831"/>
      <c r="D6583" s="2" t="str">
        <f t="shared" si="101"/>
        <v>OK</v>
      </c>
      <c r="E6583" s="4" t="s">
        <v>1986</v>
      </c>
    </row>
    <row r="6584" spans="1:5" x14ac:dyDescent="0.2">
      <c r="A6584" s="126">
        <v>6523</v>
      </c>
      <c r="B6584" s="1831"/>
      <c r="D6584" s="2" t="str">
        <f t="shared" si="101"/>
        <v>OK</v>
      </c>
      <c r="E6584" s="4" t="s">
        <v>1986</v>
      </c>
    </row>
    <row r="6585" spans="1:5" x14ac:dyDescent="0.2">
      <c r="A6585" s="126">
        <v>6524</v>
      </c>
      <c r="B6585" s="1831"/>
      <c r="D6585" s="2" t="str">
        <f t="shared" si="101"/>
        <v>OK</v>
      </c>
      <c r="E6585" s="4" t="s">
        <v>1986</v>
      </c>
    </row>
    <row r="6586" spans="1:5" x14ac:dyDescent="0.2">
      <c r="A6586" s="126">
        <v>6525</v>
      </c>
      <c r="B6586" s="1831"/>
      <c r="D6586" s="2" t="str">
        <f t="shared" si="101"/>
        <v>OK</v>
      </c>
      <c r="E6586" s="4" t="s">
        <v>1986</v>
      </c>
    </row>
    <row r="6587" spans="1:5" x14ac:dyDescent="0.2">
      <c r="A6587" s="126">
        <v>6526</v>
      </c>
      <c r="B6587" s="1831"/>
      <c r="D6587" s="2" t="str">
        <f t="shared" si="101"/>
        <v>OK</v>
      </c>
      <c r="E6587" s="4" t="s">
        <v>1986</v>
      </c>
    </row>
    <row r="6588" spans="1:5" x14ac:dyDescent="0.2">
      <c r="A6588" s="126">
        <v>6527</v>
      </c>
      <c r="B6588" s="1831"/>
      <c r="D6588" s="2" t="str">
        <f t="shared" si="101"/>
        <v>OK</v>
      </c>
      <c r="E6588" s="4" t="s">
        <v>1986</v>
      </c>
    </row>
    <row r="6589" spans="1:5" x14ac:dyDescent="0.2">
      <c r="A6589" s="126">
        <v>6528</v>
      </c>
      <c r="B6589" s="1831"/>
      <c r="D6589" s="2" t="str">
        <f t="shared" si="101"/>
        <v>OK</v>
      </c>
      <c r="E6589" s="4" t="s">
        <v>1986</v>
      </c>
    </row>
    <row r="6590" spans="1:5" x14ac:dyDescent="0.2">
      <c r="A6590" s="126">
        <v>6529</v>
      </c>
      <c r="B6590" s="1831"/>
      <c r="D6590" s="2" t="str">
        <f t="shared" si="101"/>
        <v>OK</v>
      </c>
      <c r="E6590" s="4" t="s">
        <v>1986</v>
      </c>
    </row>
    <row r="6591" spans="1:5" x14ac:dyDescent="0.2">
      <c r="A6591" s="126">
        <v>6530</v>
      </c>
      <c r="B6591" s="1831"/>
      <c r="D6591" s="2" t="str">
        <f t="shared" ref="D6591:D6654" si="102">IF(ISBLANK(B6591),"OK",IF(A6591-B6591=0,"OK","Error?"))</f>
        <v>OK</v>
      </c>
      <c r="E6591" s="4" t="s">
        <v>1986</v>
      </c>
    </row>
    <row r="6592" spans="1:5" x14ac:dyDescent="0.2">
      <c r="A6592" s="126">
        <v>6531</v>
      </c>
      <c r="B6592" s="1831"/>
      <c r="D6592" s="2" t="str">
        <f t="shared" si="102"/>
        <v>OK</v>
      </c>
      <c r="E6592" s="4" t="s">
        <v>1986</v>
      </c>
    </row>
    <row r="6593" spans="1:5" x14ac:dyDescent="0.2">
      <c r="A6593" s="126">
        <v>6532</v>
      </c>
      <c r="B6593" s="1831"/>
      <c r="D6593" s="2" t="str">
        <f t="shared" si="102"/>
        <v>OK</v>
      </c>
      <c r="E6593" s="4" t="s">
        <v>1986</v>
      </c>
    </row>
    <row r="6594" spans="1:5" x14ac:dyDescent="0.2">
      <c r="A6594" s="126">
        <v>6533</v>
      </c>
      <c r="B6594" s="1831"/>
      <c r="D6594" s="2" t="str">
        <f t="shared" si="102"/>
        <v>OK</v>
      </c>
      <c r="E6594" s="4" t="s">
        <v>1986</v>
      </c>
    </row>
    <row r="6595" spans="1:5" x14ac:dyDescent="0.2">
      <c r="A6595" s="126">
        <v>6534</v>
      </c>
      <c r="B6595" s="1831"/>
      <c r="D6595" s="2" t="str">
        <f t="shared" si="102"/>
        <v>OK</v>
      </c>
      <c r="E6595" s="4" t="s">
        <v>1986</v>
      </c>
    </row>
    <row r="6596" spans="1:5" x14ac:dyDescent="0.2">
      <c r="A6596" s="126">
        <v>6535</v>
      </c>
      <c r="B6596" s="1831"/>
      <c r="D6596" s="2" t="str">
        <f t="shared" si="102"/>
        <v>OK</v>
      </c>
      <c r="E6596" s="4" t="s">
        <v>1986</v>
      </c>
    </row>
    <row r="6597" spans="1:5" x14ac:dyDescent="0.2">
      <c r="A6597" s="126">
        <v>6536</v>
      </c>
      <c r="B6597" s="1831"/>
      <c r="D6597" s="2" t="str">
        <f t="shared" si="102"/>
        <v>OK</v>
      </c>
      <c r="E6597" s="4" t="s">
        <v>1986</v>
      </c>
    </row>
    <row r="6598" spans="1:5" x14ac:dyDescent="0.2">
      <c r="A6598" s="126">
        <v>6537</v>
      </c>
      <c r="B6598" s="1831"/>
      <c r="D6598" s="2" t="str">
        <f t="shared" si="102"/>
        <v>OK</v>
      </c>
      <c r="E6598" s="4" t="s">
        <v>1986</v>
      </c>
    </row>
    <row r="6599" spans="1:5" x14ac:dyDescent="0.2">
      <c r="A6599" s="126">
        <v>6538</v>
      </c>
      <c r="B6599" s="1831"/>
      <c r="D6599" s="2" t="str">
        <f t="shared" si="102"/>
        <v>OK</v>
      </c>
      <c r="E6599" s="4" t="s">
        <v>1986</v>
      </c>
    </row>
    <row r="6600" spans="1:5" x14ac:dyDescent="0.2">
      <c r="A6600" s="126">
        <v>6539</v>
      </c>
      <c r="B6600" s="1831"/>
      <c r="D6600" s="2" t="str">
        <f t="shared" si="102"/>
        <v>OK</v>
      </c>
      <c r="E6600" s="4" t="s">
        <v>1986</v>
      </c>
    </row>
    <row r="6601" spans="1:5" x14ac:dyDescent="0.2">
      <c r="A6601" s="126">
        <v>6540</v>
      </c>
      <c r="B6601" s="1831"/>
      <c r="D6601" s="2" t="str">
        <f t="shared" si="102"/>
        <v>OK</v>
      </c>
      <c r="E6601" s="4" t="s">
        <v>1986</v>
      </c>
    </row>
    <row r="6602" spans="1:5" x14ac:dyDescent="0.2">
      <c r="A6602" s="126">
        <v>6541</v>
      </c>
      <c r="B6602" s="1831"/>
      <c r="D6602" s="2" t="str">
        <f t="shared" si="102"/>
        <v>OK</v>
      </c>
      <c r="E6602" s="4" t="s">
        <v>1986</v>
      </c>
    </row>
    <row r="6603" spans="1:5" x14ac:dyDescent="0.2">
      <c r="A6603" s="126">
        <v>6542</v>
      </c>
      <c r="B6603" s="1831"/>
      <c r="D6603" s="2" t="str">
        <f t="shared" si="102"/>
        <v>OK</v>
      </c>
      <c r="E6603" s="4" t="s">
        <v>1986</v>
      </c>
    </row>
    <row r="6604" spans="1:5" x14ac:dyDescent="0.2">
      <c r="A6604" s="126">
        <v>6543</v>
      </c>
      <c r="B6604" s="1831"/>
      <c r="D6604" s="2" t="str">
        <f t="shared" si="102"/>
        <v>OK</v>
      </c>
      <c r="E6604" s="4" t="s">
        <v>1986</v>
      </c>
    </row>
    <row r="6605" spans="1:5" x14ac:dyDescent="0.2">
      <c r="A6605" s="126">
        <v>6544</v>
      </c>
      <c r="B6605" s="1831"/>
      <c r="D6605" s="2" t="str">
        <f t="shared" si="102"/>
        <v>OK</v>
      </c>
      <c r="E6605" s="4" t="s">
        <v>1986</v>
      </c>
    </row>
    <row r="6606" spans="1:5" x14ac:dyDescent="0.2">
      <c r="A6606" s="126">
        <v>6545</v>
      </c>
      <c r="B6606" s="1831"/>
      <c r="D6606" s="2" t="str">
        <f t="shared" si="102"/>
        <v>OK</v>
      </c>
      <c r="E6606" s="4" t="s">
        <v>1986</v>
      </c>
    </row>
    <row r="6607" spans="1:5" x14ac:dyDescent="0.2">
      <c r="A6607" s="126">
        <v>6546</v>
      </c>
      <c r="B6607" s="1831"/>
      <c r="D6607" s="2" t="str">
        <f t="shared" si="102"/>
        <v>OK</v>
      </c>
      <c r="E6607" s="4" t="s">
        <v>1986</v>
      </c>
    </row>
    <row r="6608" spans="1:5" x14ac:dyDescent="0.2">
      <c r="A6608" s="126">
        <v>6547</v>
      </c>
      <c r="B6608" s="1831"/>
      <c r="D6608" s="2" t="str">
        <f t="shared" si="102"/>
        <v>OK</v>
      </c>
      <c r="E6608" s="4" t="s">
        <v>1986</v>
      </c>
    </row>
    <row r="6609" spans="1:5" x14ac:dyDescent="0.2">
      <c r="A6609" s="126">
        <v>6548</v>
      </c>
      <c r="B6609" s="1831"/>
      <c r="D6609" s="2" t="str">
        <f t="shared" si="102"/>
        <v>OK</v>
      </c>
      <c r="E6609" s="4" t="s">
        <v>1986</v>
      </c>
    </row>
    <row r="6610" spans="1:5" x14ac:dyDescent="0.2">
      <c r="A6610" s="126">
        <v>6549</v>
      </c>
      <c r="B6610" s="1831"/>
      <c r="D6610" s="2" t="str">
        <f t="shared" si="102"/>
        <v>OK</v>
      </c>
      <c r="E6610" s="4" t="s">
        <v>1986</v>
      </c>
    </row>
    <row r="6611" spans="1:5" x14ac:dyDescent="0.2">
      <c r="A6611" s="126">
        <v>6550</v>
      </c>
      <c r="B6611" s="1831"/>
      <c r="D6611" s="2" t="str">
        <f t="shared" si="102"/>
        <v>OK</v>
      </c>
      <c r="E6611" s="4" t="s">
        <v>1986</v>
      </c>
    </row>
    <row r="6612" spans="1:5" x14ac:dyDescent="0.2">
      <c r="A6612" s="126">
        <v>6551</v>
      </c>
      <c r="B6612" s="1831"/>
      <c r="D6612" s="2" t="str">
        <f t="shared" si="102"/>
        <v>OK</v>
      </c>
      <c r="E6612" s="4" t="s">
        <v>1986</v>
      </c>
    </row>
    <row r="6613" spans="1:5" x14ac:dyDescent="0.2">
      <c r="A6613" s="126">
        <v>6552</v>
      </c>
      <c r="B6613" s="1831"/>
      <c r="D6613" s="2" t="str">
        <f t="shared" si="102"/>
        <v>OK</v>
      </c>
      <c r="E6613" s="4" t="s">
        <v>1986</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522928</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786640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522928</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1890</v>
      </c>
    </row>
    <row r="6842" spans="1:5" x14ac:dyDescent="0.2">
      <c r="A6842" s="126">
        <v>6781</v>
      </c>
      <c r="B6842" s="1831"/>
      <c r="D6842" s="2" t="str">
        <f t="shared" si="105"/>
        <v>OK</v>
      </c>
      <c r="E6842" s="1" t="s">
        <v>1890</v>
      </c>
    </row>
    <row r="6843" spans="1:5" x14ac:dyDescent="0.2">
      <c r="A6843" s="126">
        <v>6782</v>
      </c>
      <c r="B6843" s="1831"/>
      <c r="D6843" s="2" t="str">
        <f t="shared" si="105"/>
        <v>OK</v>
      </c>
      <c r="E6843" s="1" t="s">
        <v>1890</v>
      </c>
    </row>
    <row r="6844" spans="1:5" x14ac:dyDescent="0.2">
      <c r="A6844">
        <v>6783</v>
      </c>
      <c r="B6844" s="1831">
        <f>'Expenditures 15-22'!I5</f>
        <v>118048</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8972</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1070910</v>
      </c>
      <c r="D6848" s="2" t="str">
        <f t="shared" si="106"/>
        <v>Error?</v>
      </c>
    </row>
    <row r="6849" spans="1:4" x14ac:dyDescent="0.2">
      <c r="A6849">
        <v>6788</v>
      </c>
      <c r="B6849" s="1831">
        <f>'Expenditures 15-22'!I8</f>
        <v>25066</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544084</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4628</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52609</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16353</v>
      </c>
      <c r="D6900" s="2" t="str">
        <f t="shared" si="106"/>
        <v>Error?</v>
      </c>
    </row>
    <row r="6901" spans="1:4" x14ac:dyDescent="0.2">
      <c r="A6901">
        <v>6840</v>
      </c>
      <c r="B6901" s="1831">
        <f>'Expenditures 15-22'!K32</f>
        <v>16353</v>
      </c>
      <c r="D6901" s="2" t="str">
        <f t="shared" si="106"/>
        <v>Error?</v>
      </c>
    </row>
    <row r="6902" spans="1:4" x14ac:dyDescent="0.2">
      <c r="A6902">
        <v>6841</v>
      </c>
      <c r="B6902" s="1831">
        <f>'Expenditures 15-22'!I33</f>
        <v>700798</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9032</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1142</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10174</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4011</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10908</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14919</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1522</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11447</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22979</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35948</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482610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482610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543651</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7729</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301739</v>
      </c>
      <c r="D6983" s="2" t="str">
        <f t="shared" si="108"/>
        <v>Error?</v>
      </c>
    </row>
    <row r="6984" spans="1:4" x14ac:dyDescent="0.2">
      <c r="A6984">
        <v>6923</v>
      </c>
      <c r="B6984" s="1831">
        <f>'Expenditures 15-22'!K86</f>
        <v>301739</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301739</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15292</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15292</v>
      </c>
      <c r="D7010" s="2" t="str">
        <f t="shared" si="108"/>
        <v>Error?</v>
      </c>
    </row>
    <row r="7011" spans="1:4" x14ac:dyDescent="0.2">
      <c r="A7011">
        <v>6950</v>
      </c>
      <c r="B7011" s="1831">
        <f>'Expenditures 15-22'!E100</f>
        <v>15292</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15292</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1252178</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96577</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96577</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96577</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1563883</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96577</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1635933</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44395</v>
      </c>
      <c r="D7073" s="2" t="str">
        <f t="shared" si="109"/>
        <v>Error?</v>
      </c>
    </row>
    <row r="7074" spans="1:4" x14ac:dyDescent="0.2">
      <c r="A7074">
        <v>7013</v>
      </c>
      <c r="B7074" s="1831">
        <f>'Expenditures 15-22'!K216</f>
        <v>44395</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549</v>
      </c>
      <c r="D7079" s="2" t="str">
        <f t="shared" si="109"/>
        <v>Error?</v>
      </c>
    </row>
    <row r="7080" spans="1:4" x14ac:dyDescent="0.2">
      <c r="A7080">
        <v>7019</v>
      </c>
      <c r="B7080" s="1831">
        <f>'Expenditures 15-22'!K226</f>
        <v>549</v>
      </c>
      <c r="D7080" s="2" t="str">
        <f t="shared" si="109"/>
        <v>Error?</v>
      </c>
    </row>
    <row r="7081" spans="1:4" x14ac:dyDescent="0.2">
      <c r="A7081">
        <v>7020</v>
      </c>
      <c r="B7081" s="1831">
        <f>'Expenditures 15-22'!D248</f>
        <v>50825</v>
      </c>
      <c r="D7081" s="2" t="str">
        <f t="shared" si="109"/>
        <v>Error?</v>
      </c>
    </row>
    <row r="7082" spans="1:4" x14ac:dyDescent="0.2">
      <c r="A7082">
        <v>7021</v>
      </c>
      <c r="B7082" s="1831">
        <f>'Expenditures 15-22'!K248</f>
        <v>50825</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306943</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306943</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200793</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200793</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632493</v>
      </c>
      <c r="D7172" s="2" t="str">
        <f t="shared" si="111"/>
        <v>Error?</v>
      </c>
    </row>
    <row r="7173" spans="1:4" x14ac:dyDescent="0.2">
      <c r="A7173">
        <v>7112</v>
      </c>
      <c r="B7173" s="1831">
        <f>'Expenditures 15-22'!D325</f>
        <v>138836</v>
      </c>
      <c r="D7173" s="2" t="str">
        <f t="shared" si="111"/>
        <v>Error?</v>
      </c>
    </row>
    <row r="7174" spans="1:4" x14ac:dyDescent="0.2">
      <c r="A7174">
        <v>7113</v>
      </c>
      <c r="B7174" s="1831">
        <f>'Expenditures 15-22'!E325</f>
        <v>242580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1013909</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42238</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42238</v>
      </c>
      <c r="D7198" s="2" t="str">
        <f t="shared" si="111"/>
        <v>Error?</v>
      </c>
    </row>
    <row r="7199" spans="1:4" x14ac:dyDescent="0.2">
      <c r="A7199">
        <v>7138</v>
      </c>
      <c r="B7199" s="1831">
        <f>'Expenditures 15-22'!C330</f>
        <v>632493</v>
      </c>
      <c r="D7199" s="2" t="str">
        <f t="shared" si="111"/>
        <v>Error?</v>
      </c>
    </row>
    <row r="7200" spans="1:4" x14ac:dyDescent="0.2">
      <c r="A7200">
        <v>7139</v>
      </c>
      <c r="B7200" s="1831">
        <f>'Expenditures 15-22'!D330</f>
        <v>138836</v>
      </c>
      <c r="D7200" s="2" t="str">
        <f t="shared" si="111"/>
        <v>Error?</v>
      </c>
    </row>
    <row r="7201" spans="1:4" x14ac:dyDescent="0.2">
      <c r="A7201">
        <v>7140</v>
      </c>
      <c r="B7201" s="1831">
        <f>'Expenditures 15-22'!E330</f>
        <v>792554</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1563883</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632493</v>
      </c>
      <c r="D7216" s="2" t="str">
        <f t="shared" si="111"/>
        <v>Error?</v>
      </c>
    </row>
    <row r="7217" spans="1:4" x14ac:dyDescent="0.2">
      <c r="A7217">
        <v>7156</v>
      </c>
      <c r="B7217" s="1831">
        <f>'Expenditures 15-22'!D342</f>
        <v>138836</v>
      </c>
      <c r="D7217" s="2" t="str">
        <f t="shared" si="111"/>
        <v>Error?</v>
      </c>
    </row>
    <row r="7218" spans="1:4" x14ac:dyDescent="0.2">
      <c r="A7218">
        <v>7157</v>
      </c>
      <c r="B7218" s="1831">
        <f>'Expenditures 15-22'!E342</f>
        <v>792554</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1563883</v>
      </c>
      <c r="D7224" s="2" t="str">
        <f t="shared" si="111"/>
        <v>Error?</v>
      </c>
    </row>
    <row r="7225" spans="1:4" x14ac:dyDescent="0.2">
      <c r="A7225">
        <v>7164</v>
      </c>
      <c r="B7225" s="1831">
        <f>'Expenditures 15-22'!K343</f>
        <v>72050</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206292</v>
      </c>
      <c r="D7246" s="2" t="str">
        <f t="shared" si="112"/>
        <v>Error?</v>
      </c>
    </row>
    <row r="7247" spans="1:4" x14ac:dyDescent="0.2">
      <c r="A7247">
        <f t="shared" si="113"/>
        <v>7186</v>
      </c>
      <c r="B7247" s="1831">
        <f>'Expenditures 15-22'!E7</f>
        <v>5748</v>
      </c>
      <c r="D7247" s="2" t="str">
        <f t="shared" si="112"/>
        <v>Error?</v>
      </c>
    </row>
    <row r="7248" spans="1:4" x14ac:dyDescent="0.2">
      <c r="A7248">
        <f t="shared" si="113"/>
        <v>7187</v>
      </c>
      <c r="B7248" s="1831">
        <f>'Expenditures 15-22'!F7</f>
        <v>63258</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39272</v>
      </c>
      <c r="D7263" s="2" t="str">
        <f t="shared" si="112"/>
        <v>Error?</v>
      </c>
    </row>
    <row r="7264" spans="1:4" x14ac:dyDescent="0.2">
      <c r="A7264">
        <f t="shared" si="113"/>
        <v>7203</v>
      </c>
      <c r="B7264" s="1831">
        <f>'Expenditures 15-22'!D17</f>
        <v>3580</v>
      </c>
      <c r="D7264" s="2" t="str">
        <f t="shared" si="112"/>
        <v>Error?</v>
      </c>
    </row>
    <row r="7265" spans="1:5" x14ac:dyDescent="0.2">
      <c r="A7265">
        <f t="shared" si="113"/>
        <v>7204</v>
      </c>
      <c r="B7265" s="1831">
        <f>'Expenditures 15-22'!E17</f>
        <v>9392</v>
      </c>
      <c r="D7265" s="2" t="str">
        <f t="shared" si="112"/>
        <v>Error?</v>
      </c>
    </row>
    <row r="7266" spans="1:5" x14ac:dyDescent="0.2">
      <c r="A7266">
        <f t="shared" si="113"/>
        <v>7205</v>
      </c>
      <c r="B7266" s="1831">
        <f>'Expenditures 15-22'!F17</f>
        <v>365</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1348755</v>
      </c>
      <c r="D7624" s="2" t="str">
        <f t="shared" si="124"/>
        <v>Error?</v>
      </c>
      <c r="E7624" s="2" t="s">
        <v>19</v>
      </c>
    </row>
    <row r="7625" spans="1:5" x14ac:dyDescent="0.2">
      <c r="A7625">
        <f t="shared" si="123"/>
        <v>7564</v>
      </c>
      <c r="B7625" s="1831">
        <f>'Cap Outlay Deprec 26'!I17</f>
        <v>134875.5</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3814145.5</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1987</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1987</v>
      </c>
    </row>
    <row r="7641" spans="1:6" x14ac:dyDescent="0.2">
      <c r="A7641" s="126">
        <f t="shared" si="125"/>
        <v>7580</v>
      </c>
      <c r="B7641" s="1832"/>
      <c r="D7641" s="2" t="str">
        <f t="shared" si="124"/>
        <v>OK</v>
      </c>
      <c r="E7641" s="4" t="s">
        <v>1987</v>
      </c>
    </row>
    <row r="7642" spans="1:6" x14ac:dyDescent="0.2">
      <c r="A7642" s="126">
        <f t="shared" si="125"/>
        <v>7581</v>
      </c>
      <c r="B7642" s="1832"/>
      <c r="D7642" s="2" t="str">
        <f t="shared" si="124"/>
        <v>OK</v>
      </c>
      <c r="E7642" s="4" t="s">
        <v>1987</v>
      </c>
    </row>
    <row r="7643" spans="1:6" x14ac:dyDescent="0.2">
      <c r="A7643" s="126">
        <f t="shared" si="125"/>
        <v>7582</v>
      </c>
      <c r="B7643" s="1832"/>
      <c r="D7643" s="2" t="str">
        <f t="shared" si="124"/>
        <v>OK</v>
      </c>
      <c r="E7643" s="4" t="s">
        <v>1987</v>
      </c>
    </row>
    <row r="7644" spans="1:6" x14ac:dyDescent="0.2">
      <c r="A7644" s="126">
        <f t="shared" si="125"/>
        <v>7583</v>
      </c>
      <c r="B7644" s="1832"/>
      <c r="D7644" s="2" t="str">
        <f t="shared" si="124"/>
        <v>OK</v>
      </c>
      <c r="E7644" s="4" t="s">
        <v>1987</v>
      </c>
    </row>
    <row r="7645" spans="1:6" x14ac:dyDescent="0.2">
      <c r="A7645" s="126">
        <f t="shared" si="125"/>
        <v>7584</v>
      </c>
      <c r="B7645" s="1832"/>
      <c r="D7645" s="2" t="str">
        <f t="shared" si="124"/>
        <v>OK</v>
      </c>
      <c r="E7645" s="4" t="s">
        <v>1987</v>
      </c>
    </row>
    <row r="7646" spans="1:6" x14ac:dyDescent="0.2">
      <c r="A7646" s="126">
        <f t="shared" si="125"/>
        <v>7585</v>
      </c>
      <c r="B7646" s="1832"/>
      <c r="D7646" s="2" t="str">
        <f t="shared" si="124"/>
        <v>OK</v>
      </c>
      <c r="E7646" s="4" t="s">
        <v>1987</v>
      </c>
    </row>
    <row r="7647" spans="1:6" x14ac:dyDescent="0.2">
      <c r="A7647" s="126">
        <f t="shared" si="125"/>
        <v>7586</v>
      </c>
      <c r="B7647" s="1832"/>
      <c r="D7647" s="2" t="str">
        <f t="shared" si="124"/>
        <v>OK</v>
      </c>
      <c r="E7647" s="4" t="s">
        <v>1987</v>
      </c>
    </row>
    <row r="7648" spans="1:6" x14ac:dyDescent="0.2">
      <c r="A7648" s="126">
        <f t="shared" si="125"/>
        <v>7587</v>
      </c>
      <c r="B7648" s="1832"/>
      <c r="D7648" s="2" t="str">
        <f t="shared" si="124"/>
        <v>OK</v>
      </c>
      <c r="E7648" s="4" t="s">
        <v>1987</v>
      </c>
    </row>
    <row r="7649" spans="1:5" x14ac:dyDescent="0.2">
      <c r="A7649" s="126">
        <f t="shared" si="125"/>
        <v>7588</v>
      </c>
      <c r="B7649" s="1832"/>
      <c r="D7649" s="2" t="str">
        <f t="shared" si="124"/>
        <v>OK</v>
      </c>
      <c r="E7649" s="4" t="s">
        <v>1987</v>
      </c>
    </row>
    <row r="7650" spans="1:5" x14ac:dyDescent="0.2">
      <c r="A7650" s="126">
        <f t="shared" si="125"/>
        <v>7589</v>
      </c>
      <c r="B7650" s="1832"/>
      <c r="D7650" s="2" t="str">
        <f t="shared" si="124"/>
        <v>OK</v>
      </c>
      <c r="E7650" s="4" t="s">
        <v>1987</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1049197</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32645</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75375</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18302</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21314</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22694</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44008</v>
      </c>
      <c r="D7719" s="2" t="str">
        <f t="shared" si="126"/>
        <v>Error?</v>
      </c>
      <c r="E7719" s="2" t="s">
        <v>822</v>
      </c>
    </row>
    <row r="7720" spans="1:6" x14ac:dyDescent="0.2">
      <c r="A7720">
        <v>7659</v>
      </c>
      <c r="B7720" s="1831">
        <f>'Rest Tax Levies-Tort Im 25'!H14</f>
        <v>398553</v>
      </c>
      <c r="D7720" s="2" t="str">
        <f t="shared" si="126"/>
        <v>Error?</v>
      </c>
      <c r="E7720" s="2" t="s">
        <v>822</v>
      </c>
    </row>
    <row r="7721" spans="1:6" x14ac:dyDescent="0.2">
      <c r="A7721">
        <v>7660</v>
      </c>
      <c r="B7721" s="1831">
        <f>'Rest Tax Levies-Tort Im 25'!K14</f>
        <v>53158</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9152</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9152</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522928</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1107902</v>
      </c>
      <c r="D7759" s="2" t="str">
        <f t="shared" si="127"/>
        <v>Error?</v>
      </c>
      <c r="E7759" s="4" t="s">
        <v>1322</v>
      </c>
    </row>
    <row r="7760" spans="1:6" x14ac:dyDescent="0.2">
      <c r="A7760">
        <v>7699</v>
      </c>
      <c r="B7760" s="1831">
        <f>'Aud Quest 2'!J90</f>
        <v>1107902</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1989</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1818</v>
      </c>
    </row>
    <row r="7775" spans="1:5" x14ac:dyDescent="0.2">
      <c r="A7775">
        <v>7714</v>
      </c>
      <c r="B7775" s="1831">
        <f>'Expenditures 15-22'!H133</f>
        <v>0</v>
      </c>
      <c r="D7775" s="2" t="str">
        <f t="shared" si="127"/>
        <v>Error?</v>
      </c>
      <c r="E7775" s="4" t="s">
        <v>1818</v>
      </c>
    </row>
    <row r="7776" spans="1:5" x14ac:dyDescent="0.2">
      <c r="A7776">
        <v>7715</v>
      </c>
      <c r="B7776" s="1831">
        <f>'Expenditures 15-22'!K133</f>
        <v>0</v>
      </c>
      <c r="D7776" s="2" t="str">
        <f t="shared" si="127"/>
        <v>Error?</v>
      </c>
      <c r="E7776" s="4" t="s">
        <v>1818</v>
      </c>
    </row>
    <row r="7777" spans="1:5" x14ac:dyDescent="0.2">
      <c r="A7777">
        <v>7716</v>
      </c>
      <c r="B7777" s="1831">
        <f>'Expenditures 15-22'!H157</f>
        <v>0</v>
      </c>
      <c r="D7777" s="2" t="str">
        <f t="shared" si="127"/>
        <v>Error?</v>
      </c>
      <c r="E7777" s="4" t="s">
        <v>1818</v>
      </c>
    </row>
    <row r="7778" spans="1:5" x14ac:dyDescent="0.2">
      <c r="A7778">
        <v>7717</v>
      </c>
      <c r="B7778" s="1831">
        <f>'Expenditures 15-22'!K157</f>
        <v>0</v>
      </c>
      <c r="D7778" s="2" t="str">
        <f t="shared" si="127"/>
        <v>Error?</v>
      </c>
      <c r="E7778" s="4" t="s">
        <v>1818</v>
      </c>
    </row>
    <row r="7779" spans="1:5" x14ac:dyDescent="0.2">
      <c r="A7779">
        <v>7718</v>
      </c>
      <c r="B7779" s="1831">
        <f>'Expenditures 15-22'!H158</f>
        <v>0</v>
      </c>
      <c r="D7779" s="2" t="str">
        <f t="shared" si="127"/>
        <v>Error?</v>
      </c>
      <c r="E7779" s="4" t="s">
        <v>1818</v>
      </c>
    </row>
    <row r="7780" spans="1:5" x14ac:dyDescent="0.2">
      <c r="A7780">
        <v>7719</v>
      </c>
      <c r="B7780" s="1831">
        <f>'Expenditures 15-22'!K158</f>
        <v>0</v>
      </c>
      <c r="D7780" s="2" t="str">
        <f t="shared" si="127"/>
        <v>Error?</v>
      </c>
      <c r="E7780" s="4" t="s">
        <v>1818</v>
      </c>
    </row>
    <row r="7781" spans="1:5" x14ac:dyDescent="0.2">
      <c r="A7781">
        <v>7720</v>
      </c>
      <c r="B7781" s="1831">
        <f>'Expenditures 15-22'!H159</f>
        <v>0</v>
      </c>
      <c r="D7781" s="2" t="str">
        <f t="shared" si="127"/>
        <v>Error?</v>
      </c>
      <c r="E7781" s="4" t="s">
        <v>1818</v>
      </c>
    </row>
    <row r="7782" spans="1:5" x14ac:dyDescent="0.2">
      <c r="A7782">
        <v>7721</v>
      </c>
      <c r="B7782" s="1831">
        <f>'Expenditures 15-22'!K159</f>
        <v>0</v>
      </c>
      <c r="D7782" s="2" t="str">
        <f t="shared" si="127"/>
        <v>Error?</v>
      </c>
      <c r="E7782" s="4" t="s">
        <v>1818</v>
      </c>
    </row>
    <row r="7783" spans="1:5" x14ac:dyDescent="0.2">
      <c r="A7783">
        <v>7722</v>
      </c>
      <c r="B7783" s="1831">
        <f>'Expenditures 15-22'!D282</f>
        <v>0</v>
      </c>
      <c r="D7783" s="2" t="str">
        <f t="shared" si="127"/>
        <v>Error?</v>
      </c>
      <c r="E7783" s="4" t="s">
        <v>1818</v>
      </c>
    </row>
    <row r="7784" spans="1:5" x14ac:dyDescent="0.2">
      <c r="A7784">
        <v>7723</v>
      </c>
      <c r="B7784" s="1831">
        <f>'Expenditures 15-22'!K282</f>
        <v>0</v>
      </c>
      <c r="D7784" s="2" t="str">
        <f t="shared" si="127"/>
        <v>Error?</v>
      </c>
      <c r="E7784" s="4" t="s">
        <v>1818</v>
      </c>
    </row>
    <row r="7785" spans="1:5" x14ac:dyDescent="0.2">
      <c r="A7785">
        <v>7724</v>
      </c>
      <c r="B7785" s="1831">
        <f>'Expenditures 15-22'!H332</f>
        <v>0</v>
      </c>
      <c r="D7785" s="2" t="str">
        <f t="shared" si="127"/>
        <v>Error?</v>
      </c>
      <c r="E7785" s="4" t="s">
        <v>1818</v>
      </c>
    </row>
    <row r="7786" spans="1:5" x14ac:dyDescent="0.2">
      <c r="A7786">
        <v>7725</v>
      </c>
      <c r="B7786" s="1831">
        <f>'Expenditures 15-22'!K332</f>
        <v>0</v>
      </c>
      <c r="D7786" s="2" t="str">
        <f t="shared" si="127"/>
        <v>Error?</v>
      </c>
      <c r="E7786" s="4" t="s">
        <v>1818</v>
      </c>
    </row>
    <row r="7787" spans="1:5" x14ac:dyDescent="0.2">
      <c r="A7787">
        <v>7726</v>
      </c>
      <c r="B7787" s="1831">
        <f>'Expenditures 15-22'!H333</f>
        <v>0</v>
      </c>
      <c r="D7787" s="2" t="str">
        <f t="shared" si="127"/>
        <v>Error?</v>
      </c>
      <c r="E7787" s="4" t="s">
        <v>1818</v>
      </c>
    </row>
    <row r="7788" spans="1:5" x14ac:dyDescent="0.2">
      <c r="A7788">
        <v>7727</v>
      </c>
      <c r="B7788" s="1831">
        <f>'Expenditures 15-22'!K333</f>
        <v>0</v>
      </c>
      <c r="D7788" s="2" t="str">
        <f t="shared" si="127"/>
        <v>Error?</v>
      </c>
      <c r="E7788" s="4" t="s">
        <v>1818</v>
      </c>
    </row>
    <row r="7789" spans="1:5" x14ac:dyDescent="0.2">
      <c r="A7789">
        <v>7728</v>
      </c>
      <c r="B7789" s="1831">
        <f>'Expenditures 15-22'!H334</f>
        <v>0</v>
      </c>
      <c r="D7789" s="2" t="str">
        <f t="shared" si="127"/>
        <v>Error?</v>
      </c>
      <c r="E7789" s="4" t="s">
        <v>1818</v>
      </c>
    </row>
    <row r="7790" spans="1:5" x14ac:dyDescent="0.2">
      <c r="A7790">
        <v>7729</v>
      </c>
      <c r="B7790" s="1831">
        <f>'Expenditures 15-22'!K334</f>
        <v>0</v>
      </c>
      <c r="D7790" s="2" t="str">
        <f t="shared" si="127"/>
        <v>Error?</v>
      </c>
      <c r="E7790" s="4" t="s">
        <v>1818</v>
      </c>
    </row>
    <row r="7791" spans="1:5" x14ac:dyDescent="0.2">
      <c r="A7791">
        <v>7730</v>
      </c>
      <c r="B7791" s="1831">
        <f>'Expenditures 15-22'!H354</f>
        <v>0</v>
      </c>
      <c r="D7791" s="2" t="str">
        <f t="shared" si="127"/>
        <v>Error?</v>
      </c>
      <c r="E7791" s="4" t="s">
        <v>1818</v>
      </c>
    </row>
    <row r="7792" spans="1:5" x14ac:dyDescent="0.2">
      <c r="A7792">
        <v>7731</v>
      </c>
      <c r="B7792" s="1831">
        <f>'Expenditures 15-22'!K354</f>
        <v>0</v>
      </c>
      <c r="D7792" s="2" t="str">
        <f t="shared" si="127"/>
        <v>Error?</v>
      </c>
      <c r="E7792" s="4" t="s">
        <v>1818</v>
      </c>
    </row>
    <row r="7793" spans="1:5" x14ac:dyDescent="0.2">
      <c r="A7793">
        <v>7732</v>
      </c>
      <c r="B7793" s="1831">
        <f>'Expenditures 15-22'!H355</f>
        <v>0</v>
      </c>
      <c r="D7793" s="2" t="str">
        <f t="shared" si="127"/>
        <v>Error?</v>
      </c>
      <c r="E7793" s="4" t="s">
        <v>1818</v>
      </c>
    </row>
    <row r="7794" spans="1:5" x14ac:dyDescent="0.2">
      <c r="A7794">
        <v>7733</v>
      </c>
      <c r="B7794" s="1831">
        <f>'Expenditures 15-22'!K355</f>
        <v>0</v>
      </c>
      <c r="D7794" s="2" t="str">
        <f t="shared" si="127"/>
        <v>Error?</v>
      </c>
      <c r="E7794" s="4" t="s">
        <v>1818</v>
      </c>
    </row>
    <row r="7795" spans="1:5" x14ac:dyDescent="0.2">
      <c r="A7795">
        <v>7734</v>
      </c>
      <c r="B7795" s="1831">
        <f>'Expenditures 15-22'!E138</f>
        <v>0</v>
      </c>
      <c r="D7795" s="2" t="str">
        <f t="shared" si="127"/>
        <v>Error?</v>
      </c>
      <c r="E7795" s="4" t="s">
        <v>1818</v>
      </c>
    </row>
    <row r="7796" spans="1:5" x14ac:dyDescent="0.2">
      <c r="A7796">
        <v>7735</v>
      </c>
      <c r="B7796" s="1831">
        <f>'Acct Summary 7-8'!J15</f>
        <v>0</v>
      </c>
      <c r="D7796" s="2" t="str">
        <f t="shared" si="127"/>
        <v>Error?</v>
      </c>
      <c r="E7796" s="4" t="s">
        <v>1818</v>
      </c>
    </row>
    <row r="7797" spans="1:5" x14ac:dyDescent="0.2">
      <c r="A7797" s="126">
        <v>7736</v>
      </c>
      <c r="B7797" s="1831"/>
      <c r="D7797" s="2" t="str">
        <f t="shared" si="127"/>
        <v>OK</v>
      </c>
      <c r="E7797" s="4" t="s">
        <v>1971</v>
      </c>
    </row>
    <row r="7798" spans="1:5" x14ac:dyDescent="0.2">
      <c r="A7798" s="126">
        <v>7737</v>
      </c>
      <c r="B7798" s="1831"/>
      <c r="D7798" s="2" t="str">
        <f t="shared" si="127"/>
        <v>OK</v>
      </c>
      <c r="E7798" s="4" t="s">
        <v>1971</v>
      </c>
    </row>
    <row r="7799" spans="1:5" x14ac:dyDescent="0.2">
      <c r="A7799" s="126">
        <v>7738</v>
      </c>
      <c r="B7799" s="1831"/>
      <c r="D7799" s="2" t="str">
        <f t="shared" si="127"/>
        <v>OK</v>
      </c>
      <c r="E7799" s="4" t="s">
        <v>1971</v>
      </c>
    </row>
    <row r="7800" spans="1:5" x14ac:dyDescent="0.2">
      <c r="A7800">
        <v>7739</v>
      </c>
      <c r="B7800" s="1831">
        <f>'Rest Tax Levies-Tort Im 25'!K23</f>
        <v>53158</v>
      </c>
      <c r="D7800" s="2" t="str">
        <f t="shared" si="127"/>
        <v>Error?</v>
      </c>
      <c r="E7800" s="4" t="s">
        <v>1958</v>
      </c>
    </row>
    <row r="7801" spans="1:5" x14ac:dyDescent="0.2">
      <c r="A7801">
        <v>7740</v>
      </c>
      <c r="B7801" s="1831">
        <f>'Revenues 9-14'!C120</f>
        <v>0</v>
      </c>
      <c r="D7801" s="2" t="str">
        <f t="shared" si="127"/>
        <v>Error?</v>
      </c>
      <c r="E7801" s="4" t="s">
        <v>1892</v>
      </c>
    </row>
    <row r="7802" spans="1:5" x14ac:dyDescent="0.2">
      <c r="A7802">
        <v>7741</v>
      </c>
      <c r="B7802" s="1831">
        <f>'Revenues 9-14'!D120</f>
        <v>0</v>
      </c>
      <c r="D7802" s="2" t="str">
        <f t="shared" si="127"/>
        <v>Error?</v>
      </c>
      <c r="E7802" s="4" t="s">
        <v>1892</v>
      </c>
    </row>
    <row r="7803" spans="1:5" x14ac:dyDescent="0.2">
      <c r="A7803">
        <v>7742</v>
      </c>
      <c r="B7803" s="1831">
        <f>'Revenues 9-14'!E120</f>
        <v>0</v>
      </c>
      <c r="D7803" s="2" t="str">
        <f t="shared" si="127"/>
        <v>Error?</v>
      </c>
      <c r="E7803" s="4" t="s">
        <v>1892</v>
      </c>
    </row>
    <row r="7804" spans="1:5" x14ac:dyDescent="0.2">
      <c r="A7804">
        <v>7743</v>
      </c>
      <c r="B7804" s="1831">
        <f>'Revenues 9-14'!F120</f>
        <v>0</v>
      </c>
      <c r="D7804" s="2" t="str">
        <f t="shared" si="127"/>
        <v>Error?</v>
      </c>
      <c r="E7804" s="4" t="s">
        <v>1892</v>
      </c>
    </row>
    <row r="7805" spans="1:5" x14ac:dyDescent="0.2">
      <c r="A7805">
        <v>7744</v>
      </c>
      <c r="B7805" s="1831">
        <f>'Revenues 9-14'!G120</f>
        <v>0</v>
      </c>
      <c r="D7805" s="2" t="str">
        <f t="shared" si="127"/>
        <v>Error?</v>
      </c>
      <c r="E7805" s="4" t="s">
        <v>1892</v>
      </c>
    </row>
    <row r="7806" spans="1:5" x14ac:dyDescent="0.2">
      <c r="A7806">
        <v>7745</v>
      </c>
      <c r="B7806" s="1831">
        <f>'Revenues 9-14'!H120</f>
        <v>0</v>
      </c>
      <c r="D7806" s="2" t="str">
        <f t="shared" si="127"/>
        <v>Error?</v>
      </c>
      <c r="E7806" s="4" t="s">
        <v>1892</v>
      </c>
    </row>
    <row r="7807" spans="1:5" x14ac:dyDescent="0.2">
      <c r="A7807">
        <v>7746</v>
      </c>
      <c r="B7807" s="1831">
        <f>'Revenues 9-14'!J120</f>
        <v>0</v>
      </c>
      <c r="D7807" s="2" t="str">
        <f t="shared" ref="D7807:D7821" si="128">IF(ISBLANK(B7807),"OK",IF(A7807-B7807=0,"OK","Error?"))</f>
        <v>Error?</v>
      </c>
      <c r="E7807" s="4" t="s">
        <v>1892</v>
      </c>
    </row>
    <row r="7808" spans="1:5" x14ac:dyDescent="0.2">
      <c r="A7808">
        <v>7747</v>
      </c>
      <c r="B7808" s="1831">
        <f>'Revenues 9-14'!K120</f>
        <v>0</v>
      </c>
      <c r="D7808" s="2" t="str">
        <f t="shared" si="128"/>
        <v>Error?</v>
      </c>
      <c r="E7808" s="4" t="s">
        <v>1892</v>
      </c>
    </row>
    <row r="7809" spans="1:5" x14ac:dyDescent="0.2">
      <c r="A7809">
        <v>7748</v>
      </c>
      <c r="B7809" s="1831">
        <f>'Revenues 9-14'!C261</f>
        <v>0</v>
      </c>
      <c r="D7809" s="2" t="str">
        <f t="shared" si="128"/>
        <v>Error?</v>
      </c>
      <c r="E7809" s="4" t="s">
        <v>1893</v>
      </c>
    </row>
    <row r="7810" spans="1:5" x14ac:dyDescent="0.2">
      <c r="A7810">
        <v>7749</v>
      </c>
      <c r="B7810" s="1831">
        <f>'Revenues 9-14'!D261</f>
        <v>0</v>
      </c>
      <c r="D7810" s="2" t="str">
        <f t="shared" si="128"/>
        <v>Error?</v>
      </c>
      <c r="E7810" s="4" t="s">
        <v>1893</v>
      </c>
    </row>
    <row r="7811" spans="1:5" x14ac:dyDescent="0.2">
      <c r="A7811">
        <v>7750</v>
      </c>
      <c r="B7811" s="1831">
        <f>'Revenues 9-14'!F261</f>
        <v>0</v>
      </c>
      <c r="D7811" s="2" t="str">
        <f t="shared" si="128"/>
        <v>Error?</v>
      </c>
      <c r="E7811" s="4" t="s">
        <v>1893</v>
      </c>
    </row>
    <row r="7812" spans="1:5" x14ac:dyDescent="0.2">
      <c r="A7812">
        <v>7751</v>
      </c>
      <c r="B7812" s="1831">
        <f>'Revenues 9-14'!G261</f>
        <v>0</v>
      </c>
      <c r="D7812" s="2" t="str">
        <f t="shared" si="128"/>
        <v>Error?</v>
      </c>
      <c r="E7812" s="4" t="s">
        <v>1893</v>
      </c>
    </row>
    <row r="7813" spans="1:5" x14ac:dyDescent="0.2">
      <c r="A7813">
        <v>7752</v>
      </c>
      <c r="B7813" s="1831">
        <f>'Revenues 9-14'!C262</f>
        <v>0</v>
      </c>
      <c r="D7813" s="2" t="str">
        <f t="shared" si="128"/>
        <v>Error?</v>
      </c>
      <c r="E7813" s="4" t="s">
        <v>1894</v>
      </c>
    </row>
    <row r="7814" spans="1:5" x14ac:dyDescent="0.2">
      <c r="A7814">
        <v>7753</v>
      </c>
      <c r="B7814" s="1831">
        <f>'Revenues 9-14'!D262</f>
        <v>0</v>
      </c>
      <c r="D7814" s="2" t="str">
        <f t="shared" si="128"/>
        <v>Error?</v>
      </c>
      <c r="E7814" s="4" t="s">
        <v>1894</v>
      </c>
    </row>
    <row r="7815" spans="1:5" x14ac:dyDescent="0.2">
      <c r="A7815">
        <v>7754</v>
      </c>
      <c r="B7815" s="1831">
        <f>'Revenues 9-14'!F262</f>
        <v>0</v>
      </c>
      <c r="D7815" s="2" t="str">
        <f t="shared" si="128"/>
        <v>Error?</v>
      </c>
      <c r="E7815" s="4" t="s">
        <v>1894</v>
      </c>
    </row>
    <row r="7816" spans="1:5" x14ac:dyDescent="0.2">
      <c r="A7816">
        <v>7755</v>
      </c>
      <c r="B7816" s="1831">
        <f>'Revenues 9-14'!G262</f>
        <v>0</v>
      </c>
      <c r="D7816" s="2" t="str">
        <f t="shared" si="128"/>
        <v>Error?</v>
      </c>
      <c r="E7816" s="4" t="s">
        <v>1894</v>
      </c>
    </row>
    <row r="7817" spans="1:5" x14ac:dyDescent="0.2">
      <c r="A7817">
        <v>7756</v>
      </c>
      <c r="B7817" s="1831">
        <f>'Short-Term Long-Term Debt 24'!C49</f>
        <v>39238451</v>
      </c>
      <c r="D7817" s="2" t="str">
        <f t="shared" si="128"/>
        <v>Error?</v>
      </c>
      <c r="E7817" s="4" t="s">
        <v>1958</v>
      </c>
    </row>
    <row r="7818" spans="1:5" x14ac:dyDescent="0.2">
      <c r="A7818">
        <v>7757</v>
      </c>
      <c r="B7818" s="1831">
        <f>'PCTC-OEPP 27-28'!F172</f>
        <v>2184553</v>
      </c>
      <c r="D7818" s="2" t="str">
        <f t="shared" si="128"/>
        <v>Error?</v>
      </c>
      <c r="E7818" s="4" t="s">
        <v>1972</v>
      </c>
    </row>
    <row r="7819" spans="1:5" x14ac:dyDescent="0.2">
      <c r="A7819">
        <v>7758</v>
      </c>
      <c r="B7819" s="1831">
        <f>'PCTC-OEPP 27-28'!F173</f>
        <v>89190</v>
      </c>
      <c r="D7819" s="2" t="str">
        <f t="shared" si="128"/>
        <v>Error?</v>
      </c>
      <c r="E7819" s="4" t="s">
        <v>1972</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78153476</v>
      </c>
      <c r="D7822" s="4" t="s">
        <v>1989</v>
      </c>
      <c r="E7822" s="4" t="s">
        <v>1990</v>
      </c>
    </row>
    <row r="7823" spans="1:5" x14ac:dyDescent="0.2">
      <c r="A7823" s="1">
        <v>7762</v>
      </c>
      <c r="B7823" s="1831">
        <f>'PCTC-OEPP 27-28'!F30</f>
        <v>0</v>
      </c>
      <c r="D7823" s="4" t="s">
        <v>1989</v>
      </c>
      <c r="E7823" s="4" t="s">
        <v>1990</v>
      </c>
    </row>
    <row r="7824" spans="1:5" x14ac:dyDescent="0.2">
      <c r="A7824" s="1">
        <v>7763</v>
      </c>
      <c r="B7824" s="1831">
        <f>'PCTC-OEPP 27-28'!F31</f>
        <v>0</v>
      </c>
      <c r="D7824" s="4" t="s">
        <v>1989</v>
      </c>
      <c r="E7824" s="4" t="s">
        <v>1990</v>
      </c>
    </row>
    <row r="7825" spans="1:5" x14ac:dyDescent="0.2">
      <c r="A7825" s="1">
        <v>7764</v>
      </c>
      <c r="B7825" s="1831">
        <f>'PCTC-OEPP 27-28'!F32</f>
        <v>0</v>
      </c>
      <c r="D7825" s="2" t="str">
        <f t="shared" ref="D7825:D7887" si="129">IF(ISBLANK(B7825),"OK",IF(A7825-B7825=0,"OK","Error?"))</f>
        <v>Error?</v>
      </c>
      <c r="E7825" s="4" t="s">
        <v>1990</v>
      </c>
    </row>
    <row r="7826" spans="1:5" x14ac:dyDescent="0.2">
      <c r="A7826">
        <v>7765</v>
      </c>
      <c r="B7826" s="1831">
        <f>'PCTC-OEPP 27-28'!F34</f>
        <v>1061938</v>
      </c>
      <c r="D7826" s="2" t="str">
        <f t="shared" si="129"/>
        <v>Error?</v>
      </c>
      <c r="E7826" s="4" t="s">
        <v>1990</v>
      </c>
    </row>
    <row r="7827" spans="1:5" x14ac:dyDescent="0.2">
      <c r="A7827">
        <v>7766</v>
      </c>
      <c r="B7827" s="1831">
        <f>'PCTC-OEPP 27-28'!F35</f>
        <v>0</v>
      </c>
      <c r="D7827" s="2" t="str">
        <f t="shared" si="129"/>
        <v>Error?</v>
      </c>
      <c r="E7827" s="4" t="s">
        <v>1990</v>
      </c>
    </row>
    <row r="7828" spans="1:5" x14ac:dyDescent="0.2">
      <c r="A7828">
        <v>7767</v>
      </c>
      <c r="B7828" s="1831">
        <f>'PCTC-OEPP 27-28'!F36</f>
        <v>0</v>
      </c>
      <c r="D7828" s="2" t="str">
        <f t="shared" si="129"/>
        <v>Error?</v>
      </c>
      <c r="E7828" s="4" t="s">
        <v>1990</v>
      </c>
    </row>
    <row r="7829" spans="1:5" x14ac:dyDescent="0.2">
      <c r="A7829">
        <v>7768</v>
      </c>
      <c r="B7829" s="1831">
        <f>'PCTC-OEPP 27-28'!F37</f>
        <v>0</v>
      </c>
      <c r="D7829" s="2" t="str">
        <f t="shared" si="129"/>
        <v>Error?</v>
      </c>
      <c r="E7829" s="4" t="s">
        <v>1990</v>
      </c>
    </row>
    <row r="7830" spans="1:5" x14ac:dyDescent="0.2">
      <c r="A7830">
        <v>7769</v>
      </c>
      <c r="B7830" s="1831">
        <f>'PCTC-OEPP 27-28'!F38</f>
        <v>42270</v>
      </c>
      <c r="D7830" s="2" t="str">
        <f t="shared" si="129"/>
        <v>Error?</v>
      </c>
      <c r="E7830" s="4" t="s">
        <v>1990</v>
      </c>
    </row>
    <row r="7831" spans="1:5" x14ac:dyDescent="0.2">
      <c r="A7831">
        <v>7770</v>
      </c>
      <c r="B7831" s="1831">
        <f>'PCTC-OEPP 27-28'!F52</f>
        <v>1588368</v>
      </c>
      <c r="D7831" s="2" t="str">
        <f t="shared" si="129"/>
        <v>Error?</v>
      </c>
      <c r="E7831" s="4" t="s">
        <v>1990</v>
      </c>
    </row>
    <row r="7832" spans="1:5" x14ac:dyDescent="0.2">
      <c r="A7832">
        <v>7771</v>
      </c>
      <c r="B7832" s="1831">
        <f>'PCTC-OEPP 27-28'!F56</f>
        <v>0</v>
      </c>
      <c r="D7832" s="2" t="str">
        <f t="shared" si="129"/>
        <v>Error?</v>
      </c>
      <c r="E7832" s="4" t="s">
        <v>1990</v>
      </c>
    </row>
    <row r="7833" spans="1:5" x14ac:dyDescent="0.2">
      <c r="A7833">
        <v>7772</v>
      </c>
      <c r="B7833" s="1831">
        <f>'PCTC-OEPP 27-28'!F62</f>
        <v>0</v>
      </c>
      <c r="D7833" s="2" t="str">
        <f t="shared" si="129"/>
        <v>Error?</v>
      </c>
      <c r="E7833" s="4" t="s">
        <v>1990</v>
      </c>
    </row>
    <row r="7834" spans="1:5" x14ac:dyDescent="0.2">
      <c r="A7834">
        <v>7773</v>
      </c>
      <c r="B7834" s="1831">
        <f>'PCTC-OEPP 27-28'!F77</f>
        <v>9815462</v>
      </c>
      <c r="D7834" s="2" t="str">
        <f t="shared" si="129"/>
        <v>Error?</v>
      </c>
      <c r="E7834" s="4" t="s">
        <v>1990</v>
      </c>
    </row>
    <row r="7835" spans="1:5" x14ac:dyDescent="0.2">
      <c r="A7835">
        <v>7774</v>
      </c>
      <c r="B7835" s="1831">
        <f>'PCTC-OEPP 27-28'!F78</f>
        <v>68338014</v>
      </c>
      <c r="D7835" s="2" t="str">
        <f t="shared" si="129"/>
        <v>Error?</v>
      </c>
      <c r="E7835" s="4" t="s">
        <v>1990</v>
      </c>
    </row>
    <row r="7836" spans="1:5" x14ac:dyDescent="0.2">
      <c r="A7836" s="126">
        <v>7775</v>
      </c>
      <c r="B7836" s="1831"/>
      <c r="D7836" s="2" t="str">
        <f t="shared" si="129"/>
        <v>OK</v>
      </c>
      <c r="E7836" s="4" t="s">
        <v>1992</v>
      </c>
    </row>
    <row r="7837" spans="1:5" x14ac:dyDescent="0.2">
      <c r="A7837">
        <v>7776</v>
      </c>
      <c r="B7837" s="1831">
        <f>'PCTC-OEPP 27-28'!F80</f>
        <v>14808.124553078074</v>
      </c>
      <c r="D7837" s="2" t="str">
        <f t="shared" si="129"/>
        <v>Error?</v>
      </c>
      <c r="E7837" s="4" t="s">
        <v>1990</v>
      </c>
    </row>
    <row r="7838" spans="1:5" x14ac:dyDescent="0.2">
      <c r="A7838">
        <v>7777</v>
      </c>
      <c r="B7838" s="1831">
        <f>'PCTC-OEPP 27-28'!F96</f>
        <v>20583</v>
      </c>
      <c r="D7838" s="2" t="str">
        <f t="shared" si="129"/>
        <v>Error?</v>
      </c>
      <c r="E7838" s="4" t="s">
        <v>1990</v>
      </c>
    </row>
    <row r="7839" spans="1:5" x14ac:dyDescent="0.2">
      <c r="A7839">
        <v>7778</v>
      </c>
      <c r="B7839" s="1831">
        <f>'PCTC-OEPP 27-28'!F102</f>
        <v>11255</v>
      </c>
      <c r="D7839" s="2" t="str">
        <f t="shared" si="129"/>
        <v>Error?</v>
      </c>
      <c r="E7839" s="4" t="s">
        <v>1990</v>
      </c>
    </row>
    <row r="7840" spans="1:5" x14ac:dyDescent="0.2">
      <c r="A7840">
        <v>7779</v>
      </c>
      <c r="B7840" s="1831">
        <f>'PCTC-OEPP 27-28'!F103</f>
        <v>0</v>
      </c>
      <c r="D7840" s="2" t="str">
        <f t="shared" si="129"/>
        <v>Error?</v>
      </c>
      <c r="E7840" s="4" t="s">
        <v>1990</v>
      </c>
    </row>
    <row r="7841" spans="1:5" x14ac:dyDescent="0.2">
      <c r="A7841">
        <v>7780</v>
      </c>
      <c r="B7841" s="1831">
        <f>'PCTC-OEPP 27-28'!F104</f>
        <v>0</v>
      </c>
      <c r="D7841" s="2" t="str">
        <f t="shared" si="129"/>
        <v>Error?</v>
      </c>
      <c r="E7841" s="4" t="s">
        <v>1990</v>
      </c>
    </row>
    <row r="7842" spans="1:5" x14ac:dyDescent="0.2">
      <c r="A7842">
        <v>7781</v>
      </c>
      <c r="B7842" s="1831">
        <f>'PCTC-OEPP 27-28'!F106</f>
        <v>605925</v>
      </c>
      <c r="D7842" s="2" t="str">
        <f t="shared" si="129"/>
        <v>Error?</v>
      </c>
      <c r="E7842" s="4" t="s">
        <v>1990</v>
      </c>
    </row>
    <row r="7843" spans="1:5" x14ac:dyDescent="0.2">
      <c r="A7843">
        <v>7782</v>
      </c>
      <c r="B7843" s="1831">
        <f>'PCTC-OEPP 27-28'!F107</f>
        <v>0</v>
      </c>
      <c r="D7843" s="2" t="str">
        <f t="shared" si="129"/>
        <v>Error?</v>
      </c>
      <c r="E7843" s="4" t="s">
        <v>1990</v>
      </c>
    </row>
    <row r="7844" spans="1:5" x14ac:dyDescent="0.2">
      <c r="A7844">
        <v>7783</v>
      </c>
      <c r="B7844" s="1831">
        <f>'PCTC-OEPP 27-28'!F108</f>
        <v>0</v>
      </c>
      <c r="D7844" s="2" t="str">
        <f t="shared" si="129"/>
        <v>Error?</v>
      </c>
      <c r="E7844" s="4" t="s">
        <v>1990</v>
      </c>
    </row>
    <row r="7845" spans="1:5" x14ac:dyDescent="0.2">
      <c r="A7845">
        <v>7784</v>
      </c>
      <c r="B7845" s="1831">
        <f>'PCTC-OEPP 27-28'!F110</f>
        <v>0</v>
      </c>
      <c r="D7845" s="2" t="str">
        <f t="shared" si="129"/>
        <v>Error?</v>
      </c>
      <c r="E7845" s="4" t="s">
        <v>1990</v>
      </c>
    </row>
    <row r="7846" spans="1:5" x14ac:dyDescent="0.2">
      <c r="A7846">
        <v>7785</v>
      </c>
      <c r="B7846" s="1831">
        <f>'PCTC-OEPP 27-28'!F111</f>
        <v>22694</v>
      </c>
      <c r="D7846" s="2" t="str">
        <f t="shared" si="129"/>
        <v>Error?</v>
      </c>
      <c r="E7846" s="4" t="s">
        <v>1990</v>
      </c>
    </row>
    <row r="7847" spans="1:5" x14ac:dyDescent="0.2">
      <c r="A7847">
        <v>7786</v>
      </c>
      <c r="B7847" s="1831">
        <f>'PCTC-OEPP 27-28'!F112</f>
        <v>2343487</v>
      </c>
      <c r="D7847" s="2" t="str">
        <f t="shared" si="129"/>
        <v>Error?</v>
      </c>
      <c r="E7847" s="4" t="s">
        <v>1990</v>
      </c>
    </row>
    <row r="7848" spans="1:5" x14ac:dyDescent="0.2">
      <c r="A7848">
        <v>7787</v>
      </c>
      <c r="B7848" s="1831">
        <f>'PCTC-OEPP 27-28'!F114</f>
        <v>0</v>
      </c>
      <c r="D7848" s="2" t="str">
        <f t="shared" si="129"/>
        <v>Error?</v>
      </c>
      <c r="E7848" s="4" t="s">
        <v>1990</v>
      </c>
    </row>
    <row r="7849" spans="1:5" x14ac:dyDescent="0.2">
      <c r="A7849">
        <v>7788</v>
      </c>
      <c r="B7849" s="1831">
        <f>'PCTC-OEPP 27-28'!F115</f>
        <v>0</v>
      </c>
      <c r="D7849" s="2" t="str">
        <f t="shared" si="129"/>
        <v>Error?</v>
      </c>
      <c r="E7849" s="4" t="s">
        <v>1990</v>
      </c>
    </row>
    <row r="7850" spans="1:5" x14ac:dyDescent="0.2">
      <c r="A7850">
        <v>7789</v>
      </c>
      <c r="B7850" s="1831">
        <f>'PCTC-OEPP 27-28'!F116</f>
        <v>0</v>
      </c>
      <c r="D7850" s="2" t="str">
        <f t="shared" si="129"/>
        <v>Error?</v>
      </c>
      <c r="E7850" s="4" t="s">
        <v>1990</v>
      </c>
    </row>
    <row r="7851" spans="1:5" x14ac:dyDescent="0.2">
      <c r="A7851">
        <v>7790</v>
      </c>
      <c r="B7851" s="1831">
        <f>'PCTC-OEPP 27-28'!F117</f>
        <v>0</v>
      </c>
      <c r="D7851" s="2" t="str">
        <f t="shared" si="129"/>
        <v>Error?</v>
      </c>
      <c r="E7851" s="4" t="s">
        <v>1990</v>
      </c>
    </row>
    <row r="7852" spans="1:5" x14ac:dyDescent="0.2">
      <c r="A7852">
        <v>7791</v>
      </c>
      <c r="B7852" s="1831">
        <f>'PCTC-OEPP 27-28'!F118</f>
        <v>0</v>
      </c>
      <c r="D7852" s="2" t="str">
        <f t="shared" si="129"/>
        <v>Error?</v>
      </c>
      <c r="E7852" s="4" t="s">
        <v>1990</v>
      </c>
    </row>
    <row r="7853" spans="1:5" x14ac:dyDescent="0.2">
      <c r="A7853">
        <v>7792</v>
      </c>
      <c r="B7853" s="1831">
        <f>'PCTC-OEPP 27-28'!F119</f>
        <v>0</v>
      </c>
      <c r="D7853" s="2" t="str">
        <f t="shared" si="129"/>
        <v>Error?</v>
      </c>
      <c r="E7853" s="4" t="s">
        <v>1990</v>
      </c>
    </row>
    <row r="7854" spans="1:5" x14ac:dyDescent="0.2">
      <c r="A7854">
        <v>7793</v>
      </c>
      <c r="B7854" s="1831">
        <f>'PCTC-OEPP 27-28'!F120</f>
        <v>0</v>
      </c>
      <c r="D7854" s="2" t="str">
        <f t="shared" si="129"/>
        <v>Error?</v>
      </c>
      <c r="E7854" s="4" t="s">
        <v>1990</v>
      </c>
    </row>
    <row r="7855" spans="1:5" x14ac:dyDescent="0.2">
      <c r="A7855">
        <v>7794</v>
      </c>
      <c r="B7855" s="1831">
        <f>'PCTC-OEPP 27-28'!F122</f>
        <v>600075</v>
      </c>
      <c r="D7855" s="2" t="str">
        <f t="shared" si="129"/>
        <v>Error?</v>
      </c>
      <c r="E7855" s="4" t="s">
        <v>1990</v>
      </c>
    </row>
    <row r="7856" spans="1:5" x14ac:dyDescent="0.2">
      <c r="A7856">
        <v>7795</v>
      </c>
      <c r="B7856" s="1831">
        <f>'PCTC-OEPP 27-28'!F124</f>
        <v>132105</v>
      </c>
      <c r="D7856" s="2" t="str">
        <f t="shared" si="129"/>
        <v>Error?</v>
      </c>
      <c r="E7856" s="4" t="s">
        <v>1990</v>
      </c>
    </row>
    <row r="7857" spans="1:5" x14ac:dyDescent="0.2">
      <c r="A7857">
        <v>7796</v>
      </c>
      <c r="B7857" s="1831">
        <f>'PCTC-OEPP 27-28'!F125</f>
        <v>0</v>
      </c>
      <c r="D7857" s="2" t="str">
        <f t="shared" si="129"/>
        <v>Error?</v>
      </c>
      <c r="E7857" s="4" t="s">
        <v>1990</v>
      </c>
    </row>
    <row r="7858" spans="1:5" x14ac:dyDescent="0.2">
      <c r="A7858">
        <v>7797</v>
      </c>
      <c r="B7858" s="1831">
        <f>'PCTC-OEPP 27-28'!F126</f>
        <v>2895857</v>
      </c>
      <c r="D7858" s="2" t="str">
        <f t="shared" si="129"/>
        <v>Error?</v>
      </c>
      <c r="E7858" s="4" t="s">
        <v>1990</v>
      </c>
    </row>
    <row r="7859" spans="1:5" x14ac:dyDescent="0.2">
      <c r="A7859">
        <v>7798</v>
      </c>
      <c r="B7859" s="1831">
        <f>'PCTC-OEPP 27-28'!F127</f>
        <v>3883199</v>
      </c>
      <c r="D7859" s="2" t="str">
        <f t="shared" si="129"/>
        <v>Error?</v>
      </c>
      <c r="E7859" s="4" t="s">
        <v>1990</v>
      </c>
    </row>
    <row r="7860" spans="1:5" x14ac:dyDescent="0.2">
      <c r="A7860">
        <v>7799</v>
      </c>
      <c r="B7860" s="1831">
        <f>'PCTC-OEPP 27-28'!F128</f>
        <v>193991</v>
      </c>
      <c r="D7860" s="2" t="str">
        <f t="shared" si="129"/>
        <v>Error?</v>
      </c>
      <c r="E7860" s="4" t="s">
        <v>1990</v>
      </c>
    </row>
    <row r="7861" spans="1:5" x14ac:dyDescent="0.2">
      <c r="A7861">
        <v>7800</v>
      </c>
      <c r="B7861" s="1831">
        <f>'PCTC-OEPP 27-28'!F129</f>
        <v>1548294</v>
      </c>
      <c r="D7861" s="2" t="str">
        <f t="shared" si="129"/>
        <v>Error?</v>
      </c>
      <c r="E7861" s="4" t="s">
        <v>1990</v>
      </c>
    </row>
    <row r="7862" spans="1:5" x14ac:dyDescent="0.2">
      <c r="A7862">
        <v>7801</v>
      </c>
      <c r="B7862" s="1831">
        <f>'PCTC-OEPP 27-28'!F130</f>
        <v>0</v>
      </c>
      <c r="D7862" s="2" t="str">
        <f t="shared" si="129"/>
        <v>Error?</v>
      </c>
      <c r="E7862" s="4" t="s">
        <v>1990</v>
      </c>
    </row>
    <row r="7863" spans="1:5" x14ac:dyDescent="0.2">
      <c r="A7863">
        <v>7802</v>
      </c>
      <c r="B7863" s="1831">
        <f>'PCTC-OEPP 27-28'!F131</f>
        <v>0</v>
      </c>
      <c r="D7863" s="2" t="str">
        <f t="shared" si="129"/>
        <v>Error?</v>
      </c>
      <c r="E7863" s="4" t="s">
        <v>1990</v>
      </c>
    </row>
    <row r="7864" spans="1:5" x14ac:dyDescent="0.2">
      <c r="A7864">
        <v>7803</v>
      </c>
      <c r="B7864" s="1831">
        <f>'PCTC-OEPP 27-28'!F132</f>
        <v>0</v>
      </c>
      <c r="D7864" s="2" t="str">
        <f t="shared" si="129"/>
        <v>Error?</v>
      </c>
      <c r="E7864" s="4" t="s">
        <v>1990</v>
      </c>
    </row>
    <row r="7865" spans="1:5" x14ac:dyDescent="0.2">
      <c r="A7865">
        <v>7804</v>
      </c>
      <c r="B7865" s="1831">
        <f>'PCTC-OEPP 27-28'!F133</f>
        <v>0</v>
      </c>
      <c r="D7865" s="2" t="str">
        <f t="shared" si="129"/>
        <v>Error?</v>
      </c>
      <c r="E7865" s="4" t="s">
        <v>1990</v>
      </c>
    </row>
    <row r="7866" spans="1:5" x14ac:dyDescent="0.2">
      <c r="A7866">
        <v>7805</v>
      </c>
      <c r="B7866" s="1831">
        <f>'PCTC-OEPP 27-28'!F158</f>
        <v>522928</v>
      </c>
      <c r="D7866" s="2" t="str">
        <f t="shared" si="129"/>
        <v>Error?</v>
      </c>
      <c r="E7866" s="4" t="s">
        <v>1990</v>
      </c>
    </row>
    <row r="7867" spans="1:5" x14ac:dyDescent="0.2">
      <c r="A7867">
        <v>7806</v>
      </c>
      <c r="B7867" s="1831">
        <f>'PCTC-OEPP 27-28'!F160</f>
        <v>0</v>
      </c>
      <c r="D7867" s="2" t="str">
        <f t="shared" si="129"/>
        <v>Error?</v>
      </c>
      <c r="E7867" s="4" t="s">
        <v>1990</v>
      </c>
    </row>
    <row r="7868" spans="1:5" x14ac:dyDescent="0.2">
      <c r="A7868">
        <v>7807</v>
      </c>
      <c r="B7868" s="1831">
        <f>'PCTC-OEPP 27-28'!F161</f>
        <v>1650</v>
      </c>
      <c r="D7868" s="2" t="str">
        <f t="shared" si="129"/>
        <v>Error?</v>
      </c>
      <c r="E7868" s="4" t="s">
        <v>1990</v>
      </c>
    </row>
    <row r="7869" spans="1:5" x14ac:dyDescent="0.2">
      <c r="A7869">
        <v>7808</v>
      </c>
      <c r="B7869" s="1831">
        <f>'PCTC-OEPP 27-28'!F162</f>
        <v>17986</v>
      </c>
      <c r="D7869" s="2" t="str">
        <f t="shared" si="129"/>
        <v>Error?</v>
      </c>
      <c r="E7869" s="4" t="s">
        <v>1990</v>
      </c>
    </row>
    <row r="7870" spans="1:5" x14ac:dyDescent="0.2">
      <c r="A7870">
        <v>7809</v>
      </c>
      <c r="B7870" s="1831">
        <f>'PCTC-OEPP 27-28'!F163</f>
        <v>0</v>
      </c>
      <c r="D7870" s="2" t="str">
        <f t="shared" si="129"/>
        <v>Error?</v>
      </c>
      <c r="E7870" s="4" t="s">
        <v>1990</v>
      </c>
    </row>
    <row r="7871" spans="1:5" x14ac:dyDescent="0.2">
      <c r="A7871">
        <v>7810</v>
      </c>
      <c r="B7871" s="1831">
        <f>'PCTC-OEPP 27-28'!F164</f>
        <v>0</v>
      </c>
      <c r="D7871" s="2" t="str">
        <f t="shared" si="129"/>
        <v>Error?</v>
      </c>
      <c r="E7871" s="4" t="s">
        <v>1990</v>
      </c>
    </row>
    <row r="7872" spans="1:5" x14ac:dyDescent="0.2">
      <c r="A7872">
        <v>7811</v>
      </c>
      <c r="B7872" s="1831">
        <f>'PCTC-OEPP 27-28'!F165</f>
        <v>533771</v>
      </c>
      <c r="D7872" s="2" t="str">
        <f t="shared" si="129"/>
        <v>Error?</v>
      </c>
      <c r="E7872" s="4" t="s">
        <v>1990</v>
      </c>
    </row>
    <row r="7873" spans="1:5" x14ac:dyDescent="0.2">
      <c r="A7873">
        <v>7812</v>
      </c>
      <c r="B7873" s="1831">
        <f>'PCTC-OEPP 27-28'!F166</f>
        <v>0</v>
      </c>
      <c r="D7873" s="2" t="str">
        <f t="shared" si="129"/>
        <v>Error?</v>
      </c>
      <c r="E7873" s="4" t="s">
        <v>1990</v>
      </c>
    </row>
    <row r="7874" spans="1:5" x14ac:dyDescent="0.2">
      <c r="A7874">
        <v>7813</v>
      </c>
      <c r="B7874" s="1831">
        <f>'PCTC-OEPP 27-28'!F169</f>
        <v>251584</v>
      </c>
      <c r="D7874" s="2" t="str">
        <f t="shared" si="129"/>
        <v>Error?</v>
      </c>
      <c r="E7874" s="4" t="s">
        <v>1990</v>
      </c>
    </row>
    <row r="7875" spans="1:5" x14ac:dyDescent="0.2">
      <c r="A7875">
        <v>7814</v>
      </c>
      <c r="B7875" s="1831">
        <f>'PCTC-OEPP 27-28'!F170</f>
        <v>154187</v>
      </c>
      <c r="D7875" s="2" t="str">
        <f t="shared" si="129"/>
        <v>Error?</v>
      </c>
      <c r="E7875" s="4" t="s">
        <v>1990</v>
      </c>
    </row>
    <row r="7876" spans="1:5" x14ac:dyDescent="0.2">
      <c r="A7876">
        <v>7815</v>
      </c>
      <c r="B7876" s="1831">
        <f>'PCTC-OEPP 27-28'!F171</f>
        <v>104428</v>
      </c>
      <c r="D7876" s="2" t="str">
        <f t="shared" si="129"/>
        <v>Error?</v>
      </c>
      <c r="E7876" s="4" t="s">
        <v>1990</v>
      </c>
    </row>
    <row r="7877" spans="1:5" x14ac:dyDescent="0.2">
      <c r="A7877">
        <v>7816</v>
      </c>
      <c r="B7877" s="1831">
        <f>'PCTC-OEPP 27-28'!F175</f>
        <v>16335555</v>
      </c>
      <c r="D7877" s="2" t="str">
        <f t="shared" si="129"/>
        <v>Error?</v>
      </c>
      <c r="E7877" s="4" t="s">
        <v>1990</v>
      </c>
    </row>
    <row r="7878" spans="1:5" x14ac:dyDescent="0.2">
      <c r="A7878">
        <v>7817</v>
      </c>
      <c r="B7878" s="1831">
        <f>'PCTC-OEPP 27-28'!F176</f>
        <v>52002459</v>
      </c>
      <c r="D7878" s="2" t="str">
        <f t="shared" si="129"/>
        <v>Error?</v>
      </c>
      <c r="E7878" s="4" t="s">
        <v>1990</v>
      </c>
    </row>
    <row r="7879" spans="1:5" x14ac:dyDescent="0.2">
      <c r="A7879">
        <v>7818</v>
      </c>
      <c r="B7879" s="1831">
        <f>'PCTC-OEPP 27-28'!F178</f>
        <v>55816604.5</v>
      </c>
      <c r="D7879" s="2" t="str">
        <f t="shared" si="129"/>
        <v>Error?</v>
      </c>
      <c r="E7879" s="4" t="s">
        <v>1990</v>
      </c>
    </row>
    <row r="7880" spans="1:5" x14ac:dyDescent="0.2">
      <c r="A7880">
        <v>7819</v>
      </c>
      <c r="B7880" s="1831">
        <f>'PCTC-OEPP 27-28'!F180</f>
        <v>12094.867602764958</v>
      </c>
      <c r="D7880" s="2" t="str">
        <f t="shared" si="129"/>
        <v>Error?</v>
      </c>
      <c r="E7880" s="4" t="s">
        <v>1990</v>
      </c>
    </row>
    <row r="7881" spans="1:5" x14ac:dyDescent="0.2">
      <c r="A7881">
        <v>7820</v>
      </c>
      <c r="B7881" s="135">
        <f>'PCTC-OEPP 27-28'!F29</f>
        <v>0</v>
      </c>
      <c r="D7881" s="2" t="str">
        <f t="shared" si="129"/>
        <v>Error?</v>
      </c>
      <c r="E7881" s="4" t="s">
        <v>1990</v>
      </c>
    </row>
    <row r="7882" spans="1:5" x14ac:dyDescent="0.2">
      <c r="A7882">
        <v>7821</v>
      </c>
      <c r="B7882" s="135">
        <f>'Revenues 9-14'!H117</f>
        <v>0</v>
      </c>
      <c r="D7882" s="2" t="str">
        <f t="shared" si="129"/>
        <v>Error?</v>
      </c>
      <c r="E7882" s="4" t="s">
        <v>1991</v>
      </c>
    </row>
    <row r="7883" spans="1:5" x14ac:dyDescent="0.2">
      <c r="A7883">
        <v>7822</v>
      </c>
      <c r="B7883" s="135">
        <f>'Revenues 9-14'!H118</f>
        <v>0</v>
      </c>
      <c r="D7883" s="2" t="str">
        <f t="shared" si="129"/>
        <v>Error?</v>
      </c>
      <c r="E7883" s="4" t="s">
        <v>1991</v>
      </c>
    </row>
    <row r="7884" spans="1:5" x14ac:dyDescent="0.2">
      <c r="A7884">
        <v>7823</v>
      </c>
      <c r="B7884" s="135">
        <f>'Revenues 9-14'!H119</f>
        <v>0</v>
      </c>
      <c r="D7884" s="2" t="str">
        <f t="shared" si="129"/>
        <v>Error?</v>
      </c>
      <c r="E7884" s="4" t="s">
        <v>1991</v>
      </c>
    </row>
    <row r="7885" spans="1:5" x14ac:dyDescent="0.2">
      <c r="A7885">
        <v>7824</v>
      </c>
      <c r="B7885" s="135">
        <f>'Revenues 9-14'!H121</f>
        <v>0</v>
      </c>
      <c r="D7885" s="2" t="str">
        <f t="shared" si="129"/>
        <v>Error?</v>
      </c>
      <c r="E7885" s="4" t="s">
        <v>1991</v>
      </c>
    </row>
    <row r="7886" spans="1:5" x14ac:dyDescent="0.2">
      <c r="A7886">
        <v>7825</v>
      </c>
      <c r="B7886" s="135">
        <f>'PCTC-OEPP 27-28'!F75</f>
        <v>0</v>
      </c>
      <c r="D7886" s="2" t="str">
        <f t="shared" si="129"/>
        <v>Error?</v>
      </c>
      <c r="E7886" s="4" t="s">
        <v>1990</v>
      </c>
    </row>
    <row r="7887" spans="1:5" x14ac:dyDescent="0.2">
      <c r="A7887">
        <v>7826</v>
      </c>
      <c r="B7887" s="135">
        <f>'PCTC-OEPP 27-28'!F76</f>
        <v>0</v>
      </c>
      <c r="D7887" s="2" t="str">
        <f t="shared" si="129"/>
        <v>Error?</v>
      </c>
      <c r="E7887" s="4" t="s">
        <v>1990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25.7109375"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29" t="s">
        <v>1181</v>
      </c>
      <c r="B2" s="2629"/>
      <c r="C2" s="2629"/>
      <c r="D2" s="2629"/>
      <c r="E2" s="2629"/>
      <c r="F2" s="2629"/>
      <c r="G2" s="2629"/>
      <c r="H2" s="2629"/>
      <c r="I2" s="2629"/>
      <c r="J2" s="2629"/>
      <c r="K2" s="2629"/>
      <c r="L2" s="2629"/>
    </row>
    <row r="3" spans="1:29" ht="13.5" customHeight="1" x14ac:dyDescent="0.2">
      <c r="A3" s="2615" t="s">
        <v>1180</v>
      </c>
      <c r="B3" s="2615"/>
      <c r="C3" s="2615"/>
      <c r="D3" s="2615"/>
      <c r="E3" s="2615"/>
      <c r="F3" s="2615"/>
      <c r="G3" s="2615"/>
      <c r="H3" s="2615"/>
      <c r="I3" s="2615"/>
      <c r="J3" s="2615"/>
      <c r="K3" s="2615"/>
      <c r="L3" s="2615"/>
    </row>
    <row r="4" spans="1:29" ht="13.5" customHeight="1" x14ac:dyDescent="0.2">
      <c r="A4" s="2646" t="str">
        <f>"Year Ending June 30, "&amp;'AFR20'!E2</f>
        <v>Year Ending June 30, 2020</v>
      </c>
      <c r="B4" s="2647"/>
      <c r="C4" s="2647"/>
      <c r="D4" s="2647"/>
      <c r="E4" s="2647"/>
      <c r="F4" s="2647"/>
      <c r="G4" s="2647"/>
      <c r="H4" s="2647"/>
      <c r="I4" s="2647"/>
      <c r="J4" s="2647"/>
      <c r="K4" s="2647"/>
      <c r="L4" s="264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606" t="str">
        <f>COVER!A17</f>
        <v xml:space="preserve">   Danville CCSD 118</v>
      </c>
      <c r="B7" s="2607"/>
      <c r="C7" s="2607"/>
      <c r="D7" s="2608"/>
      <c r="E7" s="2648">
        <f>COVER!A13</f>
        <v>54092118024</v>
      </c>
      <c r="F7" s="2649"/>
      <c r="G7" s="2616" t="str">
        <f>COVER!T23</f>
        <v>066-004450</v>
      </c>
      <c r="H7" s="2617"/>
      <c r="I7" s="2617"/>
      <c r="J7" s="2617"/>
      <c r="K7" s="2617"/>
      <c r="L7" s="261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619"/>
      <c r="B9" s="2620"/>
      <c r="C9" s="2620"/>
      <c r="D9" s="2620"/>
      <c r="E9" s="2620"/>
      <c r="F9" s="2621"/>
      <c r="G9" s="2622" t="str">
        <f>COVER!T13</f>
        <v>CliftonLarsonAllen LLP</v>
      </c>
      <c r="H9" s="2623"/>
      <c r="I9" s="2623"/>
      <c r="J9" s="2623"/>
      <c r="K9" s="2623"/>
      <c r="L9" s="2624"/>
    </row>
    <row r="10" spans="1:29" ht="13.5" customHeight="1" x14ac:dyDescent="0.2">
      <c r="A10" s="2606" t="str">
        <f>COVER!A38</f>
        <v>Dr. Alicia Geddis</v>
      </c>
      <c r="B10" s="2607"/>
      <c r="C10" s="2607"/>
      <c r="D10" s="2607"/>
      <c r="E10" s="2607"/>
      <c r="F10" s="2608"/>
      <c r="G10" s="2622" t="str">
        <f>COVER!T17</f>
        <v>2 East Main Street, Suite 120</v>
      </c>
      <c r="H10" s="2635"/>
      <c r="I10" s="2635"/>
      <c r="J10" s="2635"/>
      <c r="K10" s="2635"/>
      <c r="L10" s="2636"/>
    </row>
    <row r="11" spans="1:29" ht="13.5" customHeight="1" x14ac:dyDescent="0.2">
      <c r="A11" s="963" t="s">
        <v>1502</v>
      </c>
      <c r="B11" s="964"/>
      <c r="C11" s="965"/>
      <c r="D11" s="970"/>
      <c r="E11" s="965"/>
      <c r="F11" s="969"/>
      <c r="G11" s="2622" t="str">
        <f>COVER!T19</f>
        <v>Danville</v>
      </c>
      <c r="H11" s="2635"/>
      <c r="I11" s="2635"/>
      <c r="J11" s="2635"/>
      <c r="K11" s="2635"/>
      <c r="L11" s="2636"/>
    </row>
    <row r="12" spans="1:29" ht="13.5" customHeight="1" x14ac:dyDescent="0.2">
      <c r="A12" s="2640" t="s">
        <v>1501</v>
      </c>
      <c r="B12" s="2641"/>
      <c r="C12" s="2641"/>
      <c r="D12" s="2641"/>
      <c r="E12" s="2641"/>
      <c r="F12" s="2642"/>
      <c r="G12" s="2637"/>
      <c r="H12" s="2638"/>
      <c r="I12" s="2638"/>
      <c r="J12" s="2638"/>
      <c r="K12" s="2638"/>
      <c r="L12" s="2639"/>
    </row>
    <row r="13" spans="1:29" ht="13.5" customHeight="1" x14ac:dyDescent="0.2">
      <c r="A13" s="2622"/>
      <c r="B13" s="2635"/>
      <c r="C13" s="2635"/>
      <c r="D13" s="2635"/>
      <c r="E13" s="2635"/>
      <c r="F13" s="2636"/>
      <c r="G13" s="2630" t="s">
        <v>1503</v>
      </c>
      <c r="H13" s="2631"/>
      <c r="I13" s="2643" t="str">
        <f>COVER!T25</f>
        <v>hope.wheeler@claconnect.com</v>
      </c>
      <c r="J13" s="2644"/>
      <c r="K13" s="2644"/>
      <c r="L13" s="2645"/>
    </row>
    <row r="14" spans="1:29" ht="13.5" customHeight="1" x14ac:dyDescent="0.2">
      <c r="A14" s="2622" t="str">
        <f>COVER!A19</f>
        <v>115 E. Williams</v>
      </c>
      <c r="B14" s="2635"/>
      <c r="C14" s="2635"/>
      <c r="D14" s="2635"/>
      <c r="E14" s="2635"/>
      <c r="F14" s="2636"/>
      <c r="G14" s="974" t="s">
        <v>1175</v>
      </c>
      <c r="H14" s="972"/>
      <c r="I14" s="972"/>
      <c r="J14" s="972"/>
      <c r="K14" s="972"/>
      <c r="L14" s="973"/>
    </row>
    <row r="15" spans="1:29" ht="13.5" customHeight="1" x14ac:dyDescent="0.2">
      <c r="A15" s="2622" t="str">
        <f>COVER!A21</f>
        <v>Danville</v>
      </c>
      <c r="B15" s="2635"/>
      <c r="C15" s="2635"/>
      <c r="D15" s="2635"/>
      <c r="E15" s="2635"/>
      <c r="F15" s="2636"/>
      <c r="G15" s="2632" t="str">
        <f>COVER!T15</f>
        <v>Hope Wheeler</v>
      </c>
      <c r="H15" s="2633"/>
      <c r="I15" s="2633"/>
      <c r="J15" s="2633"/>
      <c r="K15" s="2633"/>
      <c r="L15" s="2634"/>
    </row>
    <row r="16" spans="1:29" ht="12.2" customHeight="1" x14ac:dyDescent="0.2">
      <c r="A16" s="2612">
        <f>COVER!A25</f>
        <v>61832</v>
      </c>
      <c r="B16" s="2613"/>
      <c r="C16" s="2613"/>
      <c r="D16" s="2613"/>
      <c r="E16" s="2613"/>
      <c r="F16" s="2614"/>
      <c r="G16" s="2625"/>
      <c r="H16" s="2626"/>
      <c r="I16" s="2626"/>
      <c r="J16" s="2626"/>
      <c r="K16" s="2626"/>
      <c r="L16" s="2627"/>
    </row>
    <row r="17" spans="1:13" ht="12.2" customHeight="1" x14ac:dyDescent="0.2">
      <c r="A17" s="2628"/>
      <c r="B17" s="2613"/>
      <c r="C17" s="2613"/>
      <c r="D17" s="2613"/>
      <c r="E17" s="2613"/>
      <c r="F17" s="2614"/>
      <c r="G17" s="974" t="s">
        <v>1174</v>
      </c>
      <c r="H17" s="972"/>
      <c r="I17" s="972"/>
      <c r="J17" s="972"/>
      <c r="K17" s="976" t="s">
        <v>1173</v>
      </c>
      <c r="L17" s="969"/>
      <c r="M17" s="962"/>
    </row>
    <row r="18" spans="1:13" ht="12.2" customHeight="1" x14ac:dyDescent="0.2">
      <c r="A18" s="2606"/>
      <c r="B18" s="2607"/>
      <c r="C18" s="2607"/>
      <c r="D18" s="2607"/>
      <c r="E18" s="2607"/>
      <c r="F18" s="2608"/>
      <c r="G18" s="2609" t="str">
        <f>COVER!T21</f>
        <v>217-442-1643</v>
      </c>
      <c r="H18" s="2610"/>
      <c r="I18" s="2610"/>
      <c r="J18" s="2610"/>
      <c r="K18" s="2609">
        <f>COVER!X21</f>
        <v>0</v>
      </c>
      <c r="L18" s="261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0"/>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scale="90"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50" t="str">
        <f>'Single Audit Cover'!A7</f>
        <v xml:space="preserve">   Danville CCSD 118</v>
      </c>
      <c r="B1" s="2651"/>
      <c r="C1" s="2651"/>
      <c r="D1" s="2651"/>
    </row>
    <row r="2" spans="1:11" s="991" customFormat="1" ht="12.75" x14ac:dyDescent="0.2">
      <c r="A2" s="2652">
        <f>'Single Audit Cover'!E7</f>
        <v>54092118024</v>
      </c>
      <c r="B2" s="2653"/>
      <c r="C2" s="2653"/>
      <c r="D2" s="2653"/>
    </row>
    <row r="3" spans="1:11" s="991" customFormat="1" ht="12.75" x14ac:dyDescent="0.2">
      <c r="A3" s="2650" t="s">
        <v>1496</v>
      </c>
      <c r="B3" s="2651"/>
      <c r="C3" s="2651"/>
      <c r="D3" s="265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1961</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1802</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differentOddEven="1" alignWithMargins="0">
    <oddHeader>&amp;R&amp;8Page 39a</oddHeader>
    <evenHeader>&amp;R&amp;8Page 39</even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41" sqref="D4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55" t="str">
        <f>'Single Audit Cover'!A7</f>
        <v xml:space="preserve">   Danville CCSD 118</v>
      </c>
      <c r="B1" s="2655"/>
      <c r="C1" s="2655"/>
      <c r="D1" s="2655"/>
      <c r="E1" s="2655"/>
    </row>
    <row r="2" spans="1:5" x14ac:dyDescent="0.2">
      <c r="A2" s="2656">
        <f>'Single Audit Cover'!E7</f>
        <v>54092118024</v>
      </c>
      <c r="B2" s="2656"/>
      <c r="C2" s="2656"/>
      <c r="D2" s="2656"/>
      <c r="E2" s="2656"/>
    </row>
    <row r="3" spans="1:5" ht="4.5" customHeight="1" x14ac:dyDescent="0.2"/>
    <row r="4" spans="1:5" x14ac:dyDescent="0.2">
      <c r="A4" s="2655" t="s">
        <v>1234</v>
      </c>
      <c r="B4" s="2655"/>
      <c r="C4" s="2655"/>
      <c r="D4" s="2655"/>
      <c r="E4" s="2655"/>
    </row>
    <row r="5" spans="1:5" x14ac:dyDescent="0.2">
      <c r="A5" s="2658" t="str">
        <f>'Single Audit Cover'!A4</f>
        <v>Year Ending June 30, 2020</v>
      </c>
      <c r="B5" s="2658"/>
      <c r="C5" s="2658"/>
      <c r="D5" s="2658"/>
      <c r="E5" s="2658"/>
    </row>
    <row r="6" spans="1:5" x14ac:dyDescent="0.2">
      <c r="A6" s="2655" t="s">
        <v>1233</v>
      </c>
      <c r="B6" s="2655"/>
      <c r="C6" s="2655"/>
      <c r="D6" s="2655"/>
      <c r="E6" s="2655"/>
    </row>
    <row r="8" spans="1:5" x14ac:dyDescent="0.2">
      <c r="A8" s="1036" t="s">
        <v>1232</v>
      </c>
    </row>
    <row r="10" spans="1:5" x14ac:dyDescent="0.2">
      <c r="A10" s="1037" t="s">
        <v>1231</v>
      </c>
      <c r="B10" s="1038" t="s">
        <v>1230</v>
      </c>
      <c r="C10" s="1038"/>
      <c r="D10" s="1039">
        <f>SUM('Acct Summary 7-8'!C7:K7)</f>
        <v>10275699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1996</v>
      </c>
      <c r="B14" s="1038"/>
      <c r="C14" s="1038"/>
      <c r="D14" s="1040">
        <f>'ICR Computation 30'!E11</f>
        <v>265669</v>
      </c>
    </row>
    <row r="15" spans="1:5" x14ac:dyDescent="0.2">
      <c r="A15" s="1037"/>
      <c r="B15" s="1038"/>
      <c r="C15" s="1038"/>
    </row>
    <row r="16" spans="1:5" x14ac:dyDescent="0.2">
      <c r="A16" s="1037" t="s">
        <v>1807</v>
      </c>
      <c r="B16" s="1038"/>
      <c r="C16" s="1038"/>
    </row>
    <row r="17" spans="1:4" x14ac:dyDescent="0.2">
      <c r="A17" s="1037" t="s">
        <v>1956</v>
      </c>
      <c r="B17" s="1038" t="s">
        <v>1225</v>
      </c>
      <c r="C17" s="1038"/>
      <c r="D17" s="1040">
        <f>-SUM('Revenues 9-14'!C264:D264,'Revenues 9-14'!F264:G264)</f>
        <v>-154187</v>
      </c>
    </row>
    <row r="19" spans="1:4" ht="13.5" thickBot="1" x14ac:dyDescent="0.25">
      <c r="A19" s="1041" t="s">
        <v>1224</v>
      </c>
      <c r="D19" s="1042">
        <f>SUM(D10:D17)</f>
        <v>10387181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57" t="s">
        <v>2147</v>
      </c>
      <c r="B24" s="2657"/>
      <c r="D24" s="1044">
        <f>-'Revenues 9-14'!E237</f>
        <v>-522928</v>
      </c>
    </row>
    <row r="25" spans="1:4" x14ac:dyDescent="0.2">
      <c r="A25" s="2654"/>
      <c r="B25" s="2654"/>
      <c r="D25" s="1044"/>
    </row>
    <row r="26" spans="1:4" x14ac:dyDescent="0.2">
      <c r="A26" s="2654"/>
      <c r="B26" s="2654"/>
      <c r="D26" s="1044"/>
    </row>
    <row r="27" spans="1:4" x14ac:dyDescent="0.2">
      <c r="A27" s="2654"/>
      <c r="B27" s="2654"/>
      <c r="D27" s="1044"/>
    </row>
    <row r="28" spans="1:4" x14ac:dyDescent="0.2">
      <c r="A28" s="2654"/>
      <c r="B28" s="2654"/>
      <c r="D28" s="1044"/>
    </row>
    <row r="29" spans="1:4" x14ac:dyDescent="0.2">
      <c r="A29" s="2654"/>
      <c r="B29" s="2654"/>
      <c r="D29" s="1044"/>
    </row>
    <row r="30" spans="1:4" x14ac:dyDescent="0.2">
      <c r="A30" s="2654"/>
      <c r="B30" s="2654"/>
      <c r="D30" s="1044"/>
    </row>
    <row r="32" spans="1:4" x14ac:dyDescent="0.2">
      <c r="A32" s="1036" t="s">
        <v>1222</v>
      </c>
      <c r="D32" s="1039">
        <f>SUM(D19:D30)</f>
        <v>9864253</v>
      </c>
    </row>
    <row r="33" spans="1:4" x14ac:dyDescent="0.2">
      <c r="D33" s="1045"/>
    </row>
    <row r="34" spans="1:4" x14ac:dyDescent="0.2">
      <c r="A34" s="295" t="s">
        <v>1221</v>
      </c>
    </row>
    <row r="35" spans="1:4" x14ac:dyDescent="0.2">
      <c r="A35" s="295" t="s">
        <v>1220</v>
      </c>
      <c r="B35" s="1034" t="s">
        <v>1219</v>
      </c>
      <c r="D35" s="1046">
        <f>'SEFA(6)'!F27</f>
        <v>9598584</v>
      </c>
    </row>
    <row r="37" spans="1:4" x14ac:dyDescent="0.2">
      <c r="A37" s="1036" t="s">
        <v>1218</v>
      </c>
    </row>
    <row r="39" spans="1:4" ht="13.35" customHeight="1" x14ac:dyDescent="0.2">
      <c r="A39" s="1043" t="s">
        <v>1217</v>
      </c>
    </row>
    <row r="40" spans="1:4" x14ac:dyDescent="0.2">
      <c r="A40" s="2654" t="s">
        <v>2148</v>
      </c>
      <c r="B40" s="2654"/>
      <c r="D40" s="1044">
        <f>'SEFA(2)'!F12+'SEFA(2)'!F14</f>
        <v>265669</v>
      </c>
    </row>
    <row r="41" spans="1:4" x14ac:dyDescent="0.2">
      <c r="A41" s="2654" t="s">
        <v>1159</v>
      </c>
      <c r="B41" s="2654"/>
      <c r="D41" s="1047" t="s">
        <v>1159</v>
      </c>
    </row>
    <row r="42" spans="1:4" x14ac:dyDescent="0.2">
      <c r="A42" s="2654"/>
      <c r="B42" s="2654"/>
      <c r="D42" s="1047"/>
    </row>
    <row r="43" spans="1:4" x14ac:dyDescent="0.2">
      <c r="A43" s="2654"/>
      <c r="B43" s="2654"/>
      <c r="D43" s="1047"/>
    </row>
    <row r="44" spans="1:4" x14ac:dyDescent="0.2">
      <c r="A44" s="2654"/>
      <c r="B44" s="2654"/>
      <c r="D44" s="1047"/>
    </row>
    <row r="45" spans="1:4" x14ac:dyDescent="0.2">
      <c r="A45" s="2654"/>
      <c r="B45" s="2654"/>
      <c r="D45" s="1047"/>
    </row>
    <row r="47" spans="1:4" x14ac:dyDescent="0.2">
      <c r="B47" s="1048" t="s">
        <v>1216</v>
      </c>
      <c r="C47" s="1048"/>
      <c r="D47" s="1049">
        <f>SUM(D35:D45)</f>
        <v>9864253</v>
      </c>
    </row>
    <row r="49" spans="2:4" x14ac:dyDescent="0.2">
      <c r="B49" s="1048" t="s">
        <v>1215</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157" zoomScaleNormal="157" workbookViewId="0">
      <selection activeCell="I23" sqref="I2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15" t="str">
        <f>'Single Audit Cover'!A7</f>
        <v xml:space="preserve">   Danville CCSD 118</v>
      </c>
      <c r="C1" s="2659"/>
      <c r="D1" s="2659"/>
      <c r="E1" s="2659"/>
      <c r="F1" s="2659"/>
      <c r="G1" s="2659"/>
      <c r="H1" s="2659"/>
      <c r="I1" s="2659"/>
      <c r="J1" s="2659"/>
      <c r="K1" s="2659"/>
      <c r="L1" s="2659"/>
      <c r="M1" s="2659"/>
    </row>
    <row r="2" spans="2:14" ht="15" x14ac:dyDescent="0.2">
      <c r="B2" s="2660">
        <f>'Single Audit Cover'!E7</f>
        <v>54092118024</v>
      </c>
      <c r="C2" s="2660"/>
      <c r="D2" s="2660"/>
      <c r="E2" s="2660"/>
      <c r="F2" s="2660"/>
      <c r="G2" s="2660"/>
      <c r="H2" s="2660"/>
      <c r="I2" s="2660"/>
      <c r="J2" s="2660"/>
      <c r="K2" s="2660"/>
      <c r="L2" s="2660"/>
      <c r="M2" s="2660"/>
      <c r="N2" s="1078"/>
    </row>
    <row r="3" spans="2:14" ht="15" x14ac:dyDescent="0.2">
      <c r="B3" s="2661" t="s">
        <v>1208</v>
      </c>
      <c r="C3" s="2661"/>
      <c r="D3" s="2661"/>
      <c r="E3" s="2661"/>
      <c r="F3" s="2661"/>
      <c r="G3" s="2661"/>
      <c r="H3" s="2661"/>
      <c r="I3" s="2661"/>
      <c r="J3" s="2661"/>
      <c r="K3" s="2661"/>
      <c r="L3" s="2661"/>
      <c r="M3" s="2661"/>
      <c r="N3" s="1078"/>
    </row>
    <row r="4" spans="2:14" ht="15" x14ac:dyDescent="0.2">
      <c r="B4" s="2662" t="str">
        <f>'Single Audit Cover'!A4</f>
        <v>Year Ending June 30, 2020</v>
      </c>
      <c r="C4" s="2662"/>
      <c r="D4" s="2662"/>
      <c r="E4" s="2662"/>
      <c r="F4" s="2662"/>
      <c r="G4" s="2662"/>
      <c r="H4" s="2662"/>
      <c r="I4" s="2662"/>
      <c r="J4" s="2662"/>
      <c r="K4" s="2662"/>
      <c r="L4" s="2662"/>
      <c r="M4" s="2662"/>
      <c r="N4" s="1078"/>
    </row>
    <row r="5" spans="2:14" x14ac:dyDescent="0.2">
      <c r="H5" s="1907"/>
      <c r="J5" s="1907"/>
    </row>
    <row r="6" spans="2:14" x14ac:dyDescent="0.2">
      <c r="B6" s="1079"/>
      <c r="C6" s="1080"/>
      <c r="D6" s="1081" t="s">
        <v>1254</v>
      </c>
      <c r="E6" s="1082" t="s">
        <v>524</v>
      </c>
      <c r="F6" s="1083"/>
      <c r="G6" s="1084" t="s">
        <v>1708</v>
      </c>
      <c r="H6" s="1082"/>
      <c r="I6" s="1082"/>
      <c r="J6" s="1908"/>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1709</v>
      </c>
      <c r="D9" s="1090" t="s">
        <v>1710</v>
      </c>
      <c r="E9" s="1906" t="str">
        <f>"7/1/"&amp;MID('AFR20'!$E$2,3,2)-2&amp;"-6/30/"&amp;MID('AFR20'!$E$2,3,2)-1</f>
        <v>7/1/18-6/30/19</v>
      </c>
      <c r="F9" s="1906" t="str">
        <f>"7/1/"&amp;MID('AFR20'!$E$2,3,2)-1&amp;"-6/30/"&amp;MID('AFR20'!$E$2,3,2)</f>
        <v>7/1/19-6/30/20</v>
      </c>
      <c r="G9" s="1906" t="str">
        <f>"7/1/"&amp;MID('AFR20'!$E$2,3,2)-2&amp;"-6/30/"&amp;MID('AFR20'!$E$2,3,2)-1</f>
        <v>7/1/18-6/30/19</v>
      </c>
      <c r="H9" s="1093" t="s">
        <v>1565</v>
      </c>
      <c r="I9" s="1906"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7" t="s">
        <v>2092</v>
      </c>
      <c r="C11" s="2035"/>
      <c r="D11" s="2036"/>
      <c r="E11" s="1822"/>
      <c r="F11" s="1822"/>
      <c r="G11" s="1822"/>
      <c r="H11" s="1822"/>
      <c r="I11" s="1822"/>
      <c r="J11" s="1822"/>
      <c r="K11" s="1822"/>
      <c r="L11" s="1822"/>
      <c r="M11" s="1822"/>
    </row>
    <row r="12" spans="2:14" ht="20.100000000000001" customHeight="1" x14ac:dyDescent="0.2">
      <c r="B12" s="2034" t="s">
        <v>2170</v>
      </c>
      <c r="C12" s="2035"/>
      <c r="D12" s="2036"/>
      <c r="E12" s="1825"/>
      <c r="F12" s="1825"/>
      <c r="G12" s="1825"/>
      <c r="H12" s="1825"/>
      <c r="I12" s="1825"/>
      <c r="J12" s="1825"/>
      <c r="K12" s="1825"/>
      <c r="L12" s="1822"/>
      <c r="M12" s="1825"/>
    </row>
    <row r="13" spans="2:14" ht="20.100000000000001" customHeight="1" x14ac:dyDescent="0.2">
      <c r="B13" s="2034" t="s">
        <v>2151</v>
      </c>
      <c r="C13" s="2035">
        <v>10.555</v>
      </c>
      <c r="D13" s="2036" t="s">
        <v>2093</v>
      </c>
      <c r="E13" s="1825">
        <v>2117118</v>
      </c>
      <c r="F13" s="1825">
        <v>283844</v>
      </c>
      <c r="G13" s="2042">
        <v>2117118</v>
      </c>
      <c r="H13" s="2041">
        <v>0</v>
      </c>
      <c r="I13" s="2041">
        <v>283844</v>
      </c>
      <c r="J13" s="1825">
        <v>0</v>
      </c>
      <c r="K13" s="1825">
        <v>0</v>
      </c>
      <c r="L13" s="1822">
        <f>+G13+I13+K13</f>
        <v>2400962</v>
      </c>
      <c r="M13" s="1825" t="s">
        <v>2104</v>
      </c>
    </row>
    <row r="14" spans="2:14" ht="20.100000000000001" customHeight="1" x14ac:dyDescent="0.2">
      <c r="B14" s="2034" t="s">
        <v>1159</v>
      </c>
      <c r="C14" s="2035"/>
      <c r="D14" s="2036" t="s">
        <v>2094</v>
      </c>
      <c r="E14" s="1825">
        <v>0</v>
      </c>
      <c r="F14" s="1825">
        <v>1256318</v>
      </c>
      <c r="G14" s="2042">
        <v>0</v>
      </c>
      <c r="H14" s="2041">
        <v>0</v>
      </c>
      <c r="I14" s="2041">
        <v>1256318</v>
      </c>
      <c r="J14" s="1825">
        <v>0</v>
      </c>
      <c r="K14" s="1825">
        <v>0</v>
      </c>
      <c r="L14" s="1822">
        <f>+G14+I14+K14</f>
        <v>1256318</v>
      </c>
      <c r="M14" s="1825" t="s">
        <v>2104</v>
      </c>
    </row>
    <row r="15" spans="2:14" ht="20.100000000000001" customHeight="1" x14ac:dyDescent="0.2">
      <c r="B15" s="2034"/>
      <c r="C15" s="2035"/>
      <c r="D15" s="2036"/>
      <c r="E15" s="1825"/>
      <c r="F15" s="1825">
        <f>F13+F14</f>
        <v>1540162</v>
      </c>
      <c r="G15" s="2042"/>
      <c r="H15" s="1825"/>
      <c r="I15" s="1825">
        <f>SUM(I13:I14)</f>
        <v>1540162</v>
      </c>
      <c r="J15" s="1825"/>
      <c r="K15" s="1825"/>
      <c r="L15" s="1822"/>
      <c r="M15" s="1825"/>
    </row>
    <row r="16" spans="2:14" ht="20.100000000000001" customHeight="1" x14ac:dyDescent="0.2">
      <c r="B16" s="2034"/>
      <c r="C16" s="2035"/>
      <c r="D16" s="2036"/>
      <c r="E16" s="1825"/>
      <c r="F16" s="1825"/>
      <c r="G16" s="2042"/>
      <c r="H16" s="1825"/>
      <c r="I16" s="1825"/>
      <c r="J16" s="1825"/>
      <c r="K16" s="1825"/>
      <c r="L16" s="1822"/>
      <c r="M16" s="1825"/>
    </row>
    <row r="17" spans="2:14" ht="20.100000000000001" customHeight="1" x14ac:dyDescent="0.2">
      <c r="B17" s="2034" t="s">
        <v>2152</v>
      </c>
      <c r="C17" s="2035">
        <v>10.553000000000001</v>
      </c>
      <c r="D17" s="2036" t="s">
        <v>2095</v>
      </c>
      <c r="E17" s="1825">
        <v>794025</v>
      </c>
      <c r="F17" s="1825">
        <v>115418</v>
      </c>
      <c r="G17" s="2042">
        <v>794025</v>
      </c>
      <c r="H17" s="1825">
        <v>0</v>
      </c>
      <c r="I17" s="1825">
        <v>115418</v>
      </c>
      <c r="J17" s="1825">
        <v>0</v>
      </c>
      <c r="K17" s="1825">
        <v>0</v>
      </c>
      <c r="L17" s="1822">
        <f>+G17+I17+K17</f>
        <v>909443</v>
      </c>
      <c r="M17" s="1825" t="s">
        <v>2104</v>
      </c>
    </row>
    <row r="18" spans="2:14" ht="20.100000000000001" customHeight="1" x14ac:dyDescent="0.2">
      <c r="B18" s="2034" t="s">
        <v>1159</v>
      </c>
      <c r="C18" s="2035"/>
      <c r="D18" s="2036" t="s">
        <v>2096</v>
      </c>
      <c r="E18" s="1825">
        <v>0</v>
      </c>
      <c r="F18" s="1825">
        <v>508864</v>
      </c>
      <c r="G18" s="2042">
        <v>0</v>
      </c>
      <c r="H18" s="1825">
        <v>0</v>
      </c>
      <c r="I18" s="1825">
        <v>508864</v>
      </c>
      <c r="J18" s="1825">
        <v>0</v>
      </c>
      <c r="K18" s="1825">
        <v>0</v>
      </c>
      <c r="L18" s="1822">
        <f>+G18+I18+K18</f>
        <v>508864</v>
      </c>
      <c r="M18" s="1825" t="s">
        <v>2104</v>
      </c>
    </row>
    <row r="19" spans="2:14" ht="20.100000000000001" customHeight="1" x14ac:dyDescent="0.2">
      <c r="B19" s="2034"/>
      <c r="C19" s="2035"/>
      <c r="D19" s="2036"/>
      <c r="E19" s="1825"/>
      <c r="F19" s="1825">
        <f>SUM(F17:F18)</f>
        <v>624282</v>
      </c>
      <c r="G19" s="2042"/>
      <c r="H19" s="1825"/>
      <c r="I19" s="1825">
        <f>SUM(I17:I18)</f>
        <v>624282</v>
      </c>
      <c r="J19" s="1825"/>
      <c r="K19" s="1825"/>
      <c r="L19" s="1822">
        <f>+G19+I19+K19</f>
        <v>624282</v>
      </c>
      <c r="M19" s="1825"/>
    </row>
    <row r="20" spans="2:14" ht="20.100000000000001" customHeight="1" x14ac:dyDescent="0.2">
      <c r="B20" s="2034"/>
      <c r="C20" s="2035"/>
      <c r="D20" s="2036"/>
      <c r="E20" s="1825"/>
      <c r="F20" s="1825"/>
      <c r="G20" s="2042"/>
      <c r="H20" s="1825"/>
      <c r="I20" s="1825"/>
      <c r="J20" s="1825"/>
      <c r="K20" s="1825"/>
      <c r="L20" s="1822"/>
      <c r="M20" s="1825"/>
    </row>
    <row r="21" spans="2:14" ht="20.100000000000001" customHeight="1" x14ac:dyDescent="0.2">
      <c r="B21" s="2043" t="s">
        <v>2097</v>
      </c>
      <c r="C21" s="2044">
        <v>10.558999999999999</v>
      </c>
      <c r="D21" s="2045" t="s">
        <v>2098</v>
      </c>
      <c r="E21" s="1825">
        <v>0</v>
      </c>
      <c r="F21" s="1825">
        <v>0</v>
      </c>
      <c r="G21" s="2042">
        <v>0</v>
      </c>
      <c r="H21" s="1825">
        <v>0</v>
      </c>
      <c r="I21" s="1825">
        <v>0</v>
      </c>
      <c r="J21" s="1825"/>
      <c r="K21" s="1825">
        <v>0</v>
      </c>
      <c r="L21" s="1822">
        <f>+G21+I21+K21</f>
        <v>0</v>
      </c>
      <c r="M21" s="1825" t="s">
        <v>2104</v>
      </c>
    </row>
    <row r="22" spans="2:14" ht="20.100000000000001" customHeight="1" x14ac:dyDescent="0.2">
      <c r="B22" s="2043"/>
      <c r="C22" s="2044"/>
      <c r="D22" s="2045" t="s">
        <v>2099</v>
      </c>
      <c r="E22" s="1825">
        <v>0</v>
      </c>
      <c r="F22" s="1825">
        <v>464578</v>
      </c>
      <c r="G22" s="2042"/>
      <c r="H22" s="1825">
        <v>0</v>
      </c>
      <c r="I22" s="1825">
        <v>464577</v>
      </c>
      <c r="J22" s="1825">
        <v>0</v>
      </c>
      <c r="K22" s="1825">
        <v>0</v>
      </c>
      <c r="L22" s="1822">
        <f>+G22+I22+K22</f>
        <v>464577</v>
      </c>
      <c r="M22" s="1825" t="s">
        <v>2104</v>
      </c>
    </row>
    <row r="23" spans="2:14" ht="20.100000000000001" customHeight="1" x14ac:dyDescent="0.2">
      <c r="B23" s="2034"/>
      <c r="C23" s="2035"/>
      <c r="D23" s="2036"/>
      <c r="E23" s="1825"/>
      <c r="F23" s="1825">
        <f>SUM(F21:F22)</f>
        <v>464578</v>
      </c>
      <c r="G23" s="2042"/>
      <c r="H23" s="1825"/>
      <c r="I23" s="1825">
        <f>SUM(I21:I22)</f>
        <v>464577</v>
      </c>
      <c r="J23" s="1825">
        <v>0</v>
      </c>
      <c r="K23" s="1825"/>
      <c r="L23" s="1822"/>
      <c r="M23" s="1825"/>
    </row>
    <row r="24" spans="2:14" ht="20.100000000000001" customHeight="1" x14ac:dyDescent="0.2">
      <c r="B24" s="1113"/>
      <c r="C24" s="1823"/>
      <c r="D24" s="1824"/>
      <c r="E24" s="1825"/>
      <c r="F24" s="1825"/>
      <c r="G24" s="2042"/>
      <c r="H24" s="1825"/>
      <c r="I24" s="1825"/>
      <c r="J24" s="1825"/>
      <c r="K24" s="1825"/>
      <c r="L24" s="1822"/>
      <c r="M24" s="1825"/>
    </row>
    <row r="25" spans="2:14" ht="20.100000000000001" customHeight="1" x14ac:dyDescent="0.2">
      <c r="C25" s="2039" t="s">
        <v>1159</v>
      </c>
    </row>
    <row r="26" spans="2:14" ht="20.100000000000001" customHeight="1" x14ac:dyDescent="0.2">
      <c r="B26" s="2038"/>
      <c r="C26" s="2039"/>
    </row>
    <row r="27" spans="2:14" ht="16.5" customHeight="1" x14ac:dyDescent="0.2">
      <c r="B27" s="1113"/>
      <c r="C27" s="1823"/>
      <c r="D27" s="1824"/>
      <c r="E27" s="1825"/>
      <c r="F27" s="1825"/>
      <c r="G27" s="2042"/>
      <c r="H27" s="1825"/>
      <c r="I27" s="1825"/>
      <c r="J27" s="1825"/>
      <c r="K27" s="1825"/>
      <c r="L27" s="1822" t="s">
        <v>1159</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6" tint="0.59999389629810485"/>
  </sheetPr>
  <dimension ref="A1:K143"/>
  <sheetViews>
    <sheetView showGridLines="0" defaultGridColor="0" topLeftCell="A89"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47" t="s">
        <v>1158</v>
      </c>
      <c r="B2" s="2247"/>
      <c r="C2" s="2247"/>
      <c r="D2" s="2247"/>
      <c r="E2" s="2247"/>
      <c r="F2" s="2247"/>
      <c r="G2" s="2247"/>
      <c r="H2" s="2247"/>
      <c r="I2" s="2247"/>
      <c r="J2" s="224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1766</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61" t="s">
        <v>1616</v>
      </c>
      <c r="B35" s="2262"/>
      <c r="C35" s="2262"/>
      <c r="D35" s="2262"/>
      <c r="E35" s="2263"/>
      <c r="F35" s="2263"/>
      <c r="G35" s="2263"/>
      <c r="H35" s="2263"/>
      <c r="I35" s="226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61" t="s">
        <v>310</v>
      </c>
      <c r="B47" s="2264"/>
      <c r="C47" s="2264"/>
      <c r="D47" s="2264"/>
      <c r="E47" s="2265"/>
      <c r="F47" s="2265"/>
      <c r="G47" s="2265"/>
      <c r="H47" s="2265"/>
      <c r="I47" s="226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2043</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68" t="s">
        <v>2199</v>
      </c>
      <c r="C57" s="2269"/>
      <c r="D57" s="2269"/>
      <c r="E57" s="2269"/>
      <c r="F57" s="2269"/>
      <c r="G57" s="2269"/>
      <c r="H57" s="2269"/>
      <c r="I57" s="2269"/>
      <c r="J57" s="2270"/>
    </row>
    <row r="58" spans="1:10" s="176" customFormat="1" x14ac:dyDescent="0.2">
      <c r="A58" s="248"/>
      <c r="B58" s="2271"/>
      <c r="C58" s="2272"/>
      <c r="D58" s="2272"/>
      <c r="E58" s="2272"/>
      <c r="F58" s="2272"/>
      <c r="G58" s="2272"/>
      <c r="H58" s="2272"/>
      <c r="I58" s="2272"/>
      <c r="J58" s="2273"/>
    </row>
    <row r="59" spans="1:10" s="176" customFormat="1" x14ac:dyDescent="0.2">
      <c r="A59" s="248"/>
      <c r="B59" s="2271"/>
      <c r="C59" s="2272"/>
      <c r="D59" s="2272"/>
      <c r="E59" s="2272"/>
      <c r="F59" s="2272"/>
      <c r="G59" s="2272"/>
      <c r="H59" s="2272"/>
      <c r="I59" s="2272"/>
      <c r="J59" s="2273"/>
    </row>
    <row r="60" spans="1:10" s="176" customFormat="1" x14ac:dyDescent="0.2">
      <c r="A60" s="248"/>
      <c r="B60" s="2271"/>
      <c r="C60" s="2272"/>
      <c r="D60" s="2272"/>
      <c r="E60" s="2272"/>
      <c r="F60" s="2272"/>
      <c r="G60" s="2272"/>
      <c r="H60" s="2272"/>
      <c r="I60" s="2272"/>
      <c r="J60" s="2273"/>
    </row>
    <row r="61" spans="1:10" s="176" customFormat="1" x14ac:dyDescent="0.2">
      <c r="A61" s="248"/>
      <c r="B61" s="2271"/>
      <c r="C61" s="2272"/>
      <c r="D61" s="2272"/>
      <c r="E61" s="2272"/>
      <c r="F61" s="2272"/>
      <c r="G61" s="2272"/>
      <c r="H61" s="2272"/>
      <c r="I61" s="2272"/>
      <c r="J61" s="2273"/>
    </row>
    <row r="62" spans="1:10" s="176" customFormat="1" x14ac:dyDescent="0.2">
      <c r="A62" s="248"/>
      <c r="B62" s="2271"/>
      <c r="C62" s="2272"/>
      <c r="D62" s="2272"/>
      <c r="E62" s="2272"/>
      <c r="F62" s="2272"/>
      <c r="G62" s="2272"/>
      <c r="H62" s="2272"/>
      <c r="I62" s="2272"/>
      <c r="J62" s="2273"/>
    </row>
    <row r="63" spans="1:10" s="176" customFormat="1" x14ac:dyDescent="0.2">
      <c r="A63" s="248"/>
      <c r="B63" s="2271"/>
      <c r="C63" s="2272"/>
      <c r="D63" s="2272"/>
      <c r="E63" s="2272"/>
      <c r="F63" s="2272"/>
      <c r="G63" s="2272"/>
      <c r="H63" s="2272"/>
      <c r="I63" s="2272"/>
      <c r="J63" s="2273"/>
    </row>
    <row r="64" spans="1:10" s="176" customFormat="1" x14ac:dyDescent="0.2">
      <c r="A64" s="248"/>
      <c r="B64" s="2271"/>
      <c r="C64" s="2272"/>
      <c r="D64" s="2272"/>
      <c r="E64" s="2272"/>
      <c r="F64" s="2272"/>
      <c r="G64" s="2272"/>
      <c r="H64" s="2272"/>
      <c r="I64" s="2272"/>
      <c r="J64" s="2273"/>
    </row>
    <row r="65" spans="1:11" s="176" customFormat="1" x14ac:dyDescent="0.2">
      <c r="A65" s="248"/>
      <c r="B65" s="2271"/>
      <c r="C65" s="2272"/>
      <c r="D65" s="2272"/>
      <c r="E65" s="2272"/>
      <c r="F65" s="2272"/>
      <c r="G65" s="2272"/>
      <c r="H65" s="2272"/>
      <c r="I65" s="2272"/>
      <c r="J65" s="2273"/>
    </row>
    <row r="66" spans="1:11" s="176" customFormat="1" x14ac:dyDescent="0.2">
      <c r="A66" s="248"/>
      <c r="B66" s="2271"/>
      <c r="C66" s="2272"/>
      <c r="D66" s="2272"/>
      <c r="E66" s="2272"/>
      <c r="F66" s="2272"/>
      <c r="G66" s="2272"/>
      <c r="H66" s="2272"/>
      <c r="I66" s="2272"/>
      <c r="J66" s="2273"/>
    </row>
    <row r="67" spans="1:11" s="176" customFormat="1" ht="9" customHeight="1" x14ac:dyDescent="0.2">
      <c r="A67" s="249"/>
      <c r="B67" s="2274"/>
      <c r="C67" s="2275"/>
      <c r="D67" s="2275"/>
      <c r="E67" s="2275"/>
      <c r="F67" s="2275"/>
      <c r="G67" s="2275"/>
      <c r="H67" s="2275"/>
      <c r="I67" s="2275"/>
      <c r="J67" s="227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61" t="s">
        <v>1312</v>
      </c>
      <c r="B70" s="2264"/>
      <c r="C70" s="2264"/>
      <c r="D70" s="2264"/>
      <c r="E70" s="2265"/>
      <c r="F70" s="2265"/>
      <c r="G70" s="2265"/>
      <c r="H70" s="2265"/>
      <c r="I70" s="226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1983</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1864</v>
      </c>
      <c r="I77" s="1470"/>
      <c r="J77" s="256">
        <v>44104</v>
      </c>
    </row>
    <row r="78" spans="1:11" s="176" customFormat="1" ht="6" customHeight="1" x14ac:dyDescent="0.2">
      <c r="A78" s="214"/>
      <c r="B78" s="257"/>
      <c r="C78" s="174"/>
      <c r="D78" s="242"/>
      <c r="E78" s="243"/>
      <c r="F78" s="244"/>
    </row>
    <row r="79" spans="1:11" s="176" customFormat="1" x14ac:dyDescent="0.2">
      <c r="A79" s="214"/>
      <c r="B79" s="257"/>
      <c r="C79" s="174">
        <v>25</v>
      </c>
      <c r="D79" s="242" t="s">
        <v>1982</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66" t="s">
        <v>1309</v>
      </c>
      <c r="B83" s="2266"/>
      <c r="C83" s="2266"/>
      <c r="D83" s="226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77" t="s">
        <v>1981</v>
      </c>
      <c r="B85" s="2277"/>
      <c r="C85" s="2277"/>
      <c r="D85" s="2278"/>
      <c r="E85" s="1543"/>
      <c r="F85" s="1543"/>
      <c r="G85" s="1543"/>
      <c r="H85" s="1543"/>
      <c r="I85" s="1897"/>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279" t="s">
        <v>1981</v>
      </c>
      <c r="B88" s="2280"/>
      <c r="C88" s="2280"/>
      <c r="D88" s="2281"/>
      <c r="E88" s="1543">
        <v>91794</v>
      </c>
      <c r="F88" s="1543">
        <v>195511</v>
      </c>
      <c r="G88" s="1543">
        <v>476946</v>
      </c>
      <c r="H88" s="1543">
        <v>109752</v>
      </c>
      <c r="I88" s="1897">
        <v>233899</v>
      </c>
      <c r="J88" s="1726">
        <f>SUM(E88:I88)</f>
        <v>1107902</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898"/>
      <c r="J90" s="1728">
        <f>SUM(J85:J89)</f>
        <v>1107902</v>
      </c>
    </row>
    <row r="91" spans="1:10" s="176" customFormat="1" x14ac:dyDescent="0.2">
      <c r="A91" s="214"/>
      <c r="B91" s="257"/>
      <c r="C91" s="174"/>
      <c r="E91" s="255"/>
      <c r="F91" s="274"/>
      <c r="H91" s="275"/>
    </row>
    <row r="92" spans="1:10" s="176" customFormat="1" x14ac:dyDescent="0.2">
      <c r="A92" s="214"/>
      <c r="B92" s="242" t="s">
        <v>1985</v>
      </c>
      <c r="C92" s="174"/>
      <c r="E92" s="255"/>
      <c r="F92" s="274"/>
      <c r="H92" s="275"/>
    </row>
    <row r="93" spans="1:10" s="176" customFormat="1" ht="16.5" customHeight="1" x14ac:dyDescent="0.2">
      <c r="A93" s="214"/>
      <c r="B93" s="276"/>
      <c r="C93" s="242" t="s">
        <v>1984</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48"/>
      <c r="C102" s="2249"/>
      <c r="D102" s="2249"/>
      <c r="E102" s="2249"/>
      <c r="F102" s="2249"/>
      <c r="G102" s="2249"/>
      <c r="H102" s="2249"/>
      <c r="I102" s="2250"/>
    </row>
    <row r="103" spans="1:9" s="176" customFormat="1" ht="11.25" customHeight="1" x14ac:dyDescent="0.2">
      <c r="A103" s="294"/>
      <c r="B103" s="2251"/>
      <c r="C103" s="2252"/>
      <c r="D103" s="2252"/>
      <c r="E103" s="2252"/>
      <c r="F103" s="2252"/>
      <c r="G103" s="2252"/>
      <c r="H103" s="2252"/>
      <c r="I103" s="2253"/>
    </row>
    <row r="104" spans="1:9" s="176" customFormat="1" ht="11.25" customHeight="1" x14ac:dyDescent="0.2">
      <c r="A104" s="294"/>
      <c r="B104" s="2251"/>
      <c r="C104" s="2252"/>
      <c r="D104" s="2252"/>
      <c r="E104" s="2252"/>
      <c r="F104" s="2252"/>
      <c r="G104" s="2252"/>
      <c r="H104" s="2252"/>
      <c r="I104" s="2253"/>
    </row>
    <row r="105" spans="1:9" s="176" customFormat="1" x14ac:dyDescent="0.2">
      <c r="A105" s="294"/>
      <c r="B105" s="2251"/>
      <c r="C105" s="2252"/>
      <c r="D105" s="2252"/>
      <c r="E105" s="2252"/>
      <c r="F105" s="2252"/>
      <c r="G105" s="2252"/>
      <c r="H105" s="2252"/>
      <c r="I105" s="2253"/>
    </row>
    <row r="106" spans="1:9" s="176" customFormat="1" ht="11.25" customHeight="1" x14ac:dyDescent="0.2">
      <c r="A106" s="294"/>
      <c r="B106" s="2251"/>
      <c r="C106" s="2252"/>
      <c r="D106" s="2252"/>
      <c r="E106" s="2252"/>
      <c r="F106" s="2252"/>
      <c r="G106" s="2252"/>
      <c r="H106" s="2252"/>
      <c r="I106" s="2253"/>
    </row>
    <row r="107" spans="1:9" s="176" customFormat="1" ht="11.25" customHeight="1" x14ac:dyDescent="0.2">
      <c r="A107" s="294"/>
      <c r="B107" s="2251"/>
      <c r="C107" s="2252"/>
      <c r="D107" s="2252"/>
      <c r="E107" s="2252"/>
      <c r="F107" s="2252"/>
      <c r="G107" s="2252"/>
      <c r="H107" s="2252"/>
      <c r="I107" s="2253"/>
    </row>
    <row r="108" spans="1:9" s="176" customFormat="1" ht="11.25" customHeight="1" x14ac:dyDescent="0.2">
      <c r="A108" s="294"/>
      <c r="B108" s="2251"/>
      <c r="C108" s="2252"/>
      <c r="D108" s="2252"/>
      <c r="E108" s="2252"/>
      <c r="F108" s="2252"/>
      <c r="G108" s="2252"/>
      <c r="H108" s="2252"/>
      <c r="I108" s="2253"/>
    </row>
    <row r="109" spans="1:9" s="176" customFormat="1" ht="11.25" customHeight="1" x14ac:dyDescent="0.2">
      <c r="A109" s="294"/>
      <c r="B109" s="2251"/>
      <c r="C109" s="2252"/>
      <c r="D109" s="2252"/>
      <c r="E109" s="2252"/>
      <c r="F109" s="2252"/>
      <c r="G109" s="2252"/>
      <c r="H109" s="2252"/>
      <c r="I109" s="2253"/>
    </row>
    <row r="110" spans="1:9" s="176" customFormat="1" ht="11.25" customHeight="1" x14ac:dyDescent="0.2">
      <c r="A110" s="294"/>
      <c r="B110" s="2251"/>
      <c r="C110" s="2252"/>
      <c r="D110" s="2252"/>
      <c r="E110" s="2252"/>
      <c r="F110" s="2252"/>
      <c r="G110" s="2252"/>
      <c r="H110" s="2252"/>
      <c r="I110" s="2253"/>
    </row>
    <row r="111" spans="1:9" s="176" customFormat="1" ht="11.25" customHeight="1" x14ac:dyDescent="0.2">
      <c r="A111" s="294"/>
      <c r="B111" s="2251"/>
      <c r="C111" s="2252"/>
      <c r="D111" s="2252"/>
      <c r="E111" s="2252"/>
      <c r="F111" s="2252"/>
      <c r="G111" s="2252"/>
      <c r="H111" s="2252"/>
      <c r="I111" s="2253"/>
    </row>
    <row r="112" spans="1:9" s="176" customFormat="1" ht="11.25" customHeight="1" x14ac:dyDescent="0.2">
      <c r="A112" s="294"/>
      <c r="B112" s="2254"/>
      <c r="C112" s="2255"/>
      <c r="D112" s="2255"/>
      <c r="E112" s="2255"/>
      <c r="F112" s="2255"/>
      <c r="G112" s="2255"/>
      <c r="H112" s="2255"/>
      <c r="I112" s="225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57" t="s">
        <v>2051</v>
      </c>
      <c r="D114" s="225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58" t="s">
        <v>1319</v>
      </c>
      <c r="D117" s="2259"/>
      <c r="E117" s="2260"/>
      <c r="F117" s="2260"/>
      <c r="G117" s="2260"/>
      <c r="H117" s="2260"/>
      <c r="I117" s="282"/>
    </row>
    <row r="118" spans="1:9" s="176" customFormat="1" ht="24" customHeight="1" x14ac:dyDescent="0.2">
      <c r="A118" s="294"/>
      <c r="B118" s="294"/>
      <c r="C118" s="294"/>
      <c r="D118" s="301" t="s">
        <v>1159</v>
      </c>
      <c r="E118" s="300"/>
      <c r="F118" s="2129">
        <v>44179</v>
      </c>
      <c r="G118" s="1472"/>
      <c r="H118" s="300"/>
      <c r="I118" s="282"/>
    </row>
    <row r="119" spans="1:9" s="176" customFormat="1" ht="11.25" customHeight="1" x14ac:dyDescent="0.2">
      <c r="A119" s="303"/>
      <c r="B119" s="303"/>
      <c r="C119" s="304"/>
      <c r="D119" s="305" t="s">
        <v>358</v>
      </c>
      <c r="E119" s="288"/>
      <c r="F119" s="1471" t="s">
        <v>1865</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2&amp;C &amp;R&amp;8Page 2</oddHeader>
    <oddFooter>&amp;L&amp;8Printed: &amp;D  &amp;F</oddFooter>
    <evenHeader>&amp;L&amp;8Page 2a&amp;R&amp;8Page 2a</evenHeader>
    <firstHeader>&amp;L&amp;8Page 2&amp;R&amp;8Page 2</first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4F4C3-E538-4EDB-A056-C3BD4375D0BC}">
  <sheetPr>
    <pageSetUpPr fitToPage="1"/>
  </sheetPr>
  <dimension ref="B1:N152"/>
  <sheetViews>
    <sheetView topLeftCell="A4" zoomScale="144" zoomScaleNormal="144" workbookViewId="0">
      <selection activeCell="I23" sqref="I2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15" t="str">
        <f>'Single Audit Cover'!A7</f>
        <v xml:space="preserve">   Danville CCSD 118</v>
      </c>
      <c r="C1" s="2659"/>
      <c r="D1" s="2659"/>
      <c r="E1" s="2659"/>
      <c r="F1" s="2659"/>
      <c r="G1" s="2659"/>
      <c r="H1" s="2659"/>
      <c r="I1" s="2659"/>
      <c r="J1" s="2659"/>
      <c r="K1" s="2659"/>
      <c r="L1" s="2659"/>
      <c r="M1" s="2659"/>
    </row>
    <row r="2" spans="2:14" ht="15" x14ac:dyDescent="0.2">
      <c r="B2" s="2660">
        <f>'Single Audit Cover'!E7</f>
        <v>54092118024</v>
      </c>
      <c r="C2" s="2660"/>
      <c r="D2" s="2660"/>
      <c r="E2" s="2660"/>
      <c r="F2" s="2660"/>
      <c r="G2" s="2660"/>
      <c r="H2" s="2660"/>
      <c r="I2" s="2660"/>
      <c r="J2" s="2660"/>
      <c r="K2" s="2660"/>
      <c r="L2" s="2660"/>
      <c r="M2" s="2660"/>
      <c r="N2" s="1078"/>
    </row>
    <row r="3" spans="2:14" ht="15" x14ac:dyDescent="0.2">
      <c r="B3" s="2661" t="s">
        <v>1208</v>
      </c>
      <c r="C3" s="2661"/>
      <c r="D3" s="2661"/>
      <c r="E3" s="2661"/>
      <c r="F3" s="2661"/>
      <c r="G3" s="2661"/>
      <c r="H3" s="2661"/>
      <c r="I3" s="2661"/>
      <c r="J3" s="2661"/>
      <c r="K3" s="2661"/>
      <c r="L3" s="2661"/>
      <c r="M3" s="2661"/>
      <c r="N3" s="1078"/>
    </row>
    <row r="4" spans="2:14" ht="15" x14ac:dyDescent="0.2">
      <c r="B4" s="2662" t="str">
        <f>'Single Audit Cover'!A4</f>
        <v>Year Ending June 30, 2020</v>
      </c>
      <c r="C4" s="2662"/>
      <c r="D4" s="2662"/>
      <c r="E4" s="2662"/>
      <c r="F4" s="2662"/>
      <c r="G4" s="2662"/>
      <c r="H4" s="2662"/>
      <c r="I4" s="2662"/>
      <c r="J4" s="2662"/>
      <c r="K4" s="2662"/>
      <c r="L4" s="2662"/>
      <c r="M4" s="2662"/>
      <c r="N4" s="1078"/>
    </row>
    <row r="5" spans="2:14" x14ac:dyDescent="0.2">
      <c r="H5" s="1907"/>
      <c r="J5" s="1907"/>
    </row>
    <row r="6" spans="2:14" x14ac:dyDescent="0.2">
      <c r="B6" s="1079"/>
      <c r="C6" s="1080"/>
      <c r="D6" s="1081" t="s">
        <v>1254</v>
      </c>
      <c r="E6" s="1082" t="s">
        <v>524</v>
      </c>
      <c r="F6" s="1083"/>
      <c r="G6" s="1084" t="s">
        <v>1708</v>
      </c>
      <c r="H6" s="1082"/>
      <c r="I6" s="1082"/>
      <c r="J6" s="1908"/>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1709</v>
      </c>
      <c r="D9" s="1090" t="s">
        <v>1710</v>
      </c>
      <c r="E9" s="1906" t="str">
        <f>"7/1/"&amp;MID('AFR20'!$E$2,3,2)-2&amp;"-6/30/"&amp;MID('AFR20'!$E$2,3,2)-1</f>
        <v>7/1/18-6/30/19</v>
      </c>
      <c r="F9" s="1906" t="str">
        <f>"7/1/"&amp;MID('AFR20'!$E$2,3,2)-1&amp;"-6/30/"&amp;MID('AFR20'!$E$2,3,2)</f>
        <v>7/1/19-6/30/20</v>
      </c>
      <c r="G9" s="1906" t="str">
        <f>"7/1/"&amp;MID('AFR20'!$E$2,3,2)-2&amp;"-6/30/"&amp;MID('AFR20'!$E$2,3,2)-1</f>
        <v>7/1/18-6/30/19</v>
      </c>
      <c r="H9" s="1093" t="s">
        <v>1565</v>
      </c>
      <c r="I9" s="1906"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51" t="s">
        <v>2106</v>
      </c>
      <c r="C11" s="295"/>
      <c r="D11" s="295"/>
      <c r="G11" s="1822"/>
      <c r="H11" s="1822"/>
      <c r="I11" s="1822"/>
      <c r="J11" s="1822"/>
      <c r="K11" s="1822"/>
      <c r="L11" s="1822"/>
      <c r="M11" s="1822"/>
    </row>
    <row r="12" spans="2:14" ht="20.100000000000001" customHeight="1" x14ac:dyDescent="0.2">
      <c r="B12" s="2048" t="s">
        <v>2153</v>
      </c>
      <c r="C12" s="2049">
        <v>10.555</v>
      </c>
      <c r="D12" s="2050" t="s">
        <v>2105</v>
      </c>
      <c r="E12" s="2046">
        <v>0</v>
      </c>
      <c r="F12" s="2046">
        <v>190294</v>
      </c>
      <c r="G12" s="1825">
        <v>0</v>
      </c>
      <c r="H12" s="1825">
        <v>0</v>
      </c>
      <c r="I12" s="1825">
        <v>190294</v>
      </c>
      <c r="J12" s="1825">
        <v>0</v>
      </c>
      <c r="K12" s="1825">
        <v>0</v>
      </c>
      <c r="L12" s="1822">
        <f t="shared" ref="L12:L14" si="0">+G12+I12+K12</f>
        <v>190294</v>
      </c>
      <c r="M12" s="1825" t="s">
        <v>2104</v>
      </c>
    </row>
    <row r="13" spans="2:14" ht="20.100000000000001" customHeight="1" x14ac:dyDescent="0.2">
      <c r="B13" s="2048"/>
      <c r="C13" s="2049"/>
      <c r="D13" s="2050"/>
      <c r="E13" s="2046"/>
      <c r="F13" s="2047"/>
      <c r="G13" s="1825"/>
      <c r="H13" s="1825"/>
      <c r="I13" s="1825"/>
      <c r="J13" s="1825"/>
      <c r="K13" s="1825"/>
      <c r="L13" s="1822"/>
      <c r="M13" s="1825"/>
    </row>
    <row r="14" spans="2:14" ht="20.100000000000001" customHeight="1" x14ac:dyDescent="0.2">
      <c r="B14" s="2048" t="s">
        <v>2154</v>
      </c>
      <c r="C14" s="2049">
        <v>10.555</v>
      </c>
      <c r="D14" s="2050" t="s">
        <v>2105</v>
      </c>
      <c r="E14" s="2046">
        <v>0</v>
      </c>
      <c r="F14" s="2046">
        <v>75375</v>
      </c>
      <c r="G14" s="1825">
        <v>0</v>
      </c>
      <c r="H14" s="1825">
        <v>0</v>
      </c>
      <c r="I14" s="1825">
        <v>75375</v>
      </c>
      <c r="J14" s="1825">
        <v>0</v>
      </c>
      <c r="K14" s="1825">
        <v>0</v>
      </c>
      <c r="L14" s="1822">
        <f t="shared" si="0"/>
        <v>75375</v>
      </c>
      <c r="M14" s="1825" t="s">
        <v>2104</v>
      </c>
    </row>
    <row r="15" spans="2:14" ht="20.100000000000001" customHeight="1" x14ac:dyDescent="0.2">
      <c r="B15" s="1113"/>
      <c r="C15" s="1113"/>
      <c r="D15" s="1113"/>
      <c r="E15" s="1113"/>
      <c r="F15" s="1113"/>
      <c r="G15" s="1113"/>
      <c r="H15" s="1113"/>
      <c r="I15" s="1825"/>
      <c r="J15" s="1825"/>
      <c r="K15" s="1825"/>
      <c r="L15" s="1822"/>
      <c r="M15" s="1825"/>
    </row>
    <row r="16" spans="2:14" ht="20.100000000000001" customHeight="1" x14ac:dyDescent="0.2">
      <c r="B16" s="2052" t="s">
        <v>2108</v>
      </c>
      <c r="C16" s="1113"/>
      <c r="D16" s="1113"/>
      <c r="E16" s="1113"/>
      <c r="F16" s="2033">
        <f>F14+F12+' SEFA'!F23+' SEFA'!F19+' SEFA'!F15</f>
        <v>2894691</v>
      </c>
      <c r="G16" s="2033"/>
      <c r="H16" s="2033"/>
      <c r="I16" s="2033">
        <f>I14+I12+' SEFA'!I23+' SEFA'!I19+' SEFA'!I15</f>
        <v>2894690</v>
      </c>
      <c r="J16" s="1825"/>
      <c r="K16" s="1825"/>
      <c r="L16" s="1822"/>
      <c r="M16" s="1825"/>
    </row>
    <row r="17" spans="2:14" ht="20.100000000000001" customHeight="1" x14ac:dyDescent="0.2">
      <c r="B17" s="1113"/>
      <c r="C17" s="1113"/>
      <c r="D17" s="1113"/>
      <c r="E17" s="1113"/>
      <c r="F17" s="2033"/>
      <c r="G17" s="2033"/>
      <c r="H17" s="2033"/>
      <c r="I17" s="2032"/>
      <c r="J17" s="1825"/>
      <c r="K17" s="1825"/>
      <c r="L17" s="1822"/>
      <c r="M17" s="1825"/>
    </row>
    <row r="18" spans="2:14" ht="20.100000000000001" customHeight="1" x14ac:dyDescent="0.2">
      <c r="B18" s="2053" t="s">
        <v>1159</v>
      </c>
      <c r="C18" s="1113"/>
      <c r="D18" s="1113"/>
      <c r="E18" s="1113"/>
      <c r="F18" s="2033" t="s">
        <v>1159</v>
      </c>
      <c r="G18" s="2033"/>
      <c r="H18" s="2033"/>
      <c r="I18" s="2032" t="s">
        <v>1159</v>
      </c>
      <c r="J18" s="1825"/>
      <c r="K18" s="1825"/>
      <c r="L18" s="1822"/>
      <c r="M18" s="1825"/>
    </row>
    <row r="19" spans="2:14" ht="20.100000000000001" customHeight="1" x14ac:dyDescent="0.2">
      <c r="B19" s="2038" t="s">
        <v>2101</v>
      </c>
      <c r="C19" s="2103">
        <v>10.558</v>
      </c>
      <c r="D19" s="2040" t="s">
        <v>2102</v>
      </c>
      <c r="E19" s="1825">
        <v>0</v>
      </c>
      <c r="F19" s="1825">
        <v>0</v>
      </c>
      <c r="G19" s="2042">
        <v>0</v>
      </c>
      <c r="H19" s="1825">
        <v>0</v>
      </c>
      <c r="I19" s="1825">
        <v>0</v>
      </c>
      <c r="J19" s="1825">
        <v>0</v>
      </c>
      <c r="K19" s="1825">
        <v>0</v>
      </c>
      <c r="L19" s="1822">
        <f>+G19+I19+K19</f>
        <v>0</v>
      </c>
      <c r="M19" s="1825" t="s">
        <v>2104</v>
      </c>
    </row>
    <row r="20" spans="2:14" ht="20.100000000000001" customHeight="1" x14ac:dyDescent="0.2">
      <c r="B20" s="1113"/>
      <c r="C20" s="1113"/>
      <c r="D20" s="2040" t="s">
        <v>2103</v>
      </c>
      <c r="E20" s="1825">
        <v>0</v>
      </c>
      <c r="F20" s="1825">
        <v>1166</v>
      </c>
      <c r="G20" s="2042"/>
      <c r="H20" s="1825">
        <v>0</v>
      </c>
      <c r="I20" s="1825">
        <v>1166</v>
      </c>
      <c r="J20" s="1825">
        <v>0</v>
      </c>
      <c r="K20" s="1825"/>
      <c r="L20" s="1822">
        <f>+G20+I20+K20</f>
        <v>1166</v>
      </c>
      <c r="M20" s="1825" t="s">
        <v>2104</v>
      </c>
    </row>
    <row r="21" spans="2:14" ht="20.100000000000001" customHeight="1" x14ac:dyDescent="0.2">
      <c r="B21" s="1113"/>
      <c r="C21" s="1113"/>
      <c r="D21" s="1825"/>
      <c r="E21" s="1113"/>
      <c r="F21" s="1113"/>
      <c r="G21" s="1113"/>
      <c r="H21" s="1113"/>
      <c r="I21" s="1825"/>
      <c r="J21" s="1825"/>
      <c r="K21" s="1825"/>
      <c r="L21" s="1822"/>
      <c r="M21" s="1825"/>
    </row>
    <row r="22" spans="2:14" ht="20.100000000000001" customHeight="1" x14ac:dyDescent="0.2">
      <c r="B22" s="1113"/>
      <c r="C22" s="1113"/>
      <c r="D22" s="1825"/>
      <c r="E22" s="1113"/>
      <c r="F22" s="1113"/>
      <c r="G22" s="1113"/>
      <c r="H22" s="1113"/>
      <c r="I22" s="1825"/>
      <c r="J22" s="1825"/>
      <c r="K22" s="1825"/>
      <c r="L22" s="1822"/>
      <c r="M22" s="1825"/>
    </row>
    <row r="23" spans="2:14" ht="20.100000000000001" customHeight="1" x14ac:dyDescent="0.2">
      <c r="B23" s="2107" t="s">
        <v>2107</v>
      </c>
      <c r="C23" s="1113"/>
      <c r="D23" s="1825"/>
      <c r="E23" s="1113"/>
      <c r="F23" s="1113">
        <f>F16+F19+F20</f>
        <v>2895857</v>
      </c>
      <c r="G23" s="1113"/>
      <c r="H23" s="1113"/>
      <c r="I23" s="1825">
        <f>I16+I19+I20</f>
        <v>2895856</v>
      </c>
      <c r="J23" s="1825"/>
      <c r="K23" s="1825"/>
      <c r="L23" s="1822"/>
      <c r="M23" s="1825"/>
    </row>
    <row r="24" spans="2:14" ht="20.100000000000001" customHeight="1" x14ac:dyDescent="0.2">
      <c r="B24" s="1113"/>
      <c r="C24" s="1113"/>
      <c r="D24" s="1825"/>
      <c r="E24" s="1113"/>
      <c r="F24" s="1113"/>
      <c r="G24" s="1113"/>
      <c r="H24" s="1113"/>
      <c r="I24" s="1825"/>
      <c r="J24" s="1825"/>
      <c r="K24" s="1825"/>
      <c r="L24" s="1822"/>
      <c r="M24" s="1825"/>
    </row>
    <row r="25" spans="2:14" ht="20.100000000000001" customHeight="1" x14ac:dyDescent="0.2">
      <c r="B25" s="1825"/>
      <c r="C25" s="1825"/>
      <c r="D25" s="1825"/>
      <c r="E25" s="1825"/>
      <c r="F25" s="1825"/>
      <c r="G25" s="1825"/>
      <c r="H25" s="1825"/>
      <c r="I25" s="1825"/>
      <c r="J25" s="1825"/>
      <c r="K25" s="1825"/>
      <c r="L25" s="1822"/>
      <c r="M25" s="1825"/>
    </row>
    <row r="26" spans="2:14" ht="20.100000000000001" customHeight="1" x14ac:dyDescent="0.2">
      <c r="C26" s="1825"/>
      <c r="D26" s="1825"/>
      <c r="E26" s="1825"/>
      <c r="F26" s="1825"/>
      <c r="G26" s="1825"/>
      <c r="H26" s="1825"/>
      <c r="I26" s="1825"/>
      <c r="J26" s="1825"/>
      <c r="K26" s="1825"/>
      <c r="L26" s="1822"/>
      <c r="M26" s="1825"/>
    </row>
    <row r="27" spans="2:14" ht="16.5" customHeight="1" x14ac:dyDescent="0.2">
      <c r="B27" s="1113"/>
      <c r="C27" s="1113"/>
      <c r="D27" s="1825"/>
      <c r="E27" s="1825"/>
      <c r="F27" s="1825"/>
      <c r="G27" s="1825"/>
      <c r="H27" s="1825"/>
      <c r="I27" s="1825"/>
      <c r="J27" s="1825"/>
      <c r="K27" s="1825"/>
      <c r="L27" s="1822"/>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5" orientation="landscape" horizontalDpi="1200" verticalDpi="1200" r:id="rId1"/>
  <headerFooter>
    <oddHeader>&amp;RPage 41b</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8FD0B-5E63-4C42-AD0A-4CD44CED6E9F}">
  <sheetPr>
    <pageSetUpPr fitToPage="1"/>
  </sheetPr>
  <dimension ref="B1:N152"/>
  <sheetViews>
    <sheetView topLeftCell="A7" zoomScale="135" zoomScaleNormal="135" workbookViewId="0">
      <selection activeCell="F18" sqref="F1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15" t="str">
        <f>'Single Audit Cover'!A7</f>
        <v xml:space="preserve">   Danville CCSD 118</v>
      </c>
      <c r="C1" s="2659"/>
      <c r="D1" s="2659"/>
      <c r="E1" s="2659"/>
      <c r="F1" s="2659"/>
      <c r="G1" s="2659"/>
      <c r="H1" s="2659"/>
      <c r="I1" s="2659"/>
      <c r="J1" s="2659"/>
      <c r="K1" s="2659"/>
      <c r="L1" s="2659"/>
      <c r="M1" s="2659"/>
    </row>
    <row r="2" spans="2:14" ht="15" x14ac:dyDescent="0.2">
      <c r="B2" s="2660">
        <f>'Single Audit Cover'!E7</f>
        <v>54092118024</v>
      </c>
      <c r="C2" s="2660"/>
      <c r="D2" s="2660"/>
      <c r="E2" s="2660"/>
      <c r="F2" s="2660"/>
      <c r="G2" s="2660"/>
      <c r="H2" s="2660"/>
      <c r="I2" s="2660"/>
      <c r="J2" s="2660"/>
      <c r="K2" s="2660"/>
      <c r="L2" s="2660"/>
      <c r="M2" s="2660"/>
      <c r="N2" s="1078"/>
    </row>
    <row r="3" spans="2:14" ht="15" x14ac:dyDescent="0.2">
      <c r="B3" s="2661" t="s">
        <v>1208</v>
      </c>
      <c r="C3" s="2661"/>
      <c r="D3" s="2661"/>
      <c r="E3" s="2661"/>
      <c r="F3" s="2661"/>
      <c r="G3" s="2661"/>
      <c r="H3" s="2661"/>
      <c r="I3" s="2661"/>
      <c r="J3" s="2661"/>
      <c r="K3" s="2661"/>
      <c r="L3" s="2661"/>
      <c r="M3" s="2661"/>
      <c r="N3" s="1078"/>
    </row>
    <row r="4" spans="2:14" ht="15" x14ac:dyDescent="0.2">
      <c r="B4" s="2662" t="str">
        <f>'Single Audit Cover'!A4</f>
        <v>Year Ending June 30, 2020</v>
      </c>
      <c r="C4" s="2662"/>
      <c r="D4" s="2662"/>
      <c r="E4" s="2662"/>
      <c r="F4" s="2662"/>
      <c r="G4" s="2662"/>
      <c r="H4" s="2662"/>
      <c r="I4" s="2662"/>
      <c r="J4" s="2662"/>
      <c r="K4" s="2662"/>
      <c r="L4" s="2662"/>
      <c r="M4" s="2662"/>
      <c r="N4" s="1078"/>
    </row>
    <row r="5" spans="2:14" x14ac:dyDescent="0.2">
      <c r="H5" s="1907"/>
      <c r="J5" s="1907"/>
    </row>
    <row r="6" spans="2:14" x14ac:dyDescent="0.2">
      <c r="B6" s="1079"/>
      <c r="C6" s="1080"/>
      <c r="D6" s="1081" t="s">
        <v>1254</v>
      </c>
      <c r="E6" s="1082" t="s">
        <v>524</v>
      </c>
      <c r="F6" s="1083"/>
      <c r="G6" s="1084" t="s">
        <v>1708</v>
      </c>
      <c r="H6" s="1082"/>
      <c r="I6" s="1082"/>
      <c r="J6" s="1908"/>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1709</v>
      </c>
      <c r="D9" s="1090" t="s">
        <v>1710</v>
      </c>
      <c r="E9" s="1906" t="str">
        <f>"7/1/"&amp;MID('AFR20'!$E$2,3,2)-2&amp;"-6/30/"&amp;MID('AFR20'!$E$2,3,2)-1</f>
        <v>7/1/18-6/30/19</v>
      </c>
      <c r="F9" s="1906" t="str">
        <f>"7/1/"&amp;MID('AFR20'!$E$2,3,2)-1&amp;"-6/30/"&amp;MID('AFR20'!$E$2,3,2)</f>
        <v>7/1/19-6/30/20</v>
      </c>
      <c r="G9" s="1906" t="str">
        <f>"7/1/"&amp;MID('AFR20'!$E$2,3,2)-2&amp;"-6/30/"&amp;MID('AFR20'!$E$2,3,2)-1</f>
        <v>7/1/18-6/30/19</v>
      </c>
      <c r="H9" s="1093" t="s">
        <v>1565</v>
      </c>
      <c r="I9" s="1906"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54" t="s">
        <v>2109</v>
      </c>
      <c r="C11" s="1113"/>
      <c r="D11" s="1113"/>
      <c r="E11" s="1822"/>
      <c r="F11" s="1822"/>
      <c r="G11" s="1822"/>
      <c r="H11" s="1822"/>
      <c r="I11" s="1822"/>
      <c r="J11" s="1822"/>
      <c r="K11" s="1822"/>
      <c r="L11" s="1822"/>
      <c r="M11" s="1822"/>
    </row>
    <row r="12" spans="2:14" ht="20.100000000000001" customHeight="1" x14ac:dyDescent="0.2">
      <c r="B12" s="2055" t="s">
        <v>2171</v>
      </c>
      <c r="C12" s="2056"/>
      <c r="D12" s="2057"/>
      <c r="E12" s="1825"/>
      <c r="F12" s="1825"/>
      <c r="G12" s="1825"/>
      <c r="H12" s="1825"/>
      <c r="I12" s="1825"/>
      <c r="J12" s="1825"/>
      <c r="K12" s="1825"/>
      <c r="L12" s="1822"/>
      <c r="M12" s="1825"/>
    </row>
    <row r="13" spans="2:14" ht="20.100000000000001" customHeight="1" x14ac:dyDescent="0.2">
      <c r="B13" s="2055" t="s">
        <v>2110</v>
      </c>
      <c r="C13" s="2056">
        <v>93.778000000000006</v>
      </c>
      <c r="D13" s="2057">
        <v>2019</v>
      </c>
      <c r="E13" s="1825">
        <v>102342</v>
      </c>
      <c r="F13" s="1825">
        <v>0</v>
      </c>
      <c r="G13" s="1825">
        <v>102342</v>
      </c>
      <c r="H13" s="1825">
        <v>0</v>
      </c>
      <c r="I13" s="1825">
        <v>0</v>
      </c>
      <c r="J13" s="1825">
        <v>0</v>
      </c>
      <c r="K13" s="1825">
        <v>0</v>
      </c>
      <c r="L13" s="1822">
        <f t="shared" ref="L13:L19" si="0">+G13+I13+K13</f>
        <v>102342</v>
      </c>
      <c r="M13" s="1825" t="s">
        <v>2104</v>
      </c>
    </row>
    <row r="14" spans="2:14" ht="20.100000000000001" customHeight="1" x14ac:dyDescent="0.2">
      <c r="B14" s="2055" t="s">
        <v>1159</v>
      </c>
      <c r="C14" s="2056"/>
      <c r="D14" s="2057">
        <v>2020</v>
      </c>
      <c r="E14" s="1825">
        <v>0</v>
      </c>
      <c r="F14" s="1825">
        <f>251584</f>
        <v>251584</v>
      </c>
      <c r="G14" s="1825">
        <v>0</v>
      </c>
      <c r="H14" s="1825">
        <v>0</v>
      </c>
      <c r="I14" s="1825">
        <v>251584</v>
      </c>
      <c r="J14" s="1825">
        <v>0</v>
      </c>
      <c r="K14" s="1825">
        <v>0</v>
      </c>
      <c r="L14" s="1822">
        <f t="shared" si="0"/>
        <v>251584</v>
      </c>
      <c r="M14" s="1825" t="s">
        <v>2104</v>
      </c>
    </row>
    <row r="15" spans="2:14" ht="20.100000000000001" customHeight="1" x14ac:dyDescent="0.2">
      <c r="B15" s="2055"/>
      <c r="C15" s="2056"/>
      <c r="D15" s="2057"/>
      <c r="E15" s="1825"/>
      <c r="F15" s="1825">
        <f>SUM(F13:F14)</f>
        <v>251584</v>
      </c>
      <c r="G15" s="1825"/>
      <c r="H15" s="1825"/>
      <c r="I15" s="1825">
        <f>SUM(I13:I14)</f>
        <v>251584</v>
      </c>
      <c r="J15" s="1825"/>
      <c r="K15" s="1825"/>
      <c r="L15" s="1822"/>
      <c r="M15" s="1825"/>
    </row>
    <row r="16" spans="2:14" ht="20.100000000000001" customHeight="1" x14ac:dyDescent="0.2">
      <c r="B16" s="2055"/>
      <c r="C16" s="2056"/>
      <c r="D16" s="2057"/>
      <c r="E16" s="1825"/>
      <c r="F16" s="1825"/>
      <c r="G16" s="1825"/>
      <c r="H16" s="1825"/>
      <c r="I16" s="1825"/>
      <c r="J16" s="1825"/>
      <c r="K16" s="1825"/>
      <c r="L16" s="1822"/>
      <c r="M16" s="1825"/>
    </row>
    <row r="17" spans="2:14" ht="20.100000000000001" customHeight="1" x14ac:dyDescent="0.2">
      <c r="B17" s="2055" t="s">
        <v>2172</v>
      </c>
      <c r="C17" s="2056">
        <v>93.87</v>
      </c>
      <c r="D17" s="2057">
        <v>2019</v>
      </c>
      <c r="E17" s="1825">
        <v>87628</v>
      </c>
      <c r="F17" s="1825">
        <v>0</v>
      </c>
      <c r="G17" s="1825">
        <v>87628</v>
      </c>
      <c r="H17" s="1825">
        <v>0</v>
      </c>
      <c r="I17" s="1825">
        <v>0</v>
      </c>
      <c r="J17" s="1825">
        <v>0</v>
      </c>
      <c r="K17" s="1825">
        <v>0</v>
      </c>
      <c r="L17" s="1822">
        <f t="shared" si="0"/>
        <v>87628</v>
      </c>
      <c r="M17" s="1825" t="s">
        <v>2104</v>
      </c>
    </row>
    <row r="18" spans="2:14" ht="20.100000000000001" customHeight="1" x14ac:dyDescent="0.2">
      <c r="B18" s="2055"/>
      <c r="C18" s="2056"/>
      <c r="D18" s="2057">
        <v>2020</v>
      </c>
      <c r="E18" s="1825">
        <v>0</v>
      </c>
      <c r="F18" s="1825">
        <f>132765-660</f>
        <v>132105</v>
      </c>
      <c r="G18" s="1825">
        <v>0</v>
      </c>
      <c r="H18" s="1825">
        <v>0</v>
      </c>
      <c r="I18" s="1825">
        <v>132765</v>
      </c>
      <c r="J18" s="1825">
        <v>0</v>
      </c>
      <c r="K18" s="1825">
        <v>0</v>
      </c>
      <c r="L18" s="1822">
        <f t="shared" si="0"/>
        <v>132765</v>
      </c>
      <c r="M18" s="1825" t="s">
        <v>2104</v>
      </c>
    </row>
    <row r="19" spans="2:14" ht="20.100000000000001" customHeight="1" x14ac:dyDescent="0.2">
      <c r="B19" s="1113"/>
      <c r="C19" s="1823"/>
      <c r="D19" s="1824"/>
      <c r="E19" s="1825"/>
      <c r="F19" s="1825">
        <f>SUM(F17:F18)</f>
        <v>132105</v>
      </c>
      <c r="G19" s="1825"/>
      <c r="H19" s="1825"/>
      <c r="I19" s="1825">
        <f>SUM(I17:I18)</f>
        <v>132765</v>
      </c>
      <c r="J19" s="1825"/>
      <c r="K19" s="1825"/>
      <c r="L19" s="1822">
        <f t="shared" si="0"/>
        <v>132765</v>
      </c>
      <c r="M19" s="1825"/>
    </row>
    <row r="20" spans="2:14" ht="20.100000000000001" customHeight="1" x14ac:dyDescent="0.2">
      <c r="B20" s="1113"/>
      <c r="C20" s="1823"/>
      <c r="D20" s="1824"/>
      <c r="E20" s="1825"/>
      <c r="F20" s="1825"/>
      <c r="G20" s="1825"/>
      <c r="H20" s="1825"/>
      <c r="I20" s="1825"/>
      <c r="J20" s="1825"/>
      <c r="K20" s="1825"/>
      <c r="L20" s="1822"/>
      <c r="M20" s="1825"/>
    </row>
    <row r="21" spans="2:14" ht="20.100000000000001" customHeight="1" x14ac:dyDescent="0.2">
      <c r="B21" s="2058" t="s">
        <v>2111</v>
      </c>
      <c r="C21" s="1823"/>
      <c r="D21" s="1824"/>
      <c r="E21" s="1825"/>
      <c r="F21" s="1825">
        <f>F15+F19</f>
        <v>383689</v>
      </c>
      <c r="G21" s="1825"/>
      <c r="H21" s="1825"/>
      <c r="I21" s="1825">
        <f>I15+I19</f>
        <v>384349</v>
      </c>
      <c r="J21" s="1825"/>
      <c r="K21" s="1825"/>
      <c r="L21" s="1822"/>
      <c r="M21" s="1825"/>
    </row>
    <row r="22" spans="2:14" ht="20.100000000000001" customHeight="1" x14ac:dyDescent="0.2">
      <c r="B22" s="1113"/>
      <c r="C22" s="1823"/>
      <c r="D22" s="1824"/>
      <c r="E22" s="1825"/>
      <c r="F22" s="1825"/>
      <c r="G22" s="1825"/>
      <c r="H22" s="1825"/>
      <c r="I22" s="1825"/>
      <c r="J22" s="1825"/>
      <c r="K22" s="1825"/>
      <c r="L22" s="1822"/>
      <c r="M22" s="1825"/>
    </row>
    <row r="23" spans="2:14" ht="20.100000000000001" customHeight="1" x14ac:dyDescent="0.2">
      <c r="B23" s="1113"/>
      <c r="C23" s="1823"/>
      <c r="D23" s="1824"/>
      <c r="E23" s="1825"/>
      <c r="F23" s="1825"/>
      <c r="G23" s="1825"/>
      <c r="H23" s="1825"/>
      <c r="I23" s="1825"/>
      <c r="J23" s="1825"/>
      <c r="K23" s="1825"/>
      <c r="L23" s="1822"/>
      <c r="M23" s="1825"/>
    </row>
    <row r="24" spans="2:14" ht="20.100000000000001" customHeight="1" x14ac:dyDescent="0.2">
      <c r="B24" s="1113"/>
      <c r="C24" s="1823"/>
      <c r="D24" s="1824"/>
      <c r="E24" s="1825"/>
      <c r="F24" s="1825"/>
      <c r="G24" s="1825"/>
      <c r="H24" s="1825"/>
      <c r="I24" s="1825"/>
      <c r="J24" s="1825"/>
      <c r="K24" s="1825"/>
      <c r="L24" s="1822"/>
      <c r="M24" s="1825"/>
    </row>
    <row r="25" spans="2:14" ht="20.100000000000001" customHeight="1" x14ac:dyDescent="0.2">
      <c r="B25" s="1113"/>
      <c r="C25" s="1823"/>
      <c r="D25" s="1824"/>
      <c r="E25" s="1825"/>
      <c r="F25" s="1825"/>
      <c r="G25" s="1825"/>
      <c r="H25" s="1825"/>
      <c r="I25" s="1825"/>
      <c r="J25" s="1825"/>
      <c r="K25" s="1825"/>
      <c r="L25" s="1822"/>
      <c r="M25" s="1825"/>
    </row>
    <row r="26" spans="2:14" ht="20.100000000000001" customHeight="1" x14ac:dyDescent="0.2">
      <c r="B26" s="1113"/>
      <c r="C26" s="1823"/>
      <c r="D26" s="1824"/>
      <c r="E26" s="1825"/>
      <c r="F26" s="1825"/>
      <c r="G26" s="1825"/>
      <c r="H26" s="1825"/>
      <c r="I26" s="1825"/>
      <c r="J26" s="1825"/>
      <c r="K26" s="1825"/>
      <c r="L26" s="1822"/>
      <c r="M26" s="1825"/>
    </row>
    <row r="27" spans="2:14" ht="16.5" customHeight="1" x14ac:dyDescent="0.2">
      <c r="B27" s="1113"/>
      <c r="C27" s="1823"/>
      <c r="D27" s="1824"/>
      <c r="E27" s="1825"/>
      <c r="F27" s="1825"/>
      <c r="G27" s="1825"/>
      <c r="H27" s="1825"/>
      <c r="I27" s="1825"/>
      <c r="J27" s="1825"/>
      <c r="K27" s="1825"/>
      <c r="L27" s="1822"/>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5" orientation="landscape" horizontalDpi="1200" verticalDpi="1200" r:id="rId1"/>
  <headerFooter>
    <oddHeader>&amp;RPage 41c</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6DFBC-2D4C-4073-BBB5-EE499121ECA8}">
  <sheetPr>
    <pageSetUpPr fitToPage="1"/>
  </sheetPr>
  <dimension ref="B1:N152"/>
  <sheetViews>
    <sheetView topLeftCell="A18" zoomScale="157" zoomScaleNormal="157" workbookViewId="0">
      <selection activeCell="F27" sqref="F27"/>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15" t="str">
        <f>'Single Audit Cover'!A7</f>
        <v xml:space="preserve">   Danville CCSD 118</v>
      </c>
      <c r="C1" s="2659"/>
      <c r="D1" s="2659"/>
      <c r="E1" s="2659"/>
      <c r="F1" s="2659"/>
      <c r="G1" s="2659"/>
      <c r="H1" s="2659"/>
      <c r="I1" s="2659"/>
      <c r="J1" s="2659"/>
      <c r="K1" s="2659"/>
      <c r="L1" s="2659"/>
      <c r="M1" s="2659"/>
    </row>
    <row r="2" spans="2:14" ht="15" x14ac:dyDescent="0.2">
      <c r="B2" s="2660">
        <f>'Single Audit Cover'!E7</f>
        <v>54092118024</v>
      </c>
      <c r="C2" s="2660"/>
      <c r="D2" s="2660"/>
      <c r="E2" s="2660"/>
      <c r="F2" s="2660"/>
      <c r="G2" s="2660"/>
      <c r="H2" s="2660"/>
      <c r="I2" s="2660"/>
      <c r="J2" s="2660"/>
      <c r="K2" s="2660"/>
      <c r="L2" s="2660"/>
      <c r="M2" s="2660"/>
      <c r="N2" s="1078"/>
    </row>
    <row r="3" spans="2:14" ht="15" x14ac:dyDescent="0.2">
      <c r="B3" s="2661" t="s">
        <v>1208</v>
      </c>
      <c r="C3" s="2661"/>
      <c r="D3" s="2661"/>
      <c r="E3" s="2661"/>
      <c r="F3" s="2661"/>
      <c r="G3" s="2661"/>
      <c r="H3" s="2661"/>
      <c r="I3" s="2661"/>
      <c r="J3" s="2661"/>
      <c r="K3" s="2661"/>
      <c r="L3" s="2661"/>
      <c r="M3" s="2661"/>
      <c r="N3" s="1078"/>
    </row>
    <row r="4" spans="2:14" ht="15" x14ac:dyDescent="0.2">
      <c r="B4" s="2662" t="str">
        <f>'Single Audit Cover'!A4</f>
        <v>Year Ending June 30, 2020</v>
      </c>
      <c r="C4" s="2662"/>
      <c r="D4" s="2662"/>
      <c r="E4" s="2662"/>
      <c r="F4" s="2662"/>
      <c r="G4" s="2662"/>
      <c r="H4" s="2662"/>
      <c r="I4" s="2662"/>
      <c r="J4" s="2662"/>
      <c r="K4" s="2662"/>
      <c r="L4" s="2662"/>
      <c r="M4" s="2662"/>
      <c r="N4" s="1078"/>
    </row>
    <row r="5" spans="2:14" x14ac:dyDescent="0.2">
      <c r="H5" s="1907"/>
      <c r="J5" s="1907"/>
    </row>
    <row r="6" spans="2:14" x14ac:dyDescent="0.2">
      <c r="B6" s="1079"/>
      <c r="C6" s="1080"/>
      <c r="D6" s="1081" t="s">
        <v>1254</v>
      </c>
      <c r="E6" s="1082" t="s">
        <v>524</v>
      </c>
      <c r="F6" s="1083"/>
      <c r="G6" s="1084" t="s">
        <v>1708</v>
      </c>
      <c r="H6" s="1082"/>
      <c r="I6" s="1082"/>
      <c r="J6" s="1908"/>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1709</v>
      </c>
      <c r="D9" s="1090" t="s">
        <v>1710</v>
      </c>
      <c r="E9" s="1906" t="str">
        <f>"7/1/"&amp;MID('AFR20'!$E$2,3,2)-2&amp;"-6/30/"&amp;MID('AFR20'!$E$2,3,2)-1</f>
        <v>7/1/18-6/30/19</v>
      </c>
      <c r="F9" s="1906" t="str">
        <f>"7/1/"&amp;MID('AFR20'!$E$2,3,2)-1&amp;"-6/30/"&amp;MID('AFR20'!$E$2,3,2)</f>
        <v>7/1/19-6/30/20</v>
      </c>
      <c r="G9" s="1906" t="str">
        <f>"7/1/"&amp;MID('AFR20'!$E$2,3,2)-2&amp;"-6/30/"&amp;MID('AFR20'!$E$2,3,2)-1</f>
        <v>7/1/18-6/30/19</v>
      </c>
      <c r="H9" s="1093" t="s">
        <v>1565</v>
      </c>
      <c r="I9" s="1906"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60" t="s">
        <v>2112</v>
      </c>
      <c r="C11" s="1820"/>
      <c r="D11" s="1821"/>
      <c r="E11" s="1822"/>
      <c r="F11" s="1822"/>
      <c r="G11" s="1822"/>
      <c r="H11" s="1822"/>
      <c r="I11" s="1822"/>
      <c r="J11" s="1822"/>
      <c r="K11" s="1822"/>
      <c r="L11" s="1822"/>
      <c r="M11" s="1822"/>
    </row>
    <row r="12" spans="2:14" ht="20.100000000000001" customHeight="1" x14ac:dyDescent="0.2">
      <c r="B12" s="2059" t="s">
        <v>2170</v>
      </c>
      <c r="C12" s="1823"/>
      <c r="D12" s="1824"/>
      <c r="E12" s="1825"/>
      <c r="F12" s="1825"/>
      <c r="G12" s="1825"/>
      <c r="H12" s="1825"/>
      <c r="I12" s="1825"/>
      <c r="J12" s="1825"/>
      <c r="K12" s="1825"/>
      <c r="L12" s="1822"/>
      <c r="M12" s="1825"/>
    </row>
    <row r="13" spans="2:14" ht="20.100000000000001" customHeight="1" x14ac:dyDescent="0.2">
      <c r="B13" s="2059" t="s">
        <v>2113</v>
      </c>
      <c r="C13" s="2067">
        <v>84.01</v>
      </c>
      <c r="D13" s="2068" t="s">
        <v>2121</v>
      </c>
      <c r="E13" s="2066">
        <v>4197832</v>
      </c>
      <c r="F13" s="1825">
        <v>177747</v>
      </c>
      <c r="G13" s="1825">
        <v>4197832</v>
      </c>
      <c r="H13" s="1825">
        <v>0</v>
      </c>
      <c r="I13" s="1825">
        <v>177747</v>
      </c>
      <c r="J13" s="1825">
        <v>0</v>
      </c>
      <c r="K13" s="1825">
        <v>0</v>
      </c>
      <c r="L13" s="1822">
        <f t="shared" ref="L13:L26" si="0">+G13+I13+K13</f>
        <v>4375579</v>
      </c>
      <c r="M13" s="1825">
        <v>4569122</v>
      </c>
    </row>
    <row r="14" spans="2:14" ht="20.100000000000001" customHeight="1" x14ac:dyDescent="0.2">
      <c r="B14" s="2059"/>
      <c r="C14" s="2067"/>
      <c r="D14" s="2068" t="s">
        <v>2122</v>
      </c>
      <c r="E14" s="2066">
        <v>0</v>
      </c>
      <c r="F14" s="1825">
        <v>3401080</v>
      </c>
      <c r="G14" s="1825">
        <v>0</v>
      </c>
      <c r="H14" s="1825">
        <v>0</v>
      </c>
      <c r="I14" s="1825">
        <v>3318216</v>
      </c>
      <c r="J14" s="1825">
        <v>0</v>
      </c>
      <c r="K14" s="1825">
        <v>0</v>
      </c>
      <c r="L14" s="1822">
        <f t="shared" si="0"/>
        <v>3318216</v>
      </c>
      <c r="M14" s="1825">
        <v>4489174</v>
      </c>
    </row>
    <row r="15" spans="2:14" ht="20.100000000000001" customHeight="1" x14ac:dyDescent="0.2">
      <c r="B15" s="2059"/>
      <c r="C15" s="2067"/>
      <c r="D15" s="2068"/>
      <c r="E15" s="2066"/>
      <c r="F15" s="1825">
        <f>SUM(F13:F14)</f>
        <v>3578827</v>
      </c>
      <c r="G15" s="1825"/>
      <c r="H15" s="1825"/>
      <c r="I15" s="1825">
        <f>SUM(I13:I14)</f>
        <v>3495963</v>
      </c>
      <c r="J15" s="1825"/>
      <c r="K15" s="1825"/>
      <c r="L15" s="1822"/>
      <c r="M15" s="1825"/>
    </row>
    <row r="16" spans="2:14" ht="20.100000000000001" customHeight="1" x14ac:dyDescent="0.2">
      <c r="B16" s="2059"/>
      <c r="C16" s="2067"/>
      <c r="D16" s="2068"/>
      <c r="E16" s="2066"/>
      <c r="F16" s="1825"/>
      <c r="G16" s="1825"/>
      <c r="H16" s="1825"/>
      <c r="I16" s="1825"/>
      <c r="J16" s="1825"/>
      <c r="K16" s="1825"/>
      <c r="L16" s="1822"/>
      <c r="M16" s="1825"/>
    </row>
    <row r="17" spans="2:14" ht="20.100000000000001" customHeight="1" x14ac:dyDescent="0.2">
      <c r="B17" s="2059" t="s">
        <v>2114</v>
      </c>
      <c r="C17" s="2067">
        <v>84.01</v>
      </c>
      <c r="D17" s="2068" t="s">
        <v>2123</v>
      </c>
      <c r="E17" s="2066">
        <v>18739</v>
      </c>
      <c r="F17" s="1825">
        <v>13281</v>
      </c>
      <c r="G17" s="1825">
        <v>18739</v>
      </c>
      <c r="H17" s="1825">
        <v>0</v>
      </c>
      <c r="I17" s="1825">
        <v>13281</v>
      </c>
      <c r="J17" s="1825">
        <v>0</v>
      </c>
      <c r="K17" s="1825">
        <v>0</v>
      </c>
      <c r="L17" s="1822">
        <f t="shared" si="0"/>
        <v>32020</v>
      </c>
      <c r="M17" s="1825">
        <v>55904</v>
      </c>
    </row>
    <row r="18" spans="2:14" ht="20.100000000000001" customHeight="1" x14ac:dyDescent="0.2">
      <c r="B18" s="2059"/>
      <c r="C18" s="2067"/>
      <c r="D18" s="2068" t="s">
        <v>2124</v>
      </c>
      <c r="E18" s="2066">
        <v>0</v>
      </c>
      <c r="F18" s="1825">
        <v>9433</v>
      </c>
      <c r="G18" s="1825">
        <v>0</v>
      </c>
      <c r="H18" s="1825">
        <v>0</v>
      </c>
      <c r="I18" s="1825">
        <v>9433</v>
      </c>
      <c r="J18" s="1825">
        <v>0</v>
      </c>
      <c r="K18" s="1825">
        <v>0</v>
      </c>
      <c r="L18" s="1822">
        <f t="shared" si="0"/>
        <v>9433</v>
      </c>
      <c r="M18" s="1825">
        <v>71451</v>
      </c>
    </row>
    <row r="19" spans="2:14" ht="20.100000000000001" customHeight="1" x14ac:dyDescent="0.2">
      <c r="B19" s="2059"/>
      <c r="C19" s="1823"/>
      <c r="D19" s="1824"/>
      <c r="E19" s="1825"/>
      <c r="F19" s="1825">
        <f>SUM(F17:F18)</f>
        <v>22714</v>
      </c>
      <c r="G19" s="1825"/>
      <c r="H19" s="1825"/>
      <c r="I19" s="1825">
        <f>SUM(I17:I18)</f>
        <v>22714</v>
      </c>
      <c r="J19" s="1825"/>
      <c r="K19" s="1825"/>
      <c r="L19" s="1822"/>
      <c r="M19" s="1825"/>
    </row>
    <row r="20" spans="2:14" ht="20.100000000000001" customHeight="1" x14ac:dyDescent="0.2">
      <c r="B20" s="2063"/>
      <c r="C20" s="2064"/>
      <c r="D20" s="2065"/>
      <c r="E20" s="1825"/>
      <c r="F20" s="1825"/>
      <c r="G20" s="1825"/>
      <c r="H20" s="1825"/>
      <c r="I20" s="1825"/>
      <c r="J20" s="1825"/>
      <c r="K20" s="1825"/>
      <c r="L20" s="1822"/>
      <c r="M20" s="1825"/>
    </row>
    <row r="21" spans="2:14" ht="20.100000000000001" customHeight="1" x14ac:dyDescent="0.2">
      <c r="B21" s="2079" t="s">
        <v>2118</v>
      </c>
      <c r="C21" s="2080">
        <v>84.376999999999995</v>
      </c>
      <c r="D21" s="2081" t="s">
        <v>2119</v>
      </c>
      <c r="E21" s="1825">
        <v>363385</v>
      </c>
      <c r="F21" s="1825">
        <v>91217</v>
      </c>
      <c r="G21" s="1825">
        <v>363385</v>
      </c>
      <c r="H21" s="1825">
        <v>0</v>
      </c>
      <c r="I21" s="1825">
        <v>91217</v>
      </c>
      <c r="J21" s="1825">
        <v>0</v>
      </c>
      <c r="K21" s="1825">
        <v>0</v>
      </c>
      <c r="L21" s="1822">
        <f t="shared" si="0"/>
        <v>454602</v>
      </c>
      <c r="M21" s="1825" t="s">
        <v>2104</v>
      </c>
    </row>
    <row r="22" spans="2:14" ht="20.100000000000001" customHeight="1" x14ac:dyDescent="0.2">
      <c r="B22" s="2079"/>
      <c r="C22" s="2080"/>
      <c r="D22" s="2081" t="s">
        <v>2120</v>
      </c>
      <c r="E22" s="1825">
        <v>0</v>
      </c>
      <c r="F22" s="1825">
        <v>190441</v>
      </c>
      <c r="G22" s="1825">
        <v>0</v>
      </c>
      <c r="H22" s="1825">
        <v>0</v>
      </c>
      <c r="I22" s="1825">
        <v>190441</v>
      </c>
      <c r="J22" s="1825">
        <v>0</v>
      </c>
      <c r="K22" s="1825">
        <v>0</v>
      </c>
      <c r="L22" s="1822">
        <f t="shared" si="0"/>
        <v>190441</v>
      </c>
      <c r="M22" s="1825" t="s">
        <v>2104</v>
      </c>
    </row>
    <row r="23" spans="2:14" ht="20.100000000000001" customHeight="1" x14ac:dyDescent="0.2">
      <c r="B23" s="2069"/>
      <c r="C23" s="2070"/>
      <c r="D23" s="2071"/>
      <c r="E23" s="1825"/>
      <c r="F23" s="1825">
        <f>SUM(F21:F22)</f>
        <v>281658</v>
      </c>
      <c r="G23" s="1825"/>
      <c r="H23" s="1825"/>
      <c r="I23" s="1825">
        <f>SUM(I21:I22)</f>
        <v>281658</v>
      </c>
      <c r="J23" s="1825"/>
      <c r="K23" s="1825"/>
      <c r="L23" s="1822"/>
      <c r="M23" s="1825"/>
    </row>
    <row r="24" spans="2:14" ht="20.100000000000001" customHeight="1" x14ac:dyDescent="0.2">
      <c r="B24" s="2072"/>
      <c r="C24" s="2073"/>
      <c r="D24" s="2074"/>
      <c r="E24" s="1825"/>
      <c r="F24" s="1825"/>
      <c r="G24" s="1825"/>
      <c r="H24" s="1825"/>
      <c r="I24" s="1825"/>
      <c r="J24" s="1825"/>
      <c r="K24" s="1825"/>
      <c r="L24" s="1822"/>
      <c r="M24" s="1825"/>
    </row>
    <row r="25" spans="2:14" ht="20.100000000000001" customHeight="1" x14ac:dyDescent="0.2">
      <c r="B25" s="2083" t="s">
        <v>2155</v>
      </c>
      <c r="C25" s="2084">
        <v>84.367000000000004</v>
      </c>
      <c r="D25" s="2085" t="s">
        <v>2129</v>
      </c>
      <c r="E25" s="2082">
        <v>362166</v>
      </c>
      <c r="F25" s="1825">
        <v>174725</v>
      </c>
      <c r="G25" s="1825">
        <v>362166</v>
      </c>
      <c r="H25" s="1825">
        <v>0</v>
      </c>
      <c r="I25" s="1825">
        <v>174725</v>
      </c>
      <c r="J25" s="1825">
        <v>0</v>
      </c>
      <c r="K25" s="1825">
        <v>0</v>
      </c>
      <c r="L25" s="1822">
        <f t="shared" si="0"/>
        <v>536891</v>
      </c>
      <c r="M25" s="1825">
        <v>563056</v>
      </c>
    </row>
    <row r="26" spans="2:14" ht="20.100000000000001" customHeight="1" x14ac:dyDescent="0.2">
      <c r="B26" s="2083"/>
      <c r="C26" s="2084"/>
      <c r="D26" s="2085" t="s">
        <v>2130</v>
      </c>
      <c r="E26" s="2082">
        <v>0</v>
      </c>
      <c r="F26" s="1825">
        <v>359046</v>
      </c>
      <c r="G26" s="1825">
        <v>0</v>
      </c>
      <c r="H26" s="1825">
        <v>0</v>
      </c>
      <c r="I26" s="1825">
        <v>358834</v>
      </c>
      <c r="J26" s="1825">
        <v>0</v>
      </c>
      <c r="K26" s="1825">
        <v>0</v>
      </c>
      <c r="L26" s="1822">
        <f t="shared" si="0"/>
        <v>358834</v>
      </c>
      <c r="M26" s="1825">
        <v>485680</v>
      </c>
    </row>
    <row r="27" spans="2:14" ht="16.5" customHeight="1" x14ac:dyDescent="0.2">
      <c r="B27" s="2072"/>
      <c r="C27" s="1823"/>
      <c r="D27" s="1824"/>
      <c r="E27" s="1825"/>
      <c r="F27" s="1825">
        <f>SUM(F25:F26)</f>
        <v>533771</v>
      </c>
      <c r="G27" s="1825"/>
      <c r="H27" s="1825"/>
      <c r="I27" s="1825">
        <f>SUM(I25:I26)</f>
        <v>533559</v>
      </c>
      <c r="J27" s="1825"/>
      <c r="K27" s="1825"/>
      <c r="L27" s="1822"/>
      <c r="M27" s="1825"/>
      <c r="N27" s="1114"/>
    </row>
    <row r="28" spans="2:14" ht="12.75" customHeight="1" x14ac:dyDescent="0.2">
      <c r="B28" s="2059"/>
      <c r="C28" s="1116"/>
      <c r="D28" s="1117"/>
      <c r="E28" s="1118"/>
      <c r="F28" s="1118"/>
      <c r="G28" s="1118"/>
      <c r="H28" s="1118"/>
      <c r="I28" s="1118"/>
      <c r="J28" s="1118"/>
      <c r="K28" s="1118"/>
      <c r="L28" s="1118"/>
      <c r="M28" s="1118"/>
      <c r="N28" s="1114"/>
    </row>
    <row r="29" spans="2:14" x14ac:dyDescent="0.2">
      <c r="B29" s="2059"/>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5" orientation="landscape" horizontalDpi="1200" verticalDpi="1200" r:id="rId1"/>
  <headerFooter>
    <oddHeader>&amp;RPage 41d</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0A154-D22C-40E7-8A52-077518BF3C85}">
  <sheetPr>
    <pageSetUpPr fitToPage="1"/>
  </sheetPr>
  <dimension ref="B1:N152"/>
  <sheetViews>
    <sheetView topLeftCell="A17" zoomScale="153" zoomScaleNormal="153" workbookViewId="0">
      <selection activeCell="M25" sqref="M2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15" t="str">
        <f>'Single Audit Cover'!A7</f>
        <v xml:space="preserve">   Danville CCSD 118</v>
      </c>
      <c r="C1" s="2659"/>
      <c r="D1" s="2659"/>
      <c r="E1" s="2659"/>
      <c r="F1" s="2659"/>
      <c r="G1" s="2659"/>
      <c r="H1" s="2659"/>
      <c r="I1" s="2659"/>
      <c r="J1" s="2659"/>
      <c r="K1" s="2659"/>
      <c r="L1" s="2659"/>
      <c r="M1" s="2659"/>
    </row>
    <row r="2" spans="2:14" ht="15" x14ac:dyDescent="0.2">
      <c r="B2" s="2660">
        <f>'Single Audit Cover'!E7</f>
        <v>54092118024</v>
      </c>
      <c r="C2" s="2660"/>
      <c r="D2" s="2660"/>
      <c r="E2" s="2660"/>
      <c r="F2" s="2660"/>
      <c r="G2" s="2660"/>
      <c r="H2" s="2660"/>
      <c r="I2" s="2660"/>
      <c r="J2" s="2660"/>
      <c r="K2" s="2660"/>
      <c r="L2" s="2660"/>
      <c r="M2" s="2660"/>
      <c r="N2" s="1078"/>
    </row>
    <row r="3" spans="2:14" ht="15" x14ac:dyDescent="0.2">
      <c r="B3" s="2661" t="s">
        <v>1208</v>
      </c>
      <c r="C3" s="2661"/>
      <c r="D3" s="2661"/>
      <c r="E3" s="2661"/>
      <c r="F3" s="2661"/>
      <c r="G3" s="2661"/>
      <c r="H3" s="2661"/>
      <c r="I3" s="2661"/>
      <c r="J3" s="2661"/>
      <c r="K3" s="2661"/>
      <c r="L3" s="2661"/>
      <c r="M3" s="2661"/>
      <c r="N3" s="1078"/>
    </row>
    <row r="4" spans="2:14" ht="15" x14ac:dyDescent="0.2">
      <c r="B4" s="2662" t="str">
        <f>'Single Audit Cover'!A4</f>
        <v>Year Ending June 30, 2020</v>
      </c>
      <c r="C4" s="2662"/>
      <c r="D4" s="2662"/>
      <c r="E4" s="2662"/>
      <c r="F4" s="2662"/>
      <c r="G4" s="2662"/>
      <c r="H4" s="2662"/>
      <c r="I4" s="2662"/>
      <c r="J4" s="2662"/>
      <c r="K4" s="2662"/>
      <c r="L4" s="2662"/>
      <c r="M4" s="2662"/>
      <c r="N4" s="1078"/>
    </row>
    <row r="5" spans="2:14" x14ac:dyDescent="0.2">
      <c r="H5" s="1907"/>
      <c r="J5" s="1907"/>
    </row>
    <row r="6" spans="2:14" x14ac:dyDescent="0.2">
      <c r="B6" s="1079"/>
      <c r="C6" s="1080"/>
      <c r="D6" s="1081" t="s">
        <v>1254</v>
      </c>
      <c r="E6" s="1082" t="s">
        <v>524</v>
      </c>
      <c r="F6" s="1083"/>
      <c r="G6" s="1084" t="s">
        <v>1708</v>
      </c>
      <c r="H6" s="1082"/>
      <c r="I6" s="1082"/>
      <c r="J6" s="1908"/>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1709</v>
      </c>
      <c r="D9" s="1090" t="s">
        <v>1710</v>
      </c>
      <c r="E9" s="1906" t="str">
        <f>"7/1/"&amp;MID('AFR20'!$E$2,3,2)-2&amp;"-6/30/"&amp;MID('AFR20'!$E$2,3,2)-1</f>
        <v>7/1/18-6/30/19</v>
      </c>
      <c r="F9" s="1906" t="str">
        <f>"7/1/"&amp;MID('AFR20'!$E$2,3,2)-1&amp;"-6/30/"&amp;MID('AFR20'!$E$2,3,2)</f>
        <v>7/1/19-6/30/20</v>
      </c>
      <c r="G9" s="1906" t="str">
        <f>"7/1/"&amp;MID('AFR20'!$E$2,3,2)-2&amp;"-6/30/"&amp;MID('AFR20'!$E$2,3,2)-1</f>
        <v>7/1/18-6/30/19</v>
      </c>
      <c r="H9" s="1093" t="s">
        <v>1565</v>
      </c>
      <c r="I9" s="1906"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83" t="s">
        <v>2170</v>
      </c>
      <c r="C11" s="2084"/>
      <c r="D11" s="2085"/>
      <c r="E11" s="1825"/>
      <c r="F11" s="1825"/>
      <c r="G11" s="1825"/>
      <c r="H11" s="1825"/>
      <c r="I11" s="1825"/>
      <c r="J11" s="1825"/>
      <c r="K11" s="1825"/>
      <c r="L11" s="1822"/>
      <c r="M11" s="1825"/>
    </row>
    <row r="12" spans="2:14" ht="20.100000000000001" customHeight="1" x14ac:dyDescent="0.2">
      <c r="B12" s="2086" t="s">
        <v>2131</v>
      </c>
      <c r="C12" s="2087" t="s">
        <v>2132</v>
      </c>
      <c r="D12" s="2088" t="s">
        <v>2133</v>
      </c>
      <c r="E12" s="1825">
        <v>1155</v>
      </c>
      <c r="F12" s="1825">
        <v>0</v>
      </c>
      <c r="G12" s="1825">
        <v>1155</v>
      </c>
      <c r="H12" s="1825">
        <v>0</v>
      </c>
      <c r="I12" s="1825">
        <v>0</v>
      </c>
      <c r="J12" s="1825">
        <v>0</v>
      </c>
      <c r="K12" s="1825">
        <v>0</v>
      </c>
      <c r="L12" s="1822">
        <f t="shared" ref="L12:L13" si="0">+G12+I12+K12</f>
        <v>1155</v>
      </c>
      <c r="M12" s="1825">
        <v>2850</v>
      </c>
    </row>
    <row r="13" spans="2:14" ht="20.100000000000001" customHeight="1" x14ac:dyDescent="0.2">
      <c r="B13" s="2086"/>
      <c r="C13" s="2087"/>
      <c r="D13" s="2088" t="s">
        <v>2134</v>
      </c>
      <c r="E13" s="1825">
        <v>0</v>
      </c>
      <c r="F13" s="1825">
        <v>1650</v>
      </c>
      <c r="G13" s="1825">
        <v>0</v>
      </c>
      <c r="H13" s="1825">
        <v>0</v>
      </c>
      <c r="I13" s="1825">
        <v>1650</v>
      </c>
      <c r="J13" s="1825">
        <v>0</v>
      </c>
      <c r="K13" s="1825">
        <v>0</v>
      </c>
      <c r="L13" s="1822">
        <f t="shared" si="0"/>
        <v>1650</v>
      </c>
      <c r="M13" s="1825">
        <v>1695</v>
      </c>
    </row>
    <row r="14" spans="2:14" ht="20.100000000000001" customHeight="1" x14ac:dyDescent="0.2">
      <c r="B14" s="2083"/>
      <c r="C14" s="2084"/>
      <c r="D14" s="2085"/>
      <c r="E14" s="1825"/>
      <c r="F14" s="1825">
        <f>SUM(F12:F13)</f>
        <v>1650</v>
      </c>
      <c r="G14" s="1825"/>
      <c r="H14" s="1825"/>
      <c r="I14" s="1825">
        <f>SUM(I12:I13)</f>
        <v>1650</v>
      </c>
      <c r="J14" s="1825"/>
      <c r="K14" s="1825"/>
      <c r="L14" s="1822"/>
      <c r="M14" s="1825"/>
    </row>
    <row r="15" spans="2:14" ht="20.100000000000001" customHeight="1" x14ac:dyDescent="0.2">
      <c r="B15" s="2083"/>
      <c r="C15" s="2084"/>
      <c r="D15" s="2085"/>
      <c r="E15" s="1825"/>
      <c r="F15" s="1825"/>
      <c r="G15" s="1825"/>
      <c r="H15" s="1825"/>
      <c r="I15" s="1825"/>
      <c r="J15" s="1825"/>
      <c r="K15" s="1825"/>
      <c r="L15" s="1822"/>
      <c r="M15" s="1825"/>
    </row>
    <row r="16" spans="2:14" ht="20.100000000000001" customHeight="1" x14ac:dyDescent="0.2">
      <c r="B16" s="2090" t="s">
        <v>2135</v>
      </c>
      <c r="C16" s="2091">
        <v>84.364999999999995</v>
      </c>
      <c r="D16" s="2092" t="s">
        <v>2136</v>
      </c>
      <c r="E16" s="2089">
        <v>22231</v>
      </c>
      <c r="F16" s="1825">
        <v>2941</v>
      </c>
      <c r="G16" s="1825">
        <v>22231</v>
      </c>
      <c r="H16" s="1825">
        <v>0</v>
      </c>
      <c r="I16" s="1825">
        <v>2941</v>
      </c>
      <c r="J16" s="1825">
        <v>0</v>
      </c>
      <c r="K16" s="1825">
        <v>0</v>
      </c>
      <c r="L16" s="1822">
        <f t="shared" ref="L16:L17" si="1">+G16+I16+K16</f>
        <v>25172</v>
      </c>
      <c r="M16" s="1825">
        <v>25282</v>
      </c>
    </row>
    <row r="17" spans="2:14" ht="20.100000000000001" customHeight="1" x14ac:dyDescent="0.2">
      <c r="B17" s="2090"/>
      <c r="C17" s="2091"/>
      <c r="D17" s="2092" t="s">
        <v>2137</v>
      </c>
      <c r="E17" s="2089">
        <v>0</v>
      </c>
      <c r="F17" s="1825">
        <v>15045</v>
      </c>
      <c r="G17" s="1825">
        <v>0</v>
      </c>
      <c r="H17" s="1825">
        <v>0</v>
      </c>
      <c r="I17" s="1825">
        <v>15045</v>
      </c>
      <c r="J17" s="1825">
        <v>0</v>
      </c>
      <c r="K17" s="1825">
        <v>0</v>
      </c>
      <c r="L17" s="1822">
        <f t="shared" si="1"/>
        <v>15045</v>
      </c>
      <c r="M17" s="1825">
        <v>19810</v>
      </c>
    </row>
    <row r="18" spans="2:14" ht="20.100000000000001" customHeight="1" x14ac:dyDescent="0.2">
      <c r="B18" s="2083"/>
      <c r="C18" s="1823"/>
      <c r="D18" s="1824"/>
      <c r="E18" s="1825"/>
      <c r="F18" s="1825">
        <f>SUM(F16:F17)</f>
        <v>17986</v>
      </c>
      <c r="G18" s="1825"/>
      <c r="H18" s="1825"/>
      <c r="I18" s="1825">
        <f>SUM(I16:I17)</f>
        <v>17986</v>
      </c>
      <c r="J18" s="1825"/>
      <c r="K18" s="1825"/>
      <c r="L18" s="1822"/>
      <c r="M18" s="1825"/>
    </row>
    <row r="19" spans="2:14" ht="20.100000000000001" customHeight="1" x14ac:dyDescent="0.2">
      <c r="B19" s="2083"/>
      <c r="C19" s="1823"/>
      <c r="D19" s="1824"/>
      <c r="E19" s="1825"/>
      <c r="F19" s="1825"/>
      <c r="G19" s="1825"/>
      <c r="H19" s="1825"/>
      <c r="I19" s="1825"/>
      <c r="J19" s="1825"/>
      <c r="K19" s="1825"/>
      <c r="L19" s="1822"/>
      <c r="M19" s="1825"/>
    </row>
    <row r="20" spans="2:14" ht="20.100000000000001" customHeight="1" x14ac:dyDescent="0.2">
      <c r="B20" s="2094" t="s">
        <v>2138</v>
      </c>
      <c r="C20" s="2095" t="s">
        <v>2139</v>
      </c>
      <c r="D20" s="2096" t="s">
        <v>2140</v>
      </c>
      <c r="E20" s="2093">
        <v>0</v>
      </c>
      <c r="F20" s="2093">
        <v>0</v>
      </c>
      <c r="G20" s="1825">
        <v>0</v>
      </c>
      <c r="H20" s="1825">
        <v>0</v>
      </c>
      <c r="I20" s="1825">
        <v>0</v>
      </c>
      <c r="J20" s="1825">
        <v>0</v>
      </c>
      <c r="K20" s="1825">
        <v>0</v>
      </c>
      <c r="L20" s="1822">
        <f t="shared" ref="L20:L21" si="2">+G20+I20+K20</f>
        <v>0</v>
      </c>
      <c r="M20" s="1825">
        <v>0</v>
      </c>
    </row>
    <row r="21" spans="2:14" ht="20.100000000000001" customHeight="1" x14ac:dyDescent="0.2">
      <c r="B21" s="2094"/>
      <c r="C21" s="2095"/>
      <c r="D21" s="2096" t="s">
        <v>2141</v>
      </c>
      <c r="E21" s="2093">
        <v>0</v>
      </c>
      <c r="F21" s="2093">
        <v>193991</v>
      </c>
      <c r="G21" s="1825">
        <v>0</v>
      </c>
      <c r="H21" s="1825">
        <v>0</v>
      </c>
      <c r="I21" s="1825">
        <v>193991</v>
      </c>
      <c r="J21" s="1825">
        <v>0</v>
      </c>
      <c r="K21" s="1825">
        <v>0</v>
      </c>
      <c r="L21" s="1822">
        <f t="shared" si="2"/>
        <v>193991</v>
      </c>
      <c r="M21" s="1825">
        <v>310533</v>
      </c>
    </row>
    <row r="22" spans="2:14" ht="20.100000000000001" customHeight="1" x14ac:dyDescent="0.2">
      <c r="B22" s="1113"/>
      <c r="C22" s="1823"/>
      <c r="D22" s="1824"/>
      <c r="E22" s="1825"/>
      <c r="F22" s="1825">
        <f>SUM(F20:F21)</f>
        <v>193991</v>
      </c>
      <c r="G22" s="1825"/>
      <c r="H22" s="1825"/>
      <c r="I22" s="1825">
        <f>SUM(I20:I21)</f>
        <v>193991</v>
      </c>
      <c r="J22" s="1825"/>
      <c r="K22" s="1825"/>
      <c r="L22" s="1822"/>
      <c r="M22" s="1825"/>
    </row>
    <row r="23" spans="2:14" ht="20.100000000000001" customHeight="1" x14ac:dyDescent="0.2">
      <c r="B23" s="2098"/>
      <c r="C23" s="2099"/>
      <c r="D23" s="2100"/>
      <c r="E23" s="2097"/>
      <c r="F23" s="2097"/>
      <c r="G23" s="1825"/>
      <c r="H23" s="1825"/>
      <c r="I23" s="1825"/>
      <c r="J23" s="1825"/>
      <c r="K23" s="1825"/>
      <c r="L23" s="1822"/>
      <c r="M23" s="1825"/>
    </row>
    <row r="24" spans="2:14" ht="20.100000000000001" customHeight="1" x14ac:dyDescent="0.2">
      <c r="B24" s="2102" t="s">
        <v>2142</v>
      </c>
      <c r="C24" s="2103">
        <v>84.424999999999997</v>
      </c>
      <c r="D24" s="2104" t="s">
        <v>2143</v>
      </c>
      <c r="E24" s="2101">
        <v>0</v>
      </c>
      <c r="F24" s="2101">
        <v>0</v>
      </c>
      <c r="G24" s="1825">
        <v>0</v>
      </c>
      <c r="H24" s="1825">
        <v>0</v>
      </c>
      <c r="I24" s="1825">
        <v>0</v>
      </c>
      <c r="J24" s="1825">
        <v>0</v>
      </c>
      <c r="K24" s="1825">
        <v>0</v>
      </c>
      <c r="L24" s="1822">
        <f t="shared" ref="L24:L25" si="3">+G24+I24+K24</f>
        <v>0</v>
      </c>
      <c r="M24" s="1825">
        <v>0</v>
      </c>
    </row>
    <row r="25" spans="2:14" ht="20.100000000000001" customHeight="1" x14ac:dyDescent="0.2">
      <c r="B25" s="2102"/>
      <c r="C25" s="2103"/>
      <c r="D25" s="2104" t="s">
        <v>2144</v>
      </c>
      <c r="E25" s="2101"/>
      <c r="F25" s="2101">
        <v>104428</v>
      </c>
      <c r="G25" s="1825">
        <v>0</v>
      </c>
      <c r="H25" s="1825">
        <v>0</v>
      </c>
      <c r="I25" s="1825">
        <v>104428</v>
      </c>
      <c r="J25" s="1825">
        <v>0</v>
      </c>
      <c r="K25" s="1825">
        <v>0</v>
      </c>
      <c r="L25" s="1822">
        <f t="shared" si="3"/>
        <v>104428</v>
      </c>
      <c r="M25" s="1825">
        <v>3580124</v>
      </c>
    </row>
    <row r="26" spans="2:14" ht="20.100000000000001" customHeight="1" x14ac:dyDescent="0.2">
      <c r="B26" s="1113"/>
      <c r="C26" s="1823"/>
      <c r="D26" s="1824"/>
      <c r="E26" s="1825"/>
      <c r="F26" s="1825">
        <f>SUM(F24:F25)</f>
        <v>104428</v>
      </c>
      <c r="G26" s="1825"/>
      <c r="H26" s="1825"/>
      <c r="I26" s="1825">
        <f>SUM(I24:I25)</f>
        <v>104428</v>
      </c>
      <c r="J26" s="1825"/>
      <c r="K26" s="1825"/>
      <c r="L26" s="1822"/>
      <c r="M26" s="1825"/>
    </row>
    <row r="27" spans="2:14" ht="20.100000000000001" customHeight="1" x14ac:dyDescent="0.2">
      <c r="B27" s="1113"/>
      <c r="C27" s="1823"/>
      <c r="D27" s="1824"/>
      <c r="E27" s="1825"/>
      <c r="F27" s="1825"/>
      <c r="G27" s="1825"/>
      <c r="H27" s="1825"/>
      <c r="I27" s="1825"/>
      <c r="J27" s="1825"/>
      <c r="K27" s="1825"/>
      <c r="L27" s="1822"/>
      <c r="M27" s="1825"/>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5" orientation="landscape" horizontalDpi="1200" verticalDpi="1200" r:id="rId1"/>
  <headerFooter>
    <oddHeader>&amp;R&amp;8Page 41e</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2B8E3-1EBD-4CF5-9C6C-3DAB0EF8E9CB}">
  <sheetPr>
    <pageSetUpPr fitToPage="1"/>
  </sheetPr>
  <dimension ref="B1:O152"/>
  <sheetViews>
    <sheetView topLeftCell="A16" zoomScale="149" zoomScaleNormal="149" workbookViewId="0">
      <selection activeCell="I27" sqref="I27"/>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15" t="str">
        <f>'Single Audit Cover'!A7</f>
        <v xml:space="preserve">   Danville CCSD 118</v>
      </c>
      <c r="C1" s="2659"/>
      <c r="D1" s="2659"/>
      <c r="E1" s="2659"/>
      <c r="F1" s="2659"/>
      <c r="G1" s="2659"/>
      <c r="H1" s="2659"/>
      <c r="I1" s="2659"/>
      <c r="J1" s="2659"/>
      <c r="K1" s="2659"/>
      <c r="L1" s="2659"/>
      <c r="M1" s="2659"/>
    </row>
    <row r="2" spans="2:14" ht="15" x14ac:dyDescent="0.2">
      <c r="B2" s="2660">
        <f>'Single Audit Cover'!E7</f>
        <v>54092118024</v>
      </c>
      <c r="C2" s="2660"/>
      <c r="D2" s="2660"/>
      <c r="E2" s="2660"/>
      <c r="F2" s="2660"/>
      <c r="G2" s="2660"/>
      <c r="H2" s="2660"/>
      <c r="I2" s="2660"/>
      <c r="J2" s="2660"/>
      <c r="K2" s="2660"/>
      <c r="L2" s="2660"/>
      <c r="M2" s="2660"/>
      <c r="N2" s="1078"/>
    </row>
    <row r="3" spans="2:14" ht="15" x14ac:dyDescent="0.2">
      <c r="B3" s="2661" t="s">
        <v>1208</v>
      </c>
      <c r="C3" s="2661"/>
      <c r="D3" s="2661"/>
      <c r="E3" s="2661"/>
      <c r="F3" s="2661"/>
      <c r="G3" s="2661"/>
      <c r="H3" s="2661"/>
      <c r="I3" s="2661"/>
      <c r="J3" s="2661"/>
      <c r="K3" s="2661"/>
      <c r="L3" s="2661"/>
      <c r="M3" s="2661"/>
      <c r="N3" s="1078"/>
    </row>
    <row r="4" spans="2:14" ht="15" x14ac:dyDescent="0.2">
      <c r="B4" s="2662" t="str">
        <f>'Single Audit Cover'!A4</f>
        <v>Year Ending June 30, 2020</v>
      </c>
      <c r="C4" s="2662"/>
      <c r="D4" s="2662"/>
      <c r="E4" s="2662"/>
      <c r="F4" s="2662"/>
      <c r="G4" s="2662"/>
      <c r="H4" s="2662"/>
      <c r="I4" s="2662"/>
      <c r="J4" s="2662"/>
      <c r="K4" s="2662"/>
      <c r="L4" s="2662"/>
      <c r="M4" s="2662"/>
      <c r="N4" s="1078"/>
    </row>
    <row r="5" spans="2:14" x14ac:dyDescent="0.2">
      <c r="H5" s="1907"/>
      <c r="J5" s="1907"/>
    </row>
    <row r="6" spans="2:14" x14ac:dyDescent="0.2">
      <c r="B6" s="1079"/>
      <c r="C6" s="1080"/>
      <c r="D6" s="1081" t="s">
        <v>1254</v>
      </c>
      <c r="E6" s="1082" t="s">
        <v>524</v>
      </c>
      <c r="F6" s="1083"/>
      <c r="G6" s="1084" t="s">
        <v>1708</v>
      </c>
      <c r="H6" s="1082"/>
      <c r="I6" s="1082"/>
      <c r="J6" s="1908"/>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1709</v>
      </c>
      <c r="D9" s="1090" t="s">
        <v>1710</v>
      </c>
      <c r="E9" s="1906" t="str">
        <f>"7/1/"&amp;MID('AFR20'!$E$2,3,2)-2&amp;"-6/30/"&amp;MID('AFR20'!$E$2,3,2)-1</f>
        <v>7/1/18-6/30/19</v>
      </c>
      <c r="F9" s="1906" t="str">
        <f>"7/1/"&amp;MID('AFR20'!$E$2,3,2)-1&amp;"-6/30/"&amp;MID('AFR20'!$E$2,3,2)</f>
        <v>7/1/19-6/30/20</v>
      </c>
      <c r="G9" s="1906" t="str">
        <f>"7/1/"&amp;MID('AFR20'!$E$2,3,2)-2&amp;"-6/30/"&amp;MID('AFR20'!$E$2,3,2)-1</f>
        <v>7/1/18-6/30/19</v>
      </c>
      <c r="H9" s="1093" t="s">
        <v>1565</v>
      </c>
      <c r="I9" s="1906"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72" t="s">
        <v>2115</v>
      </c>
      <c r="C11" s="2073">
        <v>84.027000000000001</v>
      </c>
      <c r="D11" s="2074" t="s">
        <v>2125</v>
      </c>
      <c r="E11" s="1825">
        <v>1468287</v>
      </c>
      <c r="F11" s="1825">
        <v>0</v>
      </c>
      <c r="G11" s="1825">
        <v>1468287</v>
      </c>
      <c r="H11" s="1825">
        <v>0</v>
      </c>
      <c r="I11" s="1825">
        <v>0</v>
      </c>
      <c r="J11" s="1825">
        <v>0</v>
      </c>
      <c r="K11" s="1825">
        <v>0</v>
      </c>
      <c r="L11" s="1822">
        <f t="shared" ref="L11:L17" si="0">+G11+I11+K11</f>
        <v>1468287</v>
      </c>
      <c r="M11" s="1825">
        <v>1983381</v>
      </c>
    </row>
    <row r="12" spans="2:14" ht="20.100000000000001" customHeight="1" x14ac:dyDescent="0.2">
      <c r="B12" s="2072"/>
      <c r="C12" s="2073"/>
      <c r="D12" s="2074" t="s">
        <v>2126</v>
      </c>
      <c r="E12" s="1825">
        <v>0</v>
      </c>
      <c r="F12" s="1825">
        <v>1548294</v>
      </c>
      <c r="G12" s="1825">
        <v>0</v>
      </c>
      <c r="H12" s="1825">
        <v>0</v>
      </c>
      <c r="I12" s="1825">
        <v>1705661</v>
      </c>
      <c r="J12" s="1825">
        <v>0</v>
      </c>
      <c r="K12" s="1825">
        <v>157367</v>
      </c>
      <c r="L12" s="1822">
        <f t="shared" si="0"/>
        <v>1863028</v>
      </c>
      <c r="M12" s="1825">
        <v>2223947</v>
      </c>
    </row>
    <row r="13" spans="2:14" ht="20.100000000000001" customHeight="1" x14ac:dyDescent="0.2">
      <c r="B13" s="2072"/>
      <c r="C13" s="2073"/>
      <c r="D13" s="2074"/>
      <c r="E13" s="1825"/>
      <c r="F13" s="1825">
        <f>SUM(F11:F12)</f>
        <v>1548294</v>
      </c>
      <c r="G13" s="1825"/>
      <c r="H13" s="1825"/>
      <c r="I13" s="1825">
        <f>SUM(I11:I12)</f>
        <v>1705661</v>
      </c>
      <c r="J13" s="1825"/>
      <c r="K13" s="1825"/>
      <c r="L13" s="1822"/>
      <c r="M13" s="1825"/>
    </row>
    <row r="14" spans="2:14" ht="20.100000000000001" customHeight="1" x14ac:dyDescent="0.2">
      <c r="B14" s="2072"/>
      <c r="C14" s="2073"/>
      <c r="D14" s="2074"/>
      <c r="E14" s="1825"/>
      <c r="F14" s="1825"/>
      <c r="G14" s="1825"/>
      <c r="H14" s="1825"/>
      <c r="I14" s="1825"/>
      <c r="J14" s="1825"/>
      <c r="K14" s="1825"/>
      <c r="L14" s="1822"/>
      <c r="M14" s="1825"/>
    </row>
    <row r="15" spans="2:14" ht="20.100000000000001" customHeight="1" x14ac:dyDescent="0.2">
      <c r="B15" s="2075" t="s">
        <v>2116</v>
      </c>
      <c r="C15" s="2076">
        <v>84.173000000000002</v>
      </c>
      <c r="D15" s="2077" t="s">
        <v>2127</v>
      </c>
      <c r="E15" s="1825">
        <v>80030</v>
      </c>
      <c r="F15" s="1825">
        <v>10463</v>
      </c>
      <c r="G15" s="1825">
        <v>93524</v>
      </c>
      <c r="H15" s="1825">
        <v>0</v>
      </c>
      <c r="I15" s="1825">
        <v>0</v>
      </c>
      <c r="J15" s="1825">
        <v>0</v>
      </c>
      <c r="K15" s="1825">
        <v>0</v>
      </c>
      <c r="L15" s="1822">
        <f t="shared" si="0"/>
        <v>93524</v>
      </c>
      <c r="M15" s="1825">
        <v>134323</v>
      </c>
    </row>
    <row r="16" spans="2:14" ht="20.100000000000001" customHeight="1" x14ac:dyDescent="0.2">
      <c r="B16" s="2075"/>
      <c r="C16" s="2076"/>
      <c r="D16" s="2077" t="s">
        <v>2128</v>
      </c>
      <c r="E16" s="1825">
        <v>0</v>
      </c>
      <c r="F16" s="1825">
        <v>25256</v>
      </c>
      <c r="G16" s="1825">
        <v>0</v>
      </c>
      <c r="H16" s="1825">
        <v>0</v>
      </c>
      <c r="I16" s="1825">
        <v>38750</v>
      </c>
      <c r="J16" s="1825">
        <v>0</v>
      </c>
      <c r="K16" s="1825">
        <v>1472</v>
      </c>
      <c r="L16" s="1822">
        <f t="shared" si="0"/>
        <v>40222</v>
      </c>
      <c r="M16" s="1825">
        <v>129156</v>
      </c>
    </row>
    <row r="17" spans="2:15" ht="20.100000000000001" customHeight="1" x14ac:dyDescent="0.2">
      <c r="B17" s="2072"/>
      <c r="C17" s="1823"/>
      <c r="D17" s="1824"/>
      <c r="E17" s="1825"/>
      <c r="F17" s="1825">
        <f>SUM(F15:F16)</f>
        <v>35719</v>
      </c>
      <c r="G17" s="1825"/>
      <c r="H17" s="1825"/>
      <c r="I17" s="1825">
        <f>SUM(I15:I16)</f>
        <v>38750</v>
      </c>
      <c r="J17" s="1825"/>
      <c r="K17" s="1825"/>
      <c r="L17" s="1822">
        <f t="shared" si="0"/>
        <v>38750</v>
      </c>
      <c r="M17" s="1825"/>
    </row>
    <row r="18" spans="2:15" ht="20.100000000000001" customHeight="1" x14ac:dyDescent="0.2">
      <c r="B18" s="2075"/>
      <c r="C18" s="1823"/>
      <c r="D18" s="1824"/>
      <c r="E18" s="1825"/>
      <c r="F18" s="1825"/>
      <c r="G18" s="1825"/>
      <c r="H18" s="1825"/>
      <c r="I18" s="1825"/>
      <c r="J18" s="1825"/>
      <c r="K18" s="1825"/>
      <c r="L18" s="1822"/>
      <c r="M18" s="1825"/>
    </row>
    <row r="19" spans="2:15" ht="20.100000000000001" customHeight="1" x14ac:dyDescent="0.2">
      <c r="B19" s="2078" t="s">
        <v>2117</v>
      </c>
      <c r="C19" s="1823"/>
      <c r="D19" s="1824"/>
      <c r="E19" s="1825"/>
      <c r="F19" s="1825">
        <f>F13+F17</f>
        <v>1584013</v>
      </c>
      <c r="G19" s="1825"/>
      <c r="H19" s="1825"/>
      <c r="I19" s="1825">
        <f>I13+I17</f>
        <v>1744411</v>
      </c>
      <c r="J19" s="1825"/>
      <c r="K19" s="1825"/>
      <c r="L19" s="1822"/>
      <c r="M19" s="1825"/>
    </row>
    <row r="20" spans="2:15" ht="20.100000000000001" customHeight="1" x14ac:dyDescent="0.2">
      <c r="B20" s="1113"/>
      <c r="C20" s="1823"/>
      <c r="D20" s="1824"/>
      <c r="E20" s="1825"/>
      <c r="F20" s="1825"/>
      <c r="G20" s="1825"/>
      <c r="H20" s="1825"/>
      <c r="I20" s="1825"/>
      <c r="J20" s="1825"/>
      <c r="K20" s="1825"/>
      <c r="L20" s="1822"/>
      <c r="M20" s="1825"/>
    </row>
    <row r="21" spans="2:15" ht="20.100000000000001" customHeight="1" x14ac:dyDescent="0.2">
      <c r="B21" s="1113"/>
      <c r="C21" s="1823"/>
      <c r="D21" s="1824"/>
      <c r="E21" s="1825"/>
      <c r="F21" s="1825"/>
      <c r="G21" s="1825"/>
      <c r="H21" s="1825"/>
      <c r="I21" s="1825"/>
      <c r="J21" s="1825"/>
      <c r="K21" s="1825"/>
      <c r="L21" s="1822"/>
      <c r="M21" s="1825"/>
    </row>
    <row r="22" spans="2:15" ht="20.100000000000001" customHeight="1" x14ac:dyDescent="0.2">
      <c r="B22" s="2106" t="s">
        <v>2146</v>
      </c>
      <c r="C22" s="1823"/>
      <c r="D22" s="1824"/>
      <c r="E22" s="1825"/>
      <c r="F22" s="1825">
        <f>'SEFA(4)'!F15+'SEFA(4)'!F19+'SEFA(4)'!F23+'SEFA(5)'!F27+'SEFA(5)'!F14+'SEFA(5)'!F18+'SEFA(5)'!F22+'SEFA(5)'!F26+'SEFA(6)'!F13+'SEFA(6)'!F17+'SEFA(4)'!F27</f>
        <v>6319038</v>
      </c>
      <c r="G22" s="1825"/>
      <c r="H22" s="1825"/>
      <c r="I22" s="1825">
        <f>'SEFA(4)'!I15+'SEFA(4)'!I19+'SEFA(4)'!I23+'SEFA(5)'!I27+'SEFA(5)'!I14+'SEFA(5)'!I18+'SEFA(5)'!I22+'SEFA(5)'!I26+'SEFA(6)'!I13+'SEFA(6)'!I17+'SEFA(4)'!I27</f>
        <v>6396360</v>
      </c>
      <c r="J22" s="1825"/>
      <c r="K22" s="1825"/>
      <c r="L22" s="1822"/>
      <c r="M22" s="1825"/>
      <c r="O22" s="2062"/>
    </row>
    <row r="23" spans="2:15" ht="20.100000000000001" customHeight="1" x14ac:dyDescent="0.2">
      <c r="B23" s="1113"/>
      <c r="C23" s="1823"/>
      <c r="D23" s="1824"/>
      <c r="E23" s="1825"/>
      <c r="F23" s="1825"/>
      <c r="G23" s="1825"/>
      <c r="H23" s="1825"/>
      <c r="I23" s="1825"/>
      <c r="J23" s="1825"/>
      <c r="K23" s="1825"/>
      <c r="L23" s="1822"/>
      <c r="M23" s="1825"/>
    </row>
    <row r="24" spans="2:15" ht="20.100000000000001" customHeight="1" x14ac:dyDescent="0.2">
      <c r="B24" s="2107" t="s">
        <v>2173</v>
      </c>
      <c r="C24" s="1823"/>
      <c r="D24" s="1824"/>
      <c r="E24" s="1825"/>
      <c r="F24" s="1825">
        <f>F22+'SEFA(2)'!F23</f>
        <v>9214895</v>
      </c>
      <c r="G24" s="1825"/>
      <c r="H24" s="1825"/>
      <c r="I24" s="1825">
        <f>I22+'SEFA(2)'!I23</f>
        <v>9292216</v>
      </c>
      <c r="J24" s="1825"/>
      <c r="K24" s="1825"/>
      <c r="L24" s="1822"/>
      <c r="M24" s="1825"/>
    </row>
    <row r="25" spans="2:15" ht="20.100000000000001" customHeight="1" x14ac:dyDescent="0.2">
      <c r="B25" s="2105"/>
      <c r="C25" s="1823"/>
      <c r="D25" s="1824"/>
      <c r="E25" s="1825"/>
      <c r="F25" s="1825"/>
      <c r="G25" s="1825"/>
      <c r="H25" s="1825"/>
      <c r="I25" s="1825"/>
      <c r="J25" s="1825"/>
      <c r="K25" s="1825"/>
      <c r="L25" s="1822"/>
      <c r="M25" s="1825"/>
    </row>
    <row r="26" spans="2:15" ht="20.100000000000001" customHeight="1" x14ac:dyDescent="0.2">
      <c r="B26" s="1113"/>
      <c r="C26" s="1823"/>
      <c r="D26" s="1824"/>
      <c r="E26" s="1825"/>
      <c r="F26" s="1825"/>
      <c r="G26" s="1825"/>
      <c r="H26" s="1825"/>
      <c r="I26" s="1825"/>
      <c r="J26" s="1825"/>
      <c r="K26" s="1825"/>
      <c r="L26" s="1822"/>
      <c r="M26" s="1825"/>
    </row>
    <row r="27" spans="2:15" ht="16.5" customHeight="1" x14ac:dyDescent="0.2">
      <c r="B27" s="2108" t="s">
        <v>2145</v>
      </c>
      <c r="C27" s="1823"/>
      <c r="D27" s="1824"/>
      <c r="E27" s="1825"/>
      <c r="F27" s="1825">
        <f>'SEFA(2)'!F23+'SEFA(3)'!F21+'SEFA(4)'!F15+'SEFA(4)'!F19+'SEFA(4)'!F23+'SEFA(4)'!F27+'SEFA(5)'!F14+'SEFA(5)'!F18+'SEFA(5)'!F22+'SEFA(5)'!F26+'SEFA(6)'!F19</f>
        <v>9598584</v>
      </c>
      <c r="G27" s="1825"/>
      <c r="H27" s="1825"/>
      <c r="I27" s="1825">
        <f>'SEFA(2)'!I23+'SEFA(3)'!I21+'SEFA(4)'!I15+'SEFA(4)'!I19+'SEFA(4)'!I23+'SEFA(4)'!I27+'SEFA(5)'!I14+'SEFA(5)'!I18+'SEFA(5)'!I22+'SEFA(5)'!I26+'SEFA(6)'!I19</f>
        <v>9676565</v>
      </c>
      <c r="J27" s="1825"/>
      <c r="K27" s="1825"/>
      <c r="L27" s="1822"/>
      <c r="M27" s="1825"/>
      <c r="N27" s="1114"/>
    </row>
    <row r="28" spans="2:15" ht="12.75" customHeight="1" x14ac:dyDescent="0.2">
      <c r="B28" s="1115"/>
      <c r="C28" s="1116"/>
      <c r="D28" s="1117"/>
      <c r="E28" s="1118"/>
      <c r="F28" s="1118"/>
      <c r="G28" s="1118"/>
      <c r="H28" s="1118"/>
      <c r="I28" s="1118"/>
      <c r="J28" s="1118"/>
      <c r="K28" s="1118"/>
      <c r="L28" s="1118"/>
      <c r="M28" s="1118"/>
      <c r="N28" s="1114"/>
    </row>
    <row r="29" spans="2:15" x14ac:dyDescent="0.2">
      <c r="B29" s="1033"/>
      <c r="C29" s="1119"/>
      <c r="D29" s="1120"/>
      <c r="E29" s="1033"/>
      <c r="F29" s="1033"/>
      <c r="G29" s="1026"/>
      <c r="H29" s="1026"/>
      <c r="I29" s="1026"/>
      <c r="J29" s="1026"/>
      <c r="K29" s="1026"/>
      <c r="L29" s="1026"/>
      <c r="M29" s="1033"/>
      <c r="N29" s="1114"/>
    </row>
    <row r="30" spans="2:15" ht="13.5" customHeight="1" x14ac:dyDescent="0.2">
      <c r="B30" s="1058" t="s">
        <v>1711</v>
      </c>
      <c r="C30" s="1119"/>
      <c r="D30" s="1120"/>
      <c r="E30" s="1033"/>
      <c r="F30" s="1033"/>
      <c r="G30" s="1026"/>
      <c r="H30" s="1026"/>
      <c r="I30" s="1026"/>
      <c r="J30" s="1026"/>
      <c r="K30" s="1026"/>
      <c r="L30" s="1026"/>
      <c r="M30" s="1033"/>
      <c r="N30" s="1114"/>
    </row>
    <row r="31" spans="2:15" ht="8.25" customHeight="1" x14ac:dyDescent="0.2">
      <c r="B31" s="1058"/>
      <c r="C31" s="1119"/>
      <c r="D31" s="1120"/>
      <c r="E31" s="1033"/>
      <c r="F31" s="1033"/>
      <c r="G31" s="1026"/>
      <c r="H31" s="1026"/>
      <c r="I31" s="1026"/>
      <c r="J31" s="1026"/>
      <c r="K31" s="1026"/>
      <c r="L31" s="1026"/>
      <c r="M31" s="1033"/>
      <c r="N31" s="1114"/>
    </row>
    <row r="32" spans="2:15" x14ac:dyDescent="0.2">
      <c r="B32" s="1121" t="s">
        <v>1804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5" orientation="landscape" horizontalDpi="1200" verticalDpi="1200" r:id="rId1"/>
  <headerFooter>
    <oddHeader>&amp;R&amp;8Page 41f</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2"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64" t="str">
        <f>'Single Audit Cover'!A7</f>
        <v xml:space="preserve">   Danville CCSD 118</v>
      </c>
      <c r="B1" s="2664"/>
      <c r="C1" s="2664"/>
      <c r="D1" s="2664"/>
      <c r="E1" s="2664"/>
      <c r="F1" s="2664"/>
    </row>
    <row r="2" spans="1:7" ht="13.5" customHeight="1" x14ac:dyDescent="0.2">
      <c r="A2" s="2660">
        <f>'Single Audit Cover'!E7</f>
        <v>54092118024</v>
      </c>
      <c r="B2" s="2660"/>
      <c r="C2" s="2660"/>
      <c r="D2" s="2660"/>
      <c r="E2" s="2660"/>
      <c r="F2" s="2660"/>
      <c r="G2" s="1051"/>
    </row>
    <row r="3" spans="1:7" ht="15.75" customHeight="1" x14ac:dyDescent="0.2">
      <c r="A3" s="2665" t="s">
        <v>1260</v>
      </c>
      <c r="B3" s="2665"/>
      <c r="C3" s="2665"/>
      <c r="D3" s="2665"/>
      <c r="E3" s="2665"/>
      <c r="F3" s="2665"/>
    </row>
    <row r="4" spans="1:7" ht="13.5" customHeight="1" x14ac:dyDescent="0.2">
      <c r="A4" s="2666" t="str">
        <f>'Single Audit Cover'!A4</f>
        <v>Year Ending June 30, 2020</v>
      </c>
      <c r="B4" s="2666"/>
      <c r="C4" s="2666"/>
      <c r="D4" s="2666"/>
      <c r="E4" s="2666"/>
      <c r="F4" s="2666"/>
    </row>
    <row r="5" spans="1:7" ht="8.25" customHeight="1" x14ac:dyDescent="0.2">
      <c r="C5" s="295"/>
      <c r="D5" s="295"/>
    </row>
    <row r="6" spans="1:7" ht="13.5" customHeight="1" x14ac:dyDescent="0.2">
      <c r="A6" s="1052" t="s">
        <v>1705</v>
      </c>
      <c r="C6" s="295"/>
      <c r="D6" s="295"/>
    </row>
    <row r="7" spans="1:7" ht="60.95" customHeight="1" x14ac:dyDescent="0.2">
      <c r="A7" s="2663" t="s">
        <v>2180</v>
      </c>
      <c r="B7" s="2663"/>
      <c r="C7" s="2663"/>
      <c r="D7" s="2663"/>
      <c r="E7" s="2663"/>
      <c r="F7" s="2663"/>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2043</v>
      </c>
      <c r="F10" s="1056" t="s">
        <v>99</v>
      </c>
      <c r="G10" s="1054"/>
    </row>
    <row r="11" spans="1:7" ht="12" customHeight="1" x14ac:dyDescent="0.2">
      <c r="A11" s="1055"/>
      <c r="B11" s="1056"/>
      <c r="C11" s="1524"/>
      <c r="D11" s="1056"/>
      <c r="E11" s="1524"/>
      <c r="F11" s="1056"/>
      <c r="G11" s="1054"/>
    </row>
    <row r="12" spans="1:7" x14ac:dyDescent="0.2">
      <c r="A12" s="1052" t="s">
        <v>1570</v>
      </c>
      <c r="C12" s="1036"/>
      <c r="D12" s="1036"/>
    </row>
    <row r="13" spans="1:7" ht="20.25" customHeight="1" x14ac:dyDescent="0.2">
      <c r="A13" s="2663" t="s">
        <v>2179</v>
      </c>
      <c r="B13" s="2663"/>
      <c r="C13" s="2663"/>
      <c r="D13" s="2663"/>
      <c r="E13" s="2663"/>
      <c r="F13" s="2663"/>
    </row>
    <row r="14" spans="1:7" ht="9.75" customHeight="1" x14ac:dyDescent="0.2">
      <c r="C14" s="1036"/>
      <c r="D14" s="1036"/>
    </row>
    <row r="15" spans="1:7" ht="13.5" customHeight="1" x14ac:dyDescent="0.2">
      <c r="C15" s="1475" t="s">
        <v>1259</v>
      </c>
      <c r="D15" s="2668" t="s">
        <v>1258</v>
      </c>
      <c r="E15" s="2668"/>
      <c r="F15" s="2668"/>
    </row>
    <row r="16" spans="1:7" ht="13.5" customHeight="1" x14ac:dyDescent="0.2">
      <c r="A16" s="1058"/>
      <c r="B16" s="1052" t="s">
        <v>1257</v>
      </c>
      <c r="C16" s="1475" t="s">
        <v>1256</v>
      </c>
      <c r="D16" s="2669" t="s">
        <v>1571</v>
      </c>
      <c r="E16" s="2669"/>
      <c r="F16" s="2669"/>
    </row>
    <row r="17" spans="1:6" ht="20.45" customHeight="1" x14ac:dyDescent="0.2">
      <c r="A17" s="1059"/>
      <c r="B17" s="1060" t="s">
        <v>2149</v>
      </c>
      <c r="C17" s="1061"/>
      <c r="D17" s="2667"/>
      <c r="E17" s="2667"/>
      <c r="F17" s="2667"/>
    </row>
    <row r="18" spans="1:6" ht="20.65" customHeight="1" x14ac:dyDescent="0.2">
      <c r="A18" s="1059"/>
      <c r="B18" s="1060"/>
      <c r="C18" s="1061"/>
      <c r="D18" s="2667"/>
      <c r="E18" s="2667"/>
      <c r="F18" s="2667"/>
    </row>
    <row r="19" spans="1:6" ht="20.65" customHeight="1" x14ac:dyDescent="0.2">
      <c r="A19" s="1059"/>
      <c r="B19" s="1060"/>
      <c r="C19" s="1061"/>
      <c r="D19" s="2667"/>
      <c r="E19" s="2667"/>
      <c r="F19" s="2667"/>
    </row>
    <row r="20" spans="1:6" ht="20.65" customHeight="1" x14ac:dyDescent="0.2">
      <c r="A20" s="1059"/>
      <c r="B20" s="1060"/>
      <c r="C20" s="1061"/>
      <c r="D20" s="2667"/>
      <c r="E20" s="2667"/>
      <c r="F20" s="2667"/>
    </row>
    <row r="21" spans="1:6" ht="20.65" customHeight="1" x14ac:dyDescent="0.2">
      <c r="A21" s="1059"/>
      <c r="B21" s="1060"/>
      <c r="C21" s="1061"/>
      <c r="D21" s="2667"/>
      <c r="E21" s="2667"/>
      <c r="F21" s="2667"/>
    </row>
    <row r="22" spans="1:6" ht="20.65" customHeight="1" x14ac:dyDescent="0.2">
      <c r="A22" s="1059"/>
      <c r="B22" s="1060"/>
      <c r="C22" s="1061"/>
      <c r="D22" s="2667"/>
      <c r="E22" s="2667"/>
      <c r="F22" s="2667"/>
    </row>
    <row r="23" spans="1:6" ht="20.65" customHeight="1" x14ac:dyDescent="0.2">
      <c r="A23" s="1059"/>
      <c r="B23" s="1060"/>
      <c r="C23" s="1061"/>
      <c r="D23" s="2667"/>
      <c r="E23" s="2667"/>
      <c r="F23" s="2667"/>
    </row>
    <row r="24" spans="1:6" ht="20.65" customHeight="1" x14ac:dyDescent="0.2">
      <c r="A24" s="1059"/>
      <c r="B24" s="1060"/>
      <c r="C24" s="1061"/>
      <c r="D24" s="2667"/>
      <c r="E24" s="2667"/>
      <c r="F24" s="2667"/>
    </row>
    <row r="25" spans="1:6" ht="20.65" customHeight="1" x14ac:dyDescent="0.2">
      <c r="A25" s="1059"/>
      <c r="B25" s="1060"/>
      <c r="C25" s="1061"/>
      <c r="D25" s="2667"/>
      <c r="E25" s="2667"/>
      <c r="F25" s="2667"/>
    </row>
    <row r="26" spans="1:6" ht="20.65" customHeight="1" x14ac:dyDescent="0.2">
      <c r="A26" s="1059"/>
      <c r="B26" s="1060"/>
      <c r="C26" s="1061"/>
      <c r="D26" s="2667"/>
      <c r="E26" s="2667"/>
      <c r="F26" s="2667"/>
    </row>
    <row r="27" spans="1:6" ht="20.65" customHeight="1" x14ac:dyDescent="0.2">
      <c r="A27" s="1059"/>
      <c r="B27" s="1060"/>
      <c r="C27" s="1061"/>
      <c r="D27" s="2667"/>
      <c r="E27" s="2667"/>
      <c r="F27" s="2667"/>
    </row>
    <row r="28" spans="1:6" ht="20.65" customHeight="1" x14ac:dyDescent="0.2">
      <c r="A28" s="1059"/>
      <c r="B28" s="1060"/>
      <c r="C28" s="1061"/>
      <c r="D28" s="2667"/>
      <c r="E28" s="2667"/>
      <c r="F28" s="2667"/>
    </row>
    <row r="29" spans="1:6" ht="20.65" customHeight="1" x14ac:dyDescent="0.2">
      <c r="A29" s="1059"/>
      <c r="B29" s="1060"/>
      <c r="C29" s="1061"/>
      <c r="D29" s="2667"/>
      <c r="E29" s="2667"/>
      <c r="F29" s="2667"/>
    </row>
    <row r="30" spans="1:6" ht="12" customHeight="1" x14ac:dyDescent="0.2">
      <c r="A30" s="306"/>
      <c r="B30" s="306"/>
      <c r="C30" s="1233"/>
      <c r="D30" s="1525"/>
      <c r="E30" s="1062"/>
    </row>
    <row r="31" spans="1:6" ht="12" customHeight="1" x14ac:dyDescent="0.2">
      <c r="A31" s="1063" t="s">
        <v>1532</v>
      </c>
      <c r="B31" s="306"/>
      <c r="C31" s="1233"/>
      <c r="D31" s="1525"/>
      <c r="E31" s="1062"/>
    </row>
    <row r="32" spans="1:6" ht="30" customHeight="1" x14ac:dyDescent="0.2">
      <c r="A32" s="2671" t="s">
        <v>2181</v>
      </c>
      <c r="B32" s="2671"/>
      <c r="C32" s="2671"/>
      <c r="D32" s="2671"/>
      <c r="E32" s="2671"/>
      <c r="F32" s="2671"/>
    </row>
    <row r="33" spans="1:6" ht="13.5" customHeight="1" x14ac:dyDescent="0.2">
      <c r="A33" s="306" t="s">
        <v>1417</v>
      </c>
      <c r="B33" s="306"/>
      <c r="C33" s="1064">
        <v>190294</v>
      </c>
      <c r="D33" s="1525"/>
      <c r="E33" s="1062"/>
    </row>
    <row r="34" spans="1:6" ht="13.5" customHeight="1" x14ac:dyDescent="0.2">
      <c r="A34" s="306" t="s">
        <v>1803</v>
      </c>
      <c r="B34" s="306"/>
      <c r="C34" s="1065">
        <v>75375</v>
      </c>
      <c r="D34" s="1525" t="s">
        <v>1572</v>
      </c>
      <c r="E34" s="2672">
        <f>+C33+C34</f>
        <v>265669</v>
      </c>
      <c r="F34" s="2673"/>
    </row>
    <row r="35" spans="1:6" ht="12" customHeight="1" x14ac:dyDescent="0.2">
      <c r="A35" s="306"/>
      <c r="B35" s="306"/>
      <c r="C35" s="1526"/>
      <c r="D35" s="1525"/>
      <c r="E35" s="1066"/>
      <c r="F35" s="1067"/>
    </row>
    <row r="36" spans="1:6" ht="13.5" customHeight="1" x14ac:dyDescent="0.2">
      <c r="A36" s="1063" t="s">
        <v>1533</v>
      </c>
      <c r="B36" s="306"/>
      <c r="C36" s="1233"/>
      <c r="D36" s="1525"/>
      <c r="E36" s="1062"/>
    </row>
    <row r="37" spans="1:6" ht="14.25" customHeight="1" x14ac:dyDescent="0.2">
      <c r="A37" s="306" t="s">
        <v>1467</v>
      </c>
      <c r="B37" s="306"/>
      <c r="C37" s="1527"/>
      <c r="D37" s="1525"/>
      <c r="E37" s="1062"/>
    </row>
    <row r="38" spans="1:6" ht="14.25" customHeight="1" x14ac:dyDescent="0.2">
      <c r="A38" s="306"/>
      <c r="B38" s="306" t="s">
        <v>1418</v>
      </c>
      <c r="C38" s="1068" t="s">
        <v>2150</v>
      </c>
      <c r="D38" s="1525"/>
      <c r="E38" s="1062"/>
    </row>
    <row r="39" spans="1:6" ht="14.25" customHeight="1" x14ac:dyDescent="0.2">
      <c r="A39" s="306"/>
      <c r="B39" s="306" t="s">
        <v>1419</v>
      </c>
      <c r="C39" s="1068" t="s">
        <v>2150</v>
      </c>
      <c r="D39" s="1525"/>
      <c r="E39" s="1062"/>
    </row>
    <row r="40" spans="1:6" ht="14.25" customHeight="1" x14ac:dyDescent="0.2">
      <c r="A40" s="306"/>
      <c r="B40" s="306" t="s">
        <v>1420</v>
      </c>
      <c r="C40" s="1068" t="s">
        <v>2150</v>
      </c>
      <c r="D40" s="1525"/>
      <c r="E40" s="1062"/>
    </row>
    <row r="41" spans="1:6" ht="14.25" customHeight="1" x14ac:dyDescent="0.2">
      <c r="A41" s="306"/>
      <c r="B41" s="306" t="s">
        <v>1421</v>
      </c>
      <c r="C41" s="1068" t="s">
        <v>2150</v>
      </c>
      <c r="D41" s="1525"/>
      <c r="E41" s="1062"/>
    </row>
    <row r="42" spans="1:6" ht="14.25" customHeight="1" x14ac:dyDescent="0.2">
      <c r="A42" s="306" t="s">
        <v>1422</v>
      </c>
      <c r="B42" s="306"/>
      <c r="C42" s="1523" t="s">
        <v>2150</v>
      </c>
      <c r="D42" s="1525"/>
      <c r="E42" s="1062"/>
    </row>
    <row r="43" spans="1:6" ht="14.25" customHeight="1" x14ac:dyDescent="0.2">
      <c r="A43" s="306" t="s">
        <v>1423</v>
      </c>
      <c r="B43" s="306"/>
      <c r="C43" s="1069" t="s">
        <v>2150</v>
      </c>
      <c r="D43" s="1525"/>
      <c r="E43" s="1062"/>
    </row>
    <row r="44" spans="1:6" ht="14.25" customHeight="1" x14ac:dyDescent="0.2">
      <c r="A44" s="306"/>
      <c r="B44" s="306"/>
      <c r="C44" s="1527" t="s">
        <v>1424</v>
      </c>
      <c r="D44" s="1525"/>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74" t="s">
        <v>1573</v>
      </c>
      <c r="C49" s="2674"/>
      <c r="D49" s="2674"/>
      <c r="E49" s="1168"/>
    </row>
    <row r="50" spans="1:5" s="1076" customFormat="1" ht="3.75" customHeight="1" x14ac:dyDescent="0.2">
      <c r="A50" s="1075"/>
      <c r="B50" s="1474"/>
      <c r="C50" s="1474"/>
      <c r="D50" s="1474"/>
      <c r="E50" s="1168"/>
    </row>
    <row r="51" spans="1:5" s="1076" customFormat="1" ht="20.25" customHeight="1" x14ac:dyDescent="0.2">
      <c r="A51" s="1077">
        <v>6</v>
      </c>
      <c r="B51" s="2670" t="s">
        <v>1534</v>
      </c>
      <c r="C51" s="2670"/>
      <c r="D51" s="2670"/>
    </row>
    <row r="52" spans="1:5" ht="14.25" customHeight="1" x14ac:dyDescent="0.2">
      <c r="A52" s="1077"/>
      <c r="B52" s="2670"/>
      <c r="C52" s="2670"/>
      <c r="D52" s="267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25" zoomScale="110" zoomScaleNormal="110" workbookViewId="0">
      <selection activeCell="D45" sqref="D45:E45"/>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79" t="str">
        <f>'Single Audit Cover'!A7</f>
        <v xml:space="preserve">   Danville CCSD 118</v>
      </c>
      <c r="C1" s="2680"/>
      <c r="D1" s="2680"/>
      <c r="E1" s="2680"/>
      <c r="F1" s="2680"/>
      <c r="G1" s="2680"/>
      <c r="H1" s="2680"/>
      <c r="I1" s="2680"/>
      <c r="J1" s="1178"/>
    </row>
    <row r="2" spans="2:10" s="295" customFormat="1" ht="12.75" customHeight="1" x14ac:dyDescent="0.2">
      <c r="B2" s="2681">
        <f>'Single Audit Cover'!E7</f>
        <v>54092118024</v>
      </c>
      <c r="C2" s="2682"/>
      <c r="D2" s="2682"/>
      <c r="E2" s="2682"/>
      <c r="F2" s="2682"/>
      <c r="G2" s="2682"/>
      <c r="H2" s="2682"/>
      <c r="I2" s="2682"/>
      <c r="J2" s="1178"/>
    </row>
    <row r="3" spans="2:10" s="295" customFormat="1" ht="12.75" customHeight="1" x14ac:dyDescent="0.2">
      <c r="B3" s="2683" t="s">
        <v>1274</v>
      </c>
      <c r="C3" s="2684"/>
      <c r="D3" s="2684"/>
      <c r="E3" s="2684"/>
      <c r="F3" s="2684"/>
      <c r="G3" s="2684"/>
      <c r="H3" s="2684"/>
      <c r="I3" s="2684"/>
      <c r="J3" s="1179"/>
    </row>
    <row r="4" spans="2:10" s="295" customFormat="1" ht="12.75" customHeight="1" x14ac:dyDescent="0.2">
      <c r="B4" s="2683" t="str">
        <f>'Single Audit Cover'!A4</f>
        <v>Year Ending June 30, 2020</v>
      </c>
      <c r="C4" s="2684"/>
      <c r="D4" s="2684"/>
      <c r="E4" s="2684"/>
      <c r="F4" s="2684"/>
      <c r="G4" s="2684"/>
      <c r="H4" s="2684"/>
      <c r="I4" s="268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83" t="s">
        <v>1273</v>
      </c>
      <c r="C7" s="2684"/>
      <c r="D7" s="2684"/>
      <c r="E7" s="2684"/>
      <c r="F7" s="2684"/>
      <c r="G7" s="2684"/>
      <c r="H7" s="2684"/>
      <c r="I7" s="268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85" t="s">
        <v>2100</v>
      </c>
      <c r="D11" s="268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t="s">
        <v>2043</v>
      </c>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2043</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2043</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2043</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2043</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86" t="s">
        <v>2100</v>
      </c>
      <c r="E29" s="2686"/>
      <c r="F29" s="2686"/>
      <c r="G29" s="2686"/>
      <c r="H29" s="2686"/>
      <c r="I29" s="2686"/>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2043</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87" t="s">
        <v>1725</v>
      </c>
      <c r="D37" s="2688"/>
      <c r="E37" s="2688"/>
      <c r="F37" s="2689"/>
      <c r="G37" s="2687" t="s">
        <v>1575</v>
      </c>
      <c r="H37" s="2688"/>
      <c r="I37" s="2689"/>
    </row>
    <row r="38" spans="2:9" ht="16.5" customHeight="1" x14ac:dyDescent="0.2">
      <c r="B38" s="1200">
        <v>84.01</v>
      </c>
      <c r="C38" s="2675" t="s">
        <v>912</v>
      </c>
      <c r="D38" s="2676"/>
      <c r="E38" s="2676"/>
      <c r="F38" s="2677"/>
      <c r="G38" s="2690">
        <v>3495963</v>
      </c>
      <c r="H38" s="2691"/>
      <c r="I38" s="2692"/>
    </row>
    <row r="39" spans="2:9" ht="16.5" customHeight="1" x14ac:dyDescent="0.2">
      <c r="B39" s="1200">
        <v>84.01</v>
      </c>
      <c r="C39" s="2675" t="s">
        <v>2156</v>
      </c>
      <c r="D39" s="2676"/>
      <c r="E39" s="2676"/>
      <c r="F39" s="2677"/>
      <c r="G39" s="2678">
        <v>22714</v>
      </c>
      <c r="H39" s="2678"/>
      <c r="I39" s="2678"/>
    </row>
    <row r="40" spans="2:9" ht="16.5" customHeight="1" x14ac:dyDescent="0.2">
      <c r="B40" s="1200">
        <v>84.367000000000004</v>
      </c>
      <c r="C40" s="2675" t="s">
        <v>753</v>
      </c>
      <c r="D40" s="2676"/>
      <c r="E40" s="2676"/>
      <c r="F40" s="2677"/>
      <c r="G40" s="2678">
        <v>533559</v>
      </c>
      <c r="H40" s="2678"/>
      <c r="I40" s="2678"/>
    </row>
    <row r="41" spans="2:9" ht="16.5" customHeight="1" x14ac:dyDescent="0.2">
      <c r="B41" s="1200"/>
      <c r="C41" s="2675"/>
      <c r="D41" s="2676"/>
      <c r="E41" s="2676"/>
      <c r="F41" s="2677"/>
      <c r="G41" s="2678"/>
      <c r="H41" s="2678"/>
      <c r="I41" s="2678"/>
    </row>
    <row r="42" spans="2:9" ht="16.5" customHeight="1" x14ac:dyDescent="0.2">
      <c r="B42" s="1200"/>
      <c r="C42" s="2675"/>
      <c r="D42" s="2676"/>
      <c r="E42" s="2676"/>
      <c r="F42" s="2677"/>
      <c r="G42" s="2678"/>
      <c r="H42" s="2678"/>
      <c r="I42" s="2678"/>
    </row>
    <row r="43" spans="2:9" ht="16.5" customHeight="1" x14ac:dyDescent="0.2">
      <c r="B43" s="1200"/>
      <c r="C43" s="2693" t="s">
        <v>1576</v>
      </c>
      <c r="D43" s="2694"/>
      <c r="E43" s="2694"/>
      <c r="F43" s="2695"/>
      <c r="G43" s="2696">
        <f>SUM(G38:I42)</f>
        <v>4052236</v>
      </c>
      <c r="H43" s="2696"/>
      <c r="I43" s="2696"/>
    </row>
    <row r="44" spans="2:9" ht="12.75" customHeight="1" x14ac:dyDescent="0.2"/>
    <row r="45" spans="2:9" ht="12.75" customHeight="1" x14ac:dyDescent="0.2">
      <c r="B45" s="1909" t="str">
        <f>"Total Federal Expenditures for 7/1/"&amp;MID('AFR20'!E2,3,2)-1&amp;"-6/30/"&amp;MID('AFR20'!E2,3,2)</f>
        <v>Total Federal Expenditures for 7/1/19-6/30/20</v>
      </c>
      <c r="C45" s="1910"/>
      <c r="D45" s="2697">
        <f>'SEFA(6)'!I27</f>
        <v>9676565</v>
      </c>
      <c r="E45" s="2698"/>
    </row>
    <row r="46" spans="2:9" ht="5.25" customHeight="1" x14ac:dyDescent="0.2">
      <c r="B46" s="1201"/>
      <c r="D46" s="1202"/>
      <c r="E46" s="1203"/>
    </row>
    <row r="47" spans="2:9" ht="12.75" customHeight="1" x14ac:dyDescent="0.2">
      <c r="B47" s="1076" t="s">
        <v>1577</v>
      </c>
      <c r="C47" s="1076"/>
      <c r="D47" s="1204">
        <f>+G43/D45</f>
        <v>0.41876802357034754</v>
      </c>
      <c r="E47" s="1205"/>
      <c r="F47" s="1206"/>
      <c r="I47" s="1207"/>
    </row>
    <row r="48" spans="2:9" ht="9.9499999999999993" customHeight="1" x14ac:dyDescent="0.2"/>
    <row r="49" spans="1:9" x14ac:dyDescent="0.2">
      <c r="B49" s="1138" t="s">
        <v>1262</v>
      </c>
      <c r="C49" s="1058"/>
      <c r="D49" s="1058"/>
      <c r="E49" s="2699">
        <v>750000</v>
      </c>
      <c r="F49" s="2699"/>
      <c r="G49" s="2699"/>
      <c r="H49" s="300"/>
    </row>
    <row r="51" spans="1:9" ht="13.5" customHeight="1" x14ac:dyDescent="0.2">
      <c r="B51" s="1138" t="s">
        <v>1261</v>
      </c>
      <c r="C51" s="1058"/>
      <c r="E51" s="1194"/>
      <c r="F51" s="1076" t="s">
        <v>879</v>
      </c>
      <c r="G51" s="1194" t="s">
        <v>2043</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Layout" topLeftCell="A19"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79" t="str">
        <f>'Single Audit Cover'!A7</f>
        <v xml:space="preserve">   Danville CCSD 118</v>
      </c>
      <c r="C1" s="2679"/>
      <c r="D1" s="2679"/>
      <c r="E1" s="2679"/>
      <c r="F1" s="2679"/>
      <c r="G1" s="2679"/>
      <c r="H1" s="2679"/>
      <c r="I1" s="2679"/>
      <c r="J1" s="2679"/>
      <c r="K1" s="2679"/>
      <c r="L1" s="1144"/>
      <c r="M1" s="1144"/>
    </row>
    <row r="2" spans="1:13" ht="12" customHeight="1" x14ac:dyDescent="0.2">
      <c r="B2" s="2681">
        <f>'Single Audit Cover'!E7</f>
        <v>54092118024</v>
      </c>
      <c r="C2" s="2681"/>
      <c r="D2" s="2681"/>
      <c r="E2" s="2681"/>
      <c r="F2" s="2681"/>
      <c r="G2" s="2681"/>
      <c r="H2" s="2681"/>
      <c r="I2" s="2681"/>
      <c r="J2" s="2681"/>
      <c r="K2" s="2681"/>
      <c r="L2" s="1145"/>
      <c r="M2" s="1146"/>
    </row>
    <row r="3" spans="1:13" ht="10.35" customHeight="1" x14ac:dyDescent="0.2">
      <c r="B3" s="2702" t="s">
        <v>1274</v>
      </c>
      <c r="C3" s="2702"/>
      <c r="D3" s="2702"/>
      <c r="E3" s="2702"/>
      <c r="F3" s="2702"/>
      <c r="G3" s="2702"/>
      <c r="H3" s="2702"/>
      <c r="I3" s="2702"/>
      <c r="J3" s="2702"/>
      <c r="K3" s="2702"/>
      <c r="L3" s="1147"/>
      <c r="M3" s="1147"/>
    </row>
    <row r="4" spans="1:13" ht="14.25" customHeight="1" x14ac:dyDescent="0.2">
      <c r="B4" s="2703" t="str">
        <f>'Single Audit Cover'!A4</f>
        <v>Year Ending June 30, 2020</v>
      </c>
      <c r="C4" s="2703"/>
      <c r="D4" s="2703"/>
      <c r="E4" s="2703"/>
      <c r="F4" s="2703"/>
      <c r="G4" s="2703"/>
      <c r="H4" s="2703"/>
      <c r="I4" s="2703"/>
      <c r="J4" s="2703"/>
      <c r="K4" s="270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703" t="s">
        <v>1285</v>
      </c>
      <c r="C7" s="2703"/>
      <c r="D7" s="2704"/>
      <c r="E7" s="2704"/>
      <c r="F7" s="2704"/>
      <c r="G7" s="2704"/>
      <c r="H7" s="2704"/>
      <c r="I7" s="2704"/>
      <c r="J7" s="2704"/>
      <c r="K7" s="270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1" t="str">
        <f>'AFR20'!$E$2&amp;"-"</f>
        <v>2020-</v>
      </c>
      <c r="D10" s="1155">
        <v>1</v>
      </c>
      <c r="E10" s="300"/>
      <c r="F10" s="1156" t="s">
        <v>1284</v>
      </c>
      <c r="G10" s="1157"/>
      <c r="H10" s="1158" t="s">
        <v>1283</v>
      </c>
      <c r="I10" s="1157" t="s">
        <v>2043</v>
      </c>
      <c r="J10" s="1159" t="s">
        <v>1282</v>
      </c>
      <c r="K10" s="300"/>
      <c r="L10" s="1151"/>
    </row>
    <row r="11" spans="1:13" ht="13.5" customHeight="1" x14ac:dyDescent="0.2">
      <c r="B11" s="300"/>
      <c r="C11" s="300"/>
      <c r="D11" s="300"/>
      <c r="E11" s="300"/>
      <c r="F11" s="300"/>
      <c r="G11" s="1153"/>
      <c r="H11" s="300"/>
      <c r="I11" s="1160" t="s">
        <v>1281</v>
      </c>
      <c r="J11" s="300"/>
      <c r="K11" s="1161">
        <v>2016</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2" customHeight="1" x14ac:dyDescent="0.2">
      <c r="B14" s="2705" t="s">
        <v>2157</v>
      </c>
      <c r="C14" s="2705"/>
      <c r="D14" s="2705"/>
      <c r="E14" s="2705"/>
      <c r="F14" s="2705"/>
      <c r="G14" s="2705"/>
      <c r="H14" s="2705"/>
      <c r="I14" s="2705"/>
      <c r="J14" s="2705"/>
      <c r="K14" s="2705"/>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82.5" customHeight="1" x14ac:dyDescent="0.2">
      <c r="B17" s="2705" t="s">
        <v>2182</v>
      </c>
      <c r="C17" s="2705"/>
      <c r="D17" s="2705"/>
      <c r="E17" s="2705"/>
      <c r="F17" s="2705"/>
      <c r="G17" s="2705"/>
      <c r="H17" s="2705"/>
      <c r="I17" s="2705"/>
      <c r="J17" s="2705"/>
      <c r="K17" s="2705"/>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78" customHeight="1" x14ac:dyDescent="0.2">
      <c r="B20" s="2706" t="s">
        <v>2183</v>
      </c>
      <c r="C20" s="2706"/>
      <c r="D20" s="2705"/>
      <c r="E20" s="2705"/>
      <c r="F20" s="2705"/>
      <c r="G20" s="2705"/>
      <c r="H20" s="2705"/>
      <c r="I20" s="2705"/>
      <c r="J20" s="2705"/>
      <c r="K20" s="2705"/>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30" customHeight="1" x14ac:dyDescent="0.2">
      <c r="B23" s="2705" t="s">
        <v>2158</v>
      </c>
      <c r="C23" s="2705"/>
      <c r="D23" s="2705"/>
      <c r="E23" s="2705"/>
      <c r="F23" s="2705"/>
      <c r="G23" s="2705"/>
      <c r="H23" s="2705"/>
      <c r="I23" s="2705"/>
      <c r="J23" s="2705"/>
      <c r="K23" s="2705"/>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57" customHeight="1" x14ac:dyDescent="0.2">
      <c r="B26" s="2705" t="s">
        <v>2184</v>
      </c>
      <c r="C26" s="2705"/>
      <c r="D26" s="2705"/>
      <c r="E26" s="2705"/>
      <c r="F26" s="2705"/>
      <c r="G26" s="2705"/>
      <c r="H26" s="2705"/>
      <c r="I26" s="2705"/>
      <c r="J26" s="2705"/>
      <c r="K26" s="2705"/>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54" customHeight="1" x14ac:dyDescent="0.2">
      <c r="B29" s="2707" t="s">
        <v>2185</v>
      </c>
      <c r="C29" s="2707"/>
      <c r="D29" s="2705"/>
      <c r="E29" s="2705"/>
      <c r="F29" s="2705"/>
      <c r="G29" s="2705"/>
      <c r="H29" s="2705"/>
      <c r="I29" s="2705"/>
      <c r="J29" s="2705"/>
      <c r="K29" s="2705"/>
      <c r="L29" s="1151"/>
    </row>
    <row r="30" spans="2:12" ht="3"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108.75" customHeight="1" x14ac:dyDescent="0.2">
      <c r="B32" s="2700" t="s">
        <v>2186</v>
      </c>
      <c r="C32" s="2700"/>
      <c r="D32" s="2701"/>
      <c r="E32" s="2701"/>
      <c r="F32" s="2701"/>
      <c r="G32" s="2701"/>
      <c r="H32" s="2701"/>
      <c r="I32" s="2701"/>
      <c r="J32" s="2701"/>
      <c r="K32" s="2701"/>
      <c r="L32" s="1151"/>
    </row>
    <row r="33" spans="1:13" s="300" customFormat="1" ht="4.5" customHeight="1" x14ac:dyDescent="0.2">
      <c r="B33" s="1171"/>
      <c r="C33" s="1171"/>
      <c r="G33" s="1153"/>
      <c r="I33" s="1153"/>
      <c r="L33" s="1151"/>
    </row>
    <row r="34" spans="1:13" s="300" customFormat="1" ht="3.75" customHeigh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1805</v>
      </c>
      <c r="C36" s="1076"/>
      <c r="L36" s="1151"/>
    </row>
    <row r="37" spans="1:13" ht="9.6" customHeight="1" x14ac:dyDescent="0.2">
      <c r="B37" s="1076" t="s">
        <v>1806</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differentOddEven="1" alignWithMargins="0">
    <oddHeader>&amp;R&amp;8Page 44a</oddHeader>
    <evenHeader>&amp;R&amp;8Page 44a</evenHeader>
    <firstHeader>&amp;R&amp;8Page 44</first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76736-0B77-4144-95D3-F01A4EBC89F1}">
  <dimension ref="A1:M41"/>
  <sheetViews>
    <sheetView showGridLines="0" topLeftCell="A16" zoomScale="110" zoomScaleNormal="110" workbookViewId="0">
      <selection activeCell="B17" sqref="B17:K1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6.710937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79" t="str">
        <f>'Single Audit Cover'!A7</f>
        <v xml:space="preserve">   Danville CCSD 118</v>
      </c>
      <c r="C1" s="2679"/>
      <c r="D1" s="2679"/>
      <c r="E1" s="2679"/>
      <c r="F1" s="2679"/>
      <c r="G1" s="2679"/>
      <c r="H1" s="2679"/>
      <c r="I1" s="2679"/>
      <c r="J1" s="2679"/>
      <c r="K1" s="2679"/>
      <c r="L1" s="1144"/>
      <c r="M1" s="1144"/>
    </row>
    <row r="2" spans="1:13" ht="12" customHeight="1" x14ac:dyDescent="0.2">
      <c r="B2" s="2681">
        <f>'Single Audit Cover'!E7</f>
        <v>54092118024</v>
      </c>
      <c r="C2" s="2681"/>
      <c r="D2" s="2681"/>
      <c r="E2" s="2681"/>
      <c r="F2" s="2681"/>
      <c r="G2" s="2681"/>
      <c r="H2" s="2681"/>
      <c r="I2" s="2681"/>
      <c r="J2" s="2681"/>
      <c r="K2" s="2681"/>
      <c r="L2" s="1145"/>
      <c r="M2" s="1146"/>
    </row>
    <row r="3" spans="1:13" ht="10.35" customHeight="1" x14ac:dyDescent="0.2">
      <c r="B3" s="2702" t="s">
        <v>1274</v>
      </c>
      <c r="C3" s="2702"/>
      <c r="D3" s="2702"/>
      <c r="E3" s="2702"/>
      <c r="F3" s="2702"/>
      <c r="G3" s="2702"/>
      <c r="H3" s="2702"/>
      <c r="I3" s="2702"/>
      <c r="J3" s="2702"/>
      <c r="K3" s="2702"/>
      <c r="L3" s="2061"/>
      <c r="M3" s="2061"/>
    </row>
    <row r="4" spans="1:13" ht="14.25" customHeight="1" x14ac:dyDescent="0.2">
      <c r="B4" s="2703" t="str">
        <f>'Single Audit Cover'!A4</f>
        <v>Year Ending June 30, 2020</v>
      </c>
      <c r="C4" s="2703"/>
      <c r="D4" s="2703"/>
      <c r="E4" s="2703"/>
      <c r="F4" s="2703"/>
      <c r="G4" s="2703"/>
      <c r="H4" s="2703"/>
      <c r="I4" s="2703"/>
      <c r="J4" s="2703"/>
      <c r="K4" s="270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703" t="s">
        <v>1285</v>
      </c>
      <c r="C7" s="2703"/>
      <c r="D7" s="2704"/>
      <c r="E7" s="2704"/>
      <c r="F7" s="2704"/>
      <c r="G7" s="2704"/>
      <c r="H7" s="2704"/>
      <c r="I7" s="2704"/>
      <c r="J7" s="2704"/>
      <c r="K7" s="270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1" t="str">
        <f>'AFR20'!$E$2&amp;"-"</f>
        <v>2020-</v>
      </c>
      <c r="D10" s="1155">
        <v>2</v>
      </c>
      <c r="E10" s="300"/>
      <c r="F10" s="1156" t="s">
        <v>1284</v>
      </c>
      <c r="G10" s="1157" t="s">
        <v>2043</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t="s">
        <v>1159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12.75" customHeight="1" x14ac:dyDescent="0.2">
      <c r="B14" s="2705" t="s">
        <v>2167</v>
      </c>
      <c r="C14" s="2705"/>
      <c r="D14" s="2705"/>
      <c r="E14" s="2705"/>
      <c r="F14" s="2705"/>
      <c r="G14" s="2705"/>
      <c r="H14" s="2705"/>
      <c r="I14" s="2705"/>
      <c r="J14" s="2705"/>
      <c r="K14" s="2705"/>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123" customHeight="1" x14ac:dyDescent="0.2">
      <c r="B17" s="2705" t="s">
        <v>2204</v>
      </c>
      <c r="C17" s="2705"/>
      <c r="D17" s="2705"/>
      <c r="E17" s="2705"/>
      <c r="F17" s="2705"/>
      <c r="G17" s="2705"/>
      <c r="H17" s="2705"/>
      <c r="I17" s="2705"/>
      <c r="J17" s="2705"/>
      <c r="K17" s="2705"/>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27.75" customHeight="1" x14ac:dyDescent="0.2">
      <c r="B20" s="2706" t="s">
        <v>2187</v>
      </c>
      <c r="C20" s="2706"/>
      <c r="D20" s="2705"/>
      <c r="E20" s="2705"/>
      <c r="F20" s="2705"/>
      <c r="G20" s="2705"/>
      <c r="H20" s="2705"/>
      <c r="I20" s="2705"/>
      <c r="J20" s="2705"/>
      <c r="K20" s="2705"/>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2" customHeight="1" x14ac:dyDescent="0.2">
      <c r="B23" s="2705" t="s">
        <v>2188</v>
      </c>
      <c r="C23" s="2705"/>
      <c r="D23" s="2705"/>
      <c r="E23" s="2705"/>
      <c r="F23" s="2705"/>
      <c r="G23" s="2705"/>
      <c r="H23" s="2705"/>
      <c r="I23" s="2705"/>
      <c r="J23" s="2705"/>
      <c r="K23" s="2705"/>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29.25" customHeight="1" x14ac:dyDescent="0.2">
      <c r="B26" s="2705" t="s">
        <v>2203</v>
      </c>
      <c r="C26" s="2705"/>
      <c r="D26" s="2705"/>
      <c r="E26" s="2705"/>
      <c r="F26" s="2705"/>
      <c r="G26" s="2705"/>
      <c r="H26" s="2705"/>
      <c r="I26" s="2705"/>
      <c r="J26" s="2705"/>
      <c r="K26" s="2705"/>
      <c r="L26" s="1151"/>
    </row>
    <row r="27" spans="2:12" ht="0.7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15" customHeight="1" x14ac:dyDescent="0.2">
      <c r="B29" s="2707" t="s">
        <v>2166</v>
      </c>
      <c r="C29" s="2707"/>
      <c r="D29" s="2705"/>
      <c r="E29" s="2705"/>
      <c r="F29" s="2705"/>
      <c r="G29" s="2705"/>
      <c r="H29" s="2705"/>
      <c r="I29" s="2705"/>
      <c r="J29" s="2705"/>
      <c r="K29" s="2705"/>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150.75" customHeight="1" x14ac:dyDescent="0.2">
      <c r="B32" s="2700" t="s">
        <v>2205</v>
      </c>
      <c r="C32" s="2700"/>
      <c r="D32" s="2701"/>
      <c r="E32" s="2701"/>
      <c r="F32" s="2701"/>
      <c r="G32" s="2701"/>
      <c r="H32" s="2701"/>
      <c r="I32" s="2701"/>
      <c r="J32" s="2701"/>
      <c r="K32" s="2701"/>
      <c r="L32" s="1151"/>
    </row>
    <row r="33" spans="1:13" s="300" customFormat="1" ht="4.5" hidden="1" customHeight="1" x14ac:dyDescent="0.2">
      <c r="B33" s="1171"/>
      <c r="C33" s="1171"/>
      <c r="G33" s="1153"/>
      <c r="I33" s="1153"/>
      <c r="L33" s="1151"/>
    </row>
    <row r="34" spans="1:13" s="300" customFormat="1" hidden="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1805</v>
      </c>
      <c r="C36" s="1076"/>
      <c r="L36" s="1151"/>
    </row>
    <row r="37" spans="1:13" ht="9.6" customHeight="1" x14ac:dyDescent="0.2">
      <c r="B37" s="1076" t="s">
        <v>1806</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differentOddEven="1" alignWithMargins="0">
    <oddHeader>&amp;R&amp;8Page 44b</oddHeader>
    <evenHeader>&amp;RPage 44c</evenHeader>
    <firstHeader>&amp;R&amp;8Page 44b</first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899AE-ED62-44A6-BCA5-EF51B831B950}">
  <dimension ref="A1:M41"/>
  <sheetViews>
    <sheetView showGridLines="0"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79" t="str">
        <f>'Single Audit Cover'!A7</f>
        <v xml:space="preserve">   Danville CCSD 118</v>
      </c>
      <c r="C1" s="2679"/>
      <c r="D1" s="2679"/>
      <c r="E1" s="2679"/>
      <c r="F1" s="2679"/>
      <c r="G1" s="2679"/>
      <c r="H1" s="2679"/>
      <c r="I1" s="2679"/>
      <c r="J1" s="2679"/>
      <c r="K1" s="2679"/>
      <c r="L1" s="1144"/>
      <c r="M1" s="1144"/>
    </row>
    <row r="2" spans="1:13" ht="12" customHeight="1" x14ac:dyDescent="0.2">
      <c r="B2" s="2681">
        <f>'Single Audit Cover'!E7</f>
        <v>54092118024</v>
      </c>
      <c r="C2" s="2681"/>
      <c r="D2" s="2681"/>
      <c r="E2" s="2681"/>
      <c r="F2" s="2681"/>
      <c r="G2" s="2681"/>
      <c r="H2" s="2681"/>
      <c r="I2" s="2681"/>
      <c r="J2" s="2681"/>
      <c r="K2" s="2681"/>
      <c r="L2" s="1145"/>
      <c r="M2" s="1146"/>
    </row>
    <row r="3" spans="1:13" ht="10.35" customHeight="1" x14ac:dyDescent="0.2">
      <c r="B3" s="2702" t="s">
        <v>1274</v>
      </c>
      <c r="C3" s="2702"/>
      <c r="D3" s="2702"/>
      <c r="E3" s="2702"/>
      <c r="F3" s="2702"/>
      <c r="G3" s="2702"/>
      <c r="H3" s="2702"/>
      <c r="I3" s="2702"/>
      <c r="J3" s="2702"/>
      <c r="K3" s="2702"/>
      <c r="L3" s="2061"/>
      <c r="M3" s="2061"/>
    </row>
    <row r="4" spans="1:13" ht="14.25" customHeight="1" x14ac:dyDescent="0.2">
      <c r="B4" s="2703" t="str">
        <f>'Single Audit Cover'!A4</f>
        <v>Year Ending June 30, 2020</v>
      </c>
      <c r="C4" s="2703"/>
      <c r="D4" s="2703"/>
      <c r="E4" s="2703"/>
      <c r="F4" s="2703"/>
      <c r="G4" s="2703"/>
      <c r="H4" s="2703"/>
      <c r="I4" s="2703"/>
      <c r="J4" s="2703"/>
      <c r="K4" s="270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703" t="s">
        <v>1285</v>
      </c>
      <c r="C7" s="2703"/>
      <c r="D7" s="2704"/>
      <c r="E7" s="2704"/>
      <c r="F7" s="2704"/>
      <c r="G7" s="2704"/>
      <c r="H7" s="2704"/>
      <c r="I7" s="2704"/>
      <c r="J7" s="2704"/>
      <c r="K7" s="270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1" t="str">
        <f>'AFR20'!$E$2&amp;"-"</f>
        <v>2020-</v>
      </c>
      <c r="D10" s="1155">
        <v>3</v>
      </c>
      <c r="E10" s="300"/>
      <c r="F10" s="1156" t="s">
        <v>1284</v>
      </c>
      <c r="G10" s="1157" t="s">
        <v>2043</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705" t="s">
        <v>2189</v>
      </c>
      <c r="C14" s="2705"/>
      <c r="D14" s="2705"/>
      <c r="E14" s="2705"/>
      <c r="F14" s="2705"/>
      <c r="G14" s="2705"/>
      <c r="H14" s="2705"/>
      <c r="I14" s="2705"/>
      <c r="J14" s="2705"/>
      <c r="K14" s="2705"/>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62.25" customHeight="1" x14ac:dyDescent="0.2">
      <c r="B17" s="2705" t="s">
        <v>2190</v>
      </c>
      <c r="C17" s="2705"/>
      <c r="D17" s="2705"/>
      <c r="E17" s="2705"/>
      <c r="F17" s="2705"/>
      <c r="G17" s="2705"/>
      <c r="H17" s="2705"/>
      <c r="I17" s="2705"/>
      <c r="J17" s="2705"/>
      <c r="K17" s="2705"/>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 customHeight="1" x14ac:dyDescent="0.2">
      <c r="B20" s="2706" t="s">
        <v>2191</v>
      </c>
      <c r="C20" s="2706"/>
      <c r="D20" s="2705"/>
      <c r="E20" s="2705"/>
      <c r="F20" s="2705"/>
      <c r="G20" s="2705"/>
      <c r="H20" s="2705"/>
      <c r="I20" s="2705"/>
      <c r="J20" s="2705"/>
      <c r="K20" s="2705"/>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705" t="s">
        <v>2169</v>
      </c>
      <c r="C23" s="2705"/>
      <c r="D23" s="2705"/>
      <c r="E23" s="2705"/>
      <c r="F23" s="2705"/>
      <c r="G23" s="2705"/>
      <c r="H23" s="2705"/>
      <c r="I23" s="2705"/>
      <c r="J23" s="2705"/>
      <c r="K23" s="2705"/>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 customHeight="1" x14ac:dyDescent="0.2">
      <c r="B26" s="2705" t="s">
        <v>2192</v>
      </c>
      <c r="C26" s="2705"/>
      <c r="D26" s="2705"/>
      <c r="E26" s="2705"/>
      <c r="F26" s="2705"/>
      <c r="G26" s="2705"/>
      <c r="H26" s="2705"/>
      <c r="I26" s="2705"/>
      <c r="J26" s="2705"/>
      <c r="K26" s="2705"/>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707" t="s">
        <v>2193</v>
      </c>
      <c r="C29" s="2707"/>
      <c r="D29" s="2705"/>
      <c r="E29" s="2705"/>
      <c r="F29" s="2705"/>
      <c r="G29" s="2705"/>
      <c r="H29" s="2705"/>
      <c r="I29" s="2705"/>
      <c r="J29" s="2705"/>
      <c r="K29" s="2705"/>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61.5" customHeight="1" x14ac:dyDescent="0.2">
      <c r="B32" s="2700" t="s">
        <v>2202</v>
      </c>
      <c r="C32" s="2700"/>
      <c r="D32" s="2701"/>
      <c r="E32" s="2701"/>
      <c r="F32" s="2701"/>
      <c r="G32" s="2701"/>
      <c r="H32" s="2701"/>
      <c r="I32" s="2701"/>
      <c r="J32" s="2701"/>
      <c r="K32" s="2701"/>
      <c r="L32" s="1151"/>
    </row>
    <row r="33" spans="1:13" s="300" customFormat="1" ht="4.5" hidden="1" customHeight="1" x14ac:dyDescent="0.2">
      <c r="B33" s="1171"/>
      <c r="C33" s="1171"/>
      <c r="G33" s="1153"/>
      <c r="I33" s="1153"/>
      <c r="L33" s="1151"/>
    </row>
    <row r="34" spans="1:13" s="300" customFormat="1" hidden="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1805</v>
      </c>
      <c r="C36" s="1076"/>
      <c r="L36" s="1151"/>
    </row>
    <row r="37" spans="1:13" ht="9.6" customHeight="1" x14ac:dyDescent="0.2">
      <c r="B37" s="1076" t="s">
        <v>1806</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r:id="rId1"/>
  <headerFooter alignWithMargins="0">
    <oddHeader>&amp;R&amp;8Page 44c</oddHeader>
    <evenHeader>&amp;R&amp;8Page 44e</evenHeader>
    <firstHeader>&amp;R&amp;8Page 44d</first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6" tint="0.59999389629810485"/>
  </sheetPr>
  <dimension ref="A1:N72"/>
  <sheetViews>
    <sheetView showGridLines="0" defaultGridColor="0" colorId="8" zoomScale="110" zoomScaleNormal="110" workbookViewId="0">
      <selection activeCell="L28" sqref="L2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82" t="s">
        <v>383</v>
      </c>
      <c r="B1" s="2282"/>
      <c r="C1" s="2282"/>
      <c r="D1" s="2282"/>
      <c r="E1" s="2282"/>
      <c r="F1" s="2282"/>
      <c r="G1" s="2282"/>
      <c r="H1" s="2282"/>
      <c r="I1" s="2282"/>
      <c r="J1" s="2282"/>
      <c r="K1" s="2282"/>
      <c r="L1" s="2282"/>
      <c r="M1" s="228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357662586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2.8459910000000001E-2</v>
      </c>
      <c r="E10" s="333" t="s">
        <v>998</v>
      </c>
      <c r="F10" s="332">
        <v>5.2316000000000003E-3</v>
      </c>
      <c r="G10" s="333" t="s">
        <v>998</v>
      </c>
      <c r="H10" s="332">
        <v>2.0926400000000002E-3</v>
      </c>
      <c r="I10" s="333" t="s">
        <v>999</v>
      </c>
      <c r="J10" s="1423">
        <f>ROUND(D10+F10+H10,5)</f>
        <v>3.5779999999999999E-2</v>
      </c>
      <c r="K10" s="217"/>
      <c r="L10" s="332">
        <v>5.2316000000000003E-3</v>
      </c>
      <c r="M10" s="217"/>
    </row>
    <row r="11" spans="1:14" ht="7.5" customHeight="1" x14ac:dyDescent="0.2">
      <c r="B11" s="217"/>
      <c r="C11" s="217"/>
      <c r="D11" s="2292" t="str">
        <f>IF(SUM(J10)&lt;=0.0999999,"","Enter the Tax Rates by moving the decimal two places to the left.")</f>
        <v/>
      </c>
      <c r="E11" s="2293"/>
      <c r="F11" s="2293"/>
      <c r="G11" s="2293"/>
      <c r="H11" s="2293"/>
      <c r="I11" s="2293"/>
      <c r="J11" s="229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71462609</v>
      </c>
      <c r="E16" s="1546"/>
      <c r="F16" s="1545">
        <f>SUM('Acct Summary 7-8'!C17,'Acct Summary 7-8'!D17,'Acct Summary 7-8'!F17)</f>
        <v>70166752</v>
      </c>
      <c r="G16" s="1546"/>
      <c r="H16" s="1545">
        <f>SUM(D16-F16)</f>
        <v>1295857</v>
      </c>
      <c r="I16" s="1547"/>
      <c r="J16" s="1545">
        <f>SUM('Acct Summary 7-8'!C81,'Acct Summary 7-8'!D81,'Acct Summary 7-8'!F81,'Acct Summary 7-8'!I81)</f>
        <v>30820144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1997</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1957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4">
        <f>IF(B31="X",(J7*0.069),IF(B32="X",(J7*0.138),"Enter x in a.or b."))</f>
        <v>49357436.868000001</v>
      </c>
      <c r="I31" s="345"/>
      <c r="J31" s="217"/>
      <c r="K31" s="217"/>
      <c r="L31" s="217"/>
      <c r="M31" s="217"/>
    </row>
    <row r="32" spans="1:13" ht="13.35" customHeight="1" x14ac:dyDescent="0.2">
      <c r="B32" s="346" t="s">
        <v>2043</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29772261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83"/>
      <c r="C54" s="2284"/>
      <c r="D54" s="2284"/>
      <c r="E54" s="2284"/>
      <c r="F54" s="2284"/>
      <c r="G54" s="2284"/>
      <c r="H54" s="2284"/>
      <c r="I54" s="2284"/>
      <c r="J54" s="2284"/>
      <c r="K54" s="2284"/>
      <c r="L54" s="2285"/>
      <c r="M54" s="357"/>
    </row>
    <row r="55" spans="1:13" ht="12.75" customHeight="1" x14ac:dyDescent="0.2">
      <c r="B55" s="2286"/>
      <c r="C55" s="2287"/>
      <c r="D55" s="2287"/>
      <c r="E55" s="2287"/>
      <c r="F55" s="2287"/>
      <c r="G55" s="2287"/>
      <c r="H55" s="2287"/>
      <c r="I55" s="2287"/>
      <c r="J55" s="2287"/>
      <c r="K55" s="2287"/>
      <c r="L55" s="2288"/>
      <c r="M55" s="357"/>
    </row>
    <row r="56" spans="1:13" ht="12.75" customHeight="1" x14ac:dyDescent="0.2">
      <c r="B56" s="2286"/>
      <c r="C56" s="2287"/>
      <c r="D56" s="2287"/>
      <c r="E56" s="2287"/>
      <c r="F56" s="2287"/>
      <c r="G56" s="2287"/>
      <c r="H56" s="2287"/>
      <c r="I56" s="2287"/>
      <c r="J56" s="2287"/>
      <c r="K56" s="2287"/>
      <c r="L56" s="2288"/>
      <c r="M56" s="217"/>
    </row>
    <row r="57" spans="1:13" ht="12.75" customHeight="1" x14ac:dyDescent="0.2">
      <c r="B57" s="2286"/>
      <c r="C57" s="2287"/>
      <c r="D57" s="2287"/>
      <c r="E57" s="2287"/>
      <c r="F57" s="2287"/>
      <c r="G57" s="2287"/>
      <c r="H57" s="2287"/>
      <c r="I57" s="2287"/>
      <c r="J57" s="2287"/>
      <c r="K57" s="2287"/>
      <c r="L57" s="2288"/>
      <c r="M57" s="217"/>
    </row>
    <row r="58" spans="1:13" x14ac:dyDescent="0.2">
      <c r="B58" s="2289"/>
      <c r="C58" s="2290"/>
      <c r="D58" s="2290"/>
      <c r="E58" s="2290"/>
      <c r="F58" s="2290"/>
      <c r="G58" s="2290"/>
      <c r="H58" s="2290"/>
      <c r="I58" s="2290"/>
      <c r="J58" s="2290"/>
      <c r="K58" s="2290"/>
      <c r="L58" s="229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94"/>
      <c r="D61" s="229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F13" sqref="F1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08" t="str">
        <f>'Single Audit Cover'!A7</f>
        <v xml:space="preserve">   Danville CCSD 118</v>
      </c>
      <c r="C1" s="2708"/>
      <c r="D1" s="2708"/>
      <c r="E1" s="2708"/>
      <c r="F1" s="2708"/>
      <c r="G1" s="2708"/>
      <c r="H1" s="2708"/>
      <c r="I1" s="2708"/>
      <c r="J1" s="2708"/>
      <c r="K1" s="2708"/>
      <c r="L1" s="1221"/>
    </row>
    <row r="2" spans="1:12" ht="12.75" customHeight="1" x14ac:dyDescent="0.2">
      <c r="B2" s="2709">
        <f>'Single Audit Cover'!E7</f>
        <v>54092118024</v>
      </c>
      <c r="C2" s="2709"/>
      <c r="D2" s="2709"/>
      <c r="E2" s="2709"/>
      <c r="F2" s="2709"/>
      <c r="G2" s="2709"/>
      <c r="H2" s="2709"/>
      <c r="I2" s="2709"/>
      <c r="J2" s="2709"/>
      <c r="K2" s="2709"/>
      <c r="L2" s="1222"/>
    </row>
    <row r="3" spans="1:12" ht="12.75" customHeight="1" x14ac:dyDescent="0.2">
      <c r="B3" s="2702" t="s">
        <v>1274</v>
      </c>
      <c r="C3" s="2702"/>
      <c r="D3" s="2702"/>
      <c r="E3" s="2702"/>
      <c r="F3" s="2702"/>
      <c r="G3" s="2702"/>
      <c r="H3" s="2702"/>
      <c r="I3" s="2702"/>
      <c r="J3" s="2702"/>
      <c r="K3" s="2702"/>
      <c r="L3" s="1147"/>
    </row>
    <row r="4" spans="1:12" ht="12.75" customHeight="1" x14ac:dyDescent="0.2">
      <c r="B4" s="2702" t="str">
        <f>'Single Audit Cover'!A4</f>
        <v>Year Ending June 30, 2020</v>
      </c>
      <c r="C4" s="2702"/>
      <c r="D4" s="2702"/>
      <c r="E4" s="2702"/>
      <c r="F4" s="2702"/>
      <c r="G4" s="2702"/>
      <c r="H4" s="2702"/>
      <c r="I4" s="2702"/>
      <c r="J4" s="2702"/>
      <c r="K4" s="2702"/>
      <c r="L4" s="1147"/>
    </row>
    <row r="5" spans="1:12" ht="5.25" customHeight="1" x14ac:dyDescent="0.2">
      <c r="B5" s="1036" t="s">
        <v>1159</v>
      </c>
      <c r="C5" s="1036"/>
      <c r="L5" s="300"/>
    </row>
    <row r="6" spans="1:12" ht="30.75" customHeight="1" x14ac:dyDescent="0.2">
      <c r="A6" s="300"/>
      <c r="B6" s="2710" t="s">
        <v>1297</v>
      </c>
      <c r="C6" s="2710"/>
      <c r="D6" s="2710"/>
      <c r="E6" s="2710"/>
      <c r="F6" s="2710"/>
      <c r="G6" s="2710"/>
      <c r="H6" s="2710"/>
      <c r="I6" s="2710"/>
      <c r="J6" s="2710"/>
      <c r="K6" s="2710"/>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1"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86" t="s">
        <v>2168</v>
      </c>
      <c r="G12" s="2686"/>
      <c r="H12" s="2686"/>
      <c r="I12" s="2686"/>
      <c r="J12" s="2686"/>
      <c r="K12" s="268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711"/>
      <c r="E14" s="2711"/>
      <c r="F14" s="2711"/>
      <c r="H14" s="1230" t="s">
        <v>1292</v>
      </c>
      <c r="I14" s="2712"/>
      <c r="J14" s="2712"/>
      <c r="K14" s="2712"/>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712"/>
      <c r="E16" s="2712"/>
      <c r="F16" s="2712"/>
      <c r="G16" s="2712"/>
      <c r="H16" s="2712"/>
      <c r="I16" s="2712"/>
      <c r="J16" s="2712"/>
      <c r="K16" s="2712"/>
      <c r="L16" s="300"/>
    </row>
    <row r="17" spans="2:12" ht="13.5" customHeight="1" x14ac:dyDescent="0.2">
      <c r="B17" s="1156" t="s">
        <v>1290</v>
      </c>
      <c r="C17" s="1156"/>
      <c r="D17" s="2713"/>
      <c r="E17" s="2713"/>
      <c r="F17" s="2713"/>
      <c r="G17" s="2713"/>
      <c r="H17" s="2713"/>
      <c r="I17" s="2713"/>
      <c r="J17" s="2713"/>
      <c r="K17" s="2713"/>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705"/>
      <c r="C20" s="2705"/>
      <c r="D20" s="2705"/>
      <c r="E20" s="2705"/>
      <c r="F20" s="2705"/>
      <c r="G20" s="2705"/>
      <c r="H20" s="2705"/>
      <c r="I20" s="2705"/>
      <c r="J20" s="2705"/>
      <c r="K20" s="2705"/>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705"/>
      <c r="C23" s="2705"/>
      <c r="D23" s="2705"/>
      <c r="E23" s="2705"/>
      <c r="F23" s="2705"/>
      <c r="G23" s="2705"/>
      <c r="H23" s="2705"/>
      <c r="I23" s="2705"/>
      <c r="J23" s="2705"/>
      <c r="K23" s="2705"/>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705"/>
      <c r="C26" s="2705"/>
      <c r="D26" s="2705"/>
      <c r="E26" s="2705"/>
      <c r="F26" s="2705"/>
      <c r="G26" s="2705"/>
      <c r="H26" s="2705"/>
      <c r="I26" s="2705"/>
      <c r="J26" s="2705"/>
      <c r="K26" s="2705"/>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705"/>
      <c r="C29" s="2705"/>
      <c r="D29" s="2705"/>
      <c r="E29" s="2705"/>
      <c r="F29" s="2705"/>
      <c r="G29" s="2705"/>
      <c r="H29" s="2705"/>
      <c r="I29" s="2705"/>
      <c r="J29" s="2705"/>
      <c r="K29" s="2705"/>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705"/>
      <c r="C32" s="2705"/>
      <c r="D32" s="2705"/>
      <c r="E32" s="2705"/>
      <c r="F32" s="2705"/>
      <c r="G32" s="2705"/>
      <c r="H32" s="2705"/>
      <c r="I32" s="2705"/>
      <c r="J32" s="2705"/>
      <c r="K32" s="2705"/>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705"/>
      <c r="C35" s="2705"/>
      <c r="D35" s="2705"/>
      <c r="E35" s="2705"/>
      <c r="F35" s="2705"/>
      <c r="G35" s="2705"/>
      <c r="H35" s="2705"/>
      <c r="I35" s="2705"/>
      <c r="J35" s="2705"/>
      <c r="K35" s="2705"/>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705"/>
      <c r="C38" s="2705"/>
      <c r="D38" s="2705"/>
      <c r="E38" s="2705"/>
      <c r="F38" s="2705"/>
      <c r="G38" s="2705"/>
      <c r="H38" s="2705"/>
      <c r="I38" s="2705"/>
      <c r="J38" s="2705"/>
      <c r="K38" s="2705"/>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705"/>
      <c r="C41" s="2705"/>
      <c r="D41" s="2705"/>
      <c r="E41" s="2705"/>
      <c r="F41" s="2705"/>
      <c r="G41" s="2705"/>
      <c r="H41" s="2705"/>
      <c r="I41" s="2705"/>
      <c r="J41" s="2705"/>
      <c r="K41" s="2705"/>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E73"/>
  <sheetViews>
    <sheetView showGridLines="0" zoomScale="110" zoomScaleNormal="110" workbookViewId="0">
      <selection activeCell="D14" sqref="D14"/>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79" t="str">
        <f>'Single Audit Cover'!A7</f>
        <v xml:space="preserve">   Danville CCSD 118</v>
      </c>
      <c r="C1" s="2679"/>
      <c r="D1" s="2679"/>
      <c r="E1" s="1240"/>
    </row>
    <row r="2" spans="2:5" s="1058" customFormat="1" ht="12.75" customHeight="1" x14ac:dyDescent="0.2">
      <c r="B2" s="2681">
        <f>'Single Audit Cover'!E7</f>
        <v>54092118024</v>
      </c>
      <c r="C2" s="2681"/>
      <c r="D2" s="2681"/>
      <c r="E2" s="1241"/>
    </row>
    <row r="3" spans="2:5" ht="12.75" customHeight="1" x14ac:dyDescent="0.2">
      <c r="B3" s="2702" t="s">
        <v>1740</v>
      </c>
      <c r="C3" s="2702"/>
      <c r="D3" s="2702"/>
      <c r="E3" s="1050"/>
    </row>
    <row r="4" spans="2:5" s="1058" customFormat="1" ht="12.75" customHeight="1" x14ac:dyDescent="0.2">
      <c r="B4" s="2714" t="str">
        <f>'Single Audit Cover'!A4</f>
        <v>Year Ending June 30, 2020</v>
      </c>
      <c r="C4" s="2714"/>
      <c r="D4" s="2714"/>
      <c r="E4" s="1242"/>
    </row>
    <row r="5" spans="2:5" s="1058" customFormat="1" ht="40.15" customHeight="1" x14ac:dyDescent="0.2">
      <c r="B5" s="1243" t="s">
        <v>1159</v>
      </c>
      <c r="C5" s="306"/>
      <c r="D5" s="306"/>
      <c r="E5" s="306"/>
    </row>
    <row r="6" spans="2:5" s="1058" customFormat="1" ht="13.5" customHeight="1" x14ac:dyDescent="0.2">
      <c r="B6" s="1244" t="s">
        <v>1304</v>
      </c>
      <c r="C6" s="1244" t="s">
        <v>1303</v>
      </c>
      <c r="D6" s="1244" t="s">
        <v>1741</v>
      </c>
    </row>
    <row r="7" spans="2:5" ht="13.5" customHeight="1" x14ac:dyDescent="0.2">
      <c r="B7" s="1245"/>
      <c r="C7" s="302"/>
      <c r="D7" s="302"/>
      <c r="E7" s="302"/>
    </row>
    <row r="8" spans="2:5" ht="13.5" customHeight="1" x14ac:dyDescent="0.2">
      <c r="B8" s="2112" t="s">
        <v>2161</v>
      </c>
      <c r="C8" s="2111" t="s">
        <v>2159</v>
      </c>
      <c r="D8" s="2111" t="s">
        <v>2164</v>
      </c>
      <c r="E8" s="302"/>
    </row>
    <row r="9" spans="2:5" ht="13.5" customHeight="1" x14ac:dyDescent="0.2">
      <c r="B9" s="2113"/>
      <c r="C9" s="2110" t="s">
        <v>2160</v>
      </c>
      <c r="D9" s="2110"/>
      <c r="E9" s="301"/>
    </row>
    <row r="10" spans="2:5" ht="13.5" customHeight="1" x14ac:dyDescent="0.2">
      <c r="B10" s="2112"/>
      <c r="C10" s="2110" t="s">
        <v>2194</v>
      </c>
      <c r="D10" s="2110"/>
      <c r="E10" s="301"/>
    </row>
    <row r="11" spans="2:5" ht="13.5" customHeight="1" x14ac:dyDescent="0.2">
      <c r="B11" s="2112"/>
      <c r="C11" s="2110" t="s">
        <v>2195</v>
      </c>
      <c r="D11" s="2110"/>
      <c r="E11" s="301"/>
    </row>
    <row r="12" spans="2:5" ht="13.5" customHeight="1" x14ac:dyDescent="0.2">
      <c r="B12" s="2112"/>
      <c r="C12" s="2110" t="s">
        <v>2196</v>
      </c>
      <c r="D12" s="2110"/>
      <c r="E12" s="301"/>
    </row>
    <row r="13" spans="2:5" ht="13.5" customHeight="1" x14ac:dyDescent="0.2">
      <c r="B13" s="2112"/>
      <c r="C13" s="2110"/>
      <c r="D13" s="2110"/>
      <c r="E13" s="301"/>
    </row>
    <row r="14" spans="2:5" ht="81" customHeight="1" x14ac:dyDescent="0.2">
      <c r="B14" s="2112" t="s">
        <v>2162</v>
      </c>
      <c r="C14" s="2109" t="s">
        <v>2163</v>
      </c>
      <c r="D14" s="2110" t="s">
        <v>2165</v>
      </c>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3" t="s">
        <v>1302</v>
      </c>
      <c r="C44" s="300"/>
    </row>
    <row r="45" spans="2:5" ht="12.2" customHeight="1" x14ac:dyDescent="0.2">
      <c r="B45" s="1253" t="s">
        <v>1742</v>
      </c>
    </row>
    <row r="46" spans="2:5" ht="12.2" customHeight="1" x14ac:dyDescent="0.2">
      <c r="B46" s="1253" t="s">
        <v>1743</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scale="97" firstPageNumber="43" orientation="portrait" useFirstPageNumber="1" r:id="rId1"/>
  <headerFooter alignWithMargins="0">
    <oddHeader>&amp;R&amp;8Page 46</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6" tint="0.59999389629810485"/>
  </sheetPr>
  <dimension ref="A1:R44"/>
  <sheetViews>
    <sheetView showGridLines="0" topLeftCell="A13" zoomScale="110" zoomScaleNormal="110" workbookViewId="0">
      <selection activeCell="F45" sqref="F4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97"/>
      <c r="B1" s="2298"/>
      <c r="C1" s="2298"/>
      <c r="D1" s="361"/>
      <c r="E1" s="361"/>
      <c r="F1" s="361"/>
      <c r="G1" s="361"/>
      <c r="H1" s="361"/>
      <c r="I1" s="361"/>
      <c r="J1" s="361"/>
      <c r="K1" s="361"/>
      <c r="L1" s="361"/>
      <c r="M1" s="361"/>
      <c r="N1" s="361"/>
      <c r="O1" s="2297"/>
      <c r="P1" s="2298"/>
      <c r="Q1" s="2298"/>
    </row>
    <row r="2" spans="1:18" ht="15" x14ac:dyDescent="0.2">
      <c r="A2" s="2301" t="s">
        <v>552</v>
      </c>
      <c r="B2" s="2301"/>
      <c r="C2" s="2301"/>
      <c r="D2" s="2301"/>
      <c r="E2" s="2301"/>
      <c r="F2" s="2301"/>
      <c r="G2" s="2301"/>
      <c r="H2" s="2301"/>
      <c r="I2" s="2301"/>
      <c r="J2" s="2301"/>
      <c r="K2" s="2301"/>
      <c r="L2" s="2301"/>
      <c r="M2" s="2301"/>
      <c r="N2" s="2301"/>
      <c r="O2" s="2301"/>
      <c r="P2" s="2301"/>
      <c r="Q2" s="2301"/>
      <c r="R2" s="2301"/>
    </row>
    <row r="3" spans="1:18" ht="12.75" x14ac:dyDescent="0.2">
      <c r="A3" s="2302" t="s">
        <v>1396</v>
      </c>
      <c r="B3" s="2302"/>
      <c r="C3" s="2302"/>
      <c r="D3" s="2302"/>
      <c r="E3" s="2302"/>
      <c r="F3" s="2302"/>
      <c r="G3" s="2302"/>
      <c r="H3" s="2302"/>
      <c r="I3" s="2302"/>
      <c r="J3" s="2302"/>
      <c r="K3" s="2302"/>
      <c r="L3" s="2302"/>
      <c r="M3" s="2302"/>
      <c r="N3" s="2302"/>
      <c r="O3" s="2302"/>
      <c r="P3" s="2302"/>
      <c r="Q3" s="2302"/>
      <c r="R3" s="2302"/>
    </row>
    <row r="4" spans="1:18" x14ac:dyDescent="0.2">
      <c r="A4" s="2303" t="s">
        <v>1537</v>
      </c>
      <c r="B4" s="2303"/>
      <c r="C4" s="2303"/>
      <c r="D4" s="2303"/>
      <c r="E4" s="2303"/>
      <c r="F4" s="2303"/>
      <c r="G4" s="2303"/>
      <c r="H4" s="2303"/>
      <c r="I4" s="2303"/>
      <c r="J4" s="2303"/>
      <c r="K4" s="2303"/>
      <c r="L4" s="2303"/>
      <c r="M4" s="2303"/>
      <c r="N4" s="2303"/>
      <c r="O4" s="2303"/>
      <c r="P4" s="2303"/>
      <c r="Q4" s="2303"/>
      <c r="R4" s="230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Danville CCSD 118</v>
      </c>
      <c r="E7" s="368"/>
      <c r="G7" s="247"/>
      <c r="H7" s="364"/>
      <c r="I7" s="364"/>
      <c r="J7" s="364"/>
      <c r="K7" s="364"/>
      <c r="L7" s="307"/>
      <c r="M7" s="307"/>
      <c r="N7" s="307"/>
      <c r="O7" s="307"/>
      <c r="P7" s="307"/>
    </row>
    <row r="8" spans="1:18" ht="12.75" x14ac:dyDescent="0.2">
      <c r="A8" s="307"/>
      <c r="B8" s="307"/>
      <c r="C8" s="366" t="s">
        <v>1115</v>
      </c>
      <c r="D8" s="369">
        <f>COVER!A13</f>
        <v>54092118024</v>
      </c>
      <c r="E8" s="370"/>
      <c r="G8" s="307"/>
      <c r="H8" s="307"/>
      <c r="I8" s="307"/>
      <c r="J8" s="307"/>
      <c r="K8" s="307"/>
      <c r="L8" s="307"/>
      <c r="M8" s="307"/>
      <c r="N8" s="307"/>
      <c r="O8" s="307"/>
      <c r="P8" s="307"/>
    </row>
    <row r="9" spans="1:18" ht="12.75" x14ac:dyDescent="0.2">
      <c r="A9" s="307"/>
      <c r="B9" s="307"/>
      <c r="C9" s="366" t="s">
        <v>708</v>
      </c>
      <c r="D9" s="371" t="str">
        <f>COVER!A15</f>
        <v>Vermilion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30820144</v>
      </c>
      <c r="I12" s="380"/>
      <c r="J12" s="380"/>
      <c r="K12" s="1558">
        <f>TRUNC((H12/H13*100000),5)/100000</f>
        <v>0.43790577039999995</v>
      </c>
      <c r="L12" s="381"/>
      <c r="M12" s="337" t="s">
        <v>1134</v>
      </c>
      <c r="N12" s="337"/>
      <c r="O12" s="1561">
        <v>0.35</v>
      </c>
      <c r="P12" s="213"/>
      <c r="Q12" s="213"/>
    </row>
    <row r="13" spans="1:18" s="382" customFormat="1" ht="12.75" x14ac:dyDescent="0.2">
      <c r="A13" s="213"/>
      <c r="B13" s="377"/>
      <c r="C13" s="2299" t="s">
        <v>1313</v>
      </c>
      <c r="D13" s="2300"/>
      <c r="E13" s="213"/>
      <c r="F13" s="383" t="s">
        <v>788</v>
      </c>
      <c r="G13" s="378"/>
      <c r="H13" s="1550">
        <f>SUM('Acct Summary 7-8'!C8+'Acct Summary 7-8'!D8+'Acct Summary 7-8'!F8+'Acct Summary 7-8'!I8)+H14</f>
        <v>70380767</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-1081842</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70166752</v>
      </c>
      <c r="I17" s="380"/>
      <c r="J17" s="389"/>
      <c r="K17" s="1558">
        <f>TRUNC((H17/H18*100000),5)/100000</f>
        <v>0.9969591834</v>
      </c>
      <c r="L17" s="381"/>
      <c r="M17" s="390" t="s">
        <v>1161</v>
      </c>
      <c r="O17" s="1564" t="str">
        <f>IF(AND(O16="2", J20 &gt; 2),"1",IF(AND(O16 = "1", J20 &gt; 2),"2",IF(AND(O16="1", J20 &gt;1),"1","0")))</f>
        <v>0</v>
      </c>
      <c r="P17" s="213"/>
    </row>
    <row r="18" spans="1:18" s="382" customFormat="1" ht="11.25" x14ac:dyDescent="0.2">
      <c r="A18" s="213"/>
      <c r="B18" s="377"/>
      <c r="C18" s="2299" t="s">
        <v>1306</v>
      </c>
      <c r="D18" s="2300"/>
      <c r="E18" s="213"/>
      <c r="F18" s="391" t="s">
        <v>789</v>
      </c>
      <c r="G18" s="378"/>
      <c r="H18" s="1550">
        <f>SUM('Acct Summary 7-8'!C8+'Acct Summary 7-8'!D8+'Acct Summary 7-8'!F8+'Acct Summary 7-8'!I8)+H19</f>
        <v>70380767</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-1081842</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3</v>
      </c>
      <c r="P23" s="211"/>
      <c r="R23" s="361"/>
    </row>
    <row r="24" spans="1:18" s="382" customFormat="1" ht="11.25" x14ac:dyDescent="0.2">
      <c r="A24" s="213"/>
      <c r="B24" s="377"/>
      <c r="C24" s="2296" t="s">
        <v>1395</v>
      </c>
      <c r="D24" s="2296"/>
      <c r="E24" s="213"/>
      <c r="F24" s="213" t="s">
        <v>442</v>
      </c>
      <c r="G24" s="378"/>
      <c r="H24" s="1550">
        <f>SUM('Assets-Liab 5-6'!C4+'Assets-Liab 5-6'!D4+'Assets-Liab 5-6'!F4+'Assets-Liab 5-6'!I4+'Assets-Liab 5-6'!C5+'Assets-Liab 5-6'!D5+'Assets-Liab 5-6'!F5+'Assets-Liab 5-6'!I5)</f>
        <v>34576620</v>
      </c>
      <c r="I24" s="394"/>
      <c r="J24" s="394"/>
      <c r="K24" s="1554">
        <f>TRUNC(((H24/H25*100000)/100000),2)</f>
        <v>177.4</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194907.64444</v>
      </c>
      <c r="I25" s="396"/>
      <c r="J25" s="396"/>
      <c r="K25" s="1557"/>
      <c r="L25" s="213"/>
      <c r="M25" s="337" t="s">
        <v>1135</v>
      </c>
      <c r="N25" s="337"/>
      <c r="O25" s="1562">
        <f>O23*O24</f>
        <v>0.30000000000000004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1885</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10877592.228019999</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2</v>
      </c>
      <c r="P31" s="211"/>
    </row>
    <row r="32" spans="1:18" s="382" customFormat="1" ht="11.25" x14ac:dyDescent="0.2">
      <c r="A32" s="213"/>
      <c r="B32" s="377"/>
      <c r="C32" s="213" t="s">
        <v>842</v>
      </c>
      <c r="D32" s="213"/>
      <c r="E32" s="213"/>
      <c r="F32" s="213"/>
      <c r="G32" s="378"/>
      <c r="H32" s="1550">
        <f>'FP Info 3'!H37</f>
        <v>29772261</v>
      </c>
      <c r="I32" s="392"/>
      <c r="J32" s="392"/>
      <c r="K32" s="1554">
        <f>TRUNC(100-((((H32/H33*100))*100)/100),2)</f>
        <v>39.68</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49357436.868000001</v>
      </c>
      <c r="I33" s="392"/>
      <c r="J33" s="392"/>
      <c r="K33" s="379"/>
      <c r="L33" s="213"/>
      <c r="M33" s="401" t="s">
        <v>1135</v>
      </c>
      <c r="N33" s="401"/>
      <c r="O33" s="1567">
        <f>(O31*O32)</f>
        <v>0.2</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6" tint="0.59999389629810485"/>
  </sheetPr>
  <dimension ref="A1:N44"/>
  <sheetViews>
    <sheetView showGridLines="0" defaultGridColor="0" colorId="8" zoomScale="110" zoomScaleNormal="110" workbookViewId="0">
      <pane ySplit="2" topLeftCell="A12" activePane="bottomLeft" state="frozen"/>
      <selection pane="bottomLeft" activeCell="C41" sqref="C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0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0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06" t="s">
        <v>967</v>
      </c>
      <c r="B3" s="2307"/>
      <c r="C3" s="1305"/>
      <c r="D3" s="1306"/>
      <c r="E3" s="1306"/>
      <c r="F3" s="1306"/>
      <c r="G3" s="1306"/>
      <c r="H3" s="1306"/>
      <c r="I3" s="1306"/>
      <c r="J3" s="1306"/>
      <c r="K3" s="1306"/>
      <c r="L3" s="1306"/>
      <c r="M3" s="1307"/>
      <c r="N3" s="1308"/>
    </row>
    <row r="4" spans="1:14" ht="13.5" customHeight="1" x14ac:dyDescent="0.2">
      <c r="A4" s="427" t="s">
        <v>1632</v>
      </c>
      <c r="B4" s="428"/>
      <c r="C4" s="1571">
        <v>2487812</v>
      </c>
      <c r="D4" s="1572">
        <v>613496</v>
      </c>
      <c r="E4" s="1572">
        <v>443728</v>
      </c>
      <c r="F4" s="1572">
        <v>2006858</v>
      </c>
      <c r="G4" s="1572">
        <v>41003</v>
      </c>
      <c r="H4" s="1572">
        <v>760</v>
      </c>
      <c r="I4" s="1572">
        <v>242469</v>
      </c>
      <c r="J4" s="1573"/>
      <c r="K4" s="1572">
        <v>31134</v>
      </c>
      <c r="L4" s="1572">
        <v>687366</v>
      </c>
      <c r="M4" s="1574"/>
      <c r="N4" s="1575"/>
    </row>
    <row r="5" spans="1:14" x14ac:dyDescent="0.2">
      <c r="A5" s="427" t="s">
        <v>985</v>
      </c>
      <c r="B5" s="429">
        <v>120</v>
      </c>
      <c r="C5" s="1571">
        <v>19915151</v>
      </c>
      <c r="D5" s="1572">
        <v>3539055</v>
      </c>
      <c r="E5" s="1572">
        <v>3728</v>
      </c>
      <c r="F5" s="1572">
        <v>2696932</v>
      </c>
      <c r="G5" s="1572">
        <v>2002749</v>
      </c>
      <c r="H5" s="1572"/>
      <c r="I5" s="1572">
        <v>3074847</v>
      </c>
      <c r="J5" s="1573">
        <v>1552099</v>
      </c>
      <c r="K5" s="1576">
        <v>201209</v>
      </c>
      <c r="L5" s="1577"/>
      <c r="M5" s="1574"/>
      <c r="N5" s="1575"/>
    </row>
    <row r="6" spans="1:14" ht="13.5" customHeight="1" x14ac:dyDescent="0.2">
      <c r="A6" s="430" t="s">
        <v>414</v>
      </c>
      <c r="B6" s="429">
        <v>130</v>
      </c>
      <c r="C6" s="1571">
        <v>9428027</v>
      </c>
      <c r="D6" s="1572">
        <v>1677585</v>
      </c>
      <c r="E6" s="1572">
        <v>2863100</v>
      </c>
      <c r="F6" s="1572">
        <v>671034</v>
      </c>
      <c r="G6" s="1576">
        <v>2432914</v>
      </c>
      <c r="H6" s="1576"/>
      <c r="I6" s="1572">
        <v>167758</v>
      </c>
      <c r="J6" s="1578">
        <v>1608233</v>
      </c>
      <c r="K6" s="1576">
        <v>167758</v>
      </c>
      <c r="L6" s="1579"/>
      <c r="M6" s="1574"/>
      <c r="N6" s="1575"/>
    </row>
    <row r="7" spans="1:14" ht="13.5" customHeight="1" x14ac:dyDescent="0.2">
      <c r="A7" s="430" t="s">
        <v>415</v>
      </c>
      <c r="B7" s="429">
        <v>140</v>
      </c>
      <c r="C7" s="1580">
        <v>137134</v>
      </c>
      <c r="D7" s="1573"/>
      <c r="E7" s="1573"/>
      <c r="F7" s="1573"/>
      <c r="G7" s="1573"/>
      <c r="H7" s="1573"/>
      <c r="I7" s="1573"/>
      <c r="J7" s="1573"/>
      <c r="K7" s="1573"/>
      <c r="L7" s="1581"/>
      <c r="M7" s="1574"/>
      <c r="N7" s="1575"/>
    </row>
    <row r="8" spans="1:14" ht="13.5" customHeight="1" x14ac:dyDescent="0.2">
      <c r="A8" s="430" t="s">
        <v>267</v>
      </c>
      <c r="B8" s="429">
        <v>150</v>
      </c>
      <c r="C8" s="1580">
        <v>1967420</v>
      </c>
      <c r="D8" s="1573"/>
      <c r="E8" s="1573"/>
      <c r="F8" s="1573">
        <v>586698</v>
      </c>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v>222823</v>
      </c>
      <c r="D10" s="1572"/>
      <c r="E10" s="1573"/>
      <c r="F10" s="1572"/>
      <c r="G10" s="1582"/>
      <c r="H10" s="1585"/>
      <c r="I10" s="1573"/>
      <c r="J10" s="1573"/>
      <c r="K10" s="1585"/>
      <c r="L10" s="1585"/>
      <c r="M10" s="1575"/>
      <c r="N10" s="1575"/>
    </row>
    <row r="11" spans="1:14" ht="13.5" customHeight="1" x14ac:dyDescent="0.2">
      <c r="A11" s="430" t="s">
        <v>269</v>
      </c>
      <c r="B11" s="429">
        <v>180</v>
      </c>
      <c r="C11" s="1580">
        <v>66430</v>
      </c>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34224797</v>
      </c>
      <c r="D13" s="1586">
        <f t="shared" ref="D13:L13" si="0">SUM(D4:D12)</f>
        <v>5830136</v>
      </c>
      <c r="E13" s="1586">
        <f t="shared" si="0"/>
        <v>3310556</v>
      </c>
      <c r="F13" s="1586">
        <f t="shared" si="0"/>
        <v>5961522</v>
      </c>
      <c r="G13" s="1586">
        <f t="shared" si="0"/>
        <v>4476666</v>
      </c>
      <c r="H13" s="1586">
        <f t="shared" si="0"/>
        <v>760</v>
      </c>
      <c r="I13" s="1586">
        <f t="shared" si="0"/>
        <v>3485074</v>
      </c>
      <c r="J13" s="1586">
        <f t="shared" si="0"/>
        <v>3160332</v>
      </c>
      <c r="K13" s="1586">
        <f t="shared" si="0"/>
        <v>400101</v>
      </c>
      <c r="L13" s="1586">
        <f t="shared" si="0"/>
        <v>687366</v>
      </c>
      <c r="M13" s="1574"/>
      <c r="N13" s="1575"/>
    </row>
    <row r="14" spans="1:14" ht="18" customHeight="1" thickTop="1" x14ac:dyDescent="0.2">
      <c r="A14" s="2308" t="s">
        <v>146</v>
      </c>
      <c r="B14" s="2309"/>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2453383</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f>39714200+7919965</f>
        <v>47634165</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920808</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v>251637</v>
      </c>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447456</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29324805</v>
      </c>
    </row>
    <row r="23" spans="1:14" ht="13.5" customHeight="1" thickBot="1" x14ac:dyDescent="0.25">
      <c r="A23" s="1425" t="s">
        <v>638</v>
      </c>
      <c r="B23" s="1428"/>
      <c r="C23" s="1574"/>
      <c r="D23" s="1574"/>
      <c r="E23" s="1574"/>
      <c r="F23" s="1574"/>
      <c r="G23" s="1574"/>
      <c r="H23" s="1574"/>
      <c r="I23" s="1574"/>
      <c r="J23" s="1574"/>
      <c r="K23" s="1574"/>
      <c r="L23" s="1574"/>
      <c r="M23" s="1593">
        <f>SUM(M15:M22)</f>
        <v>51259993</v>
      </c>
      <c r="N23" s="1593">
        <f>SUM(N21:N22)</f>
        <v>29772261</v>
      </c>
    </row>
    <row r="24" spans="1:14" ht="18" customHeight="1" thickTop="1" x14ac:dyDescent="0.2">
      <c r="A24" s="2310" t="s">
        <v>594</v>
      </c>
      <c r="B24" s="2311"/>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v>98765</v>
      </c>
      <c r="H25" s="1583"/>
      <c r="I25" s="1574"/>
      <c r="J25" s="1582">
        <v>38369</v>
      </c>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v>1215067</v>
      </c>
      <c r="D27" s="1573">
        <v>690500</v>
      </c>
      <c r="E27" s="1573"/>
      <c r="F27" s="1573">
        <v>15979</v>
      </c>
      <c r="G27" s="1573"/>
      <c r="H27" s="1573">
        <v>47607</v>
      </c>
      <c r="I27" s="1573"/>
      <c r="J27" s="1573">
        <v>234061</v>
      </c>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v>4621535</v>
      </c>
      <c r="D30" s="1578"/>
      <c r="E30" s="1573"/>
      <c r="F30" s="1573"/>
      <c r="G30" s="1573">
        <v>309621</v>
      </c>
      <c r="H30" s="1573"/>
      <c r="I30" s="1573"/>
      <c r="J30" s="1573">
        <v>29028</v>
      </c>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f>9611464+10463</f>
        <v>9621927</v>
      </c>
      <c r="D32" s="1598">
        <v>1677585</v>
      </c>
      <c r="E32" s="1578">
        <v>2863100</v>
      </c>
      <c r="F32" s="1578">
        <v>671034</v>
      </c>
      <c r="G32" s="1578">
        <v>2433035</v>
      </c>
      <c r="H32" s="1578"/>
      <c r="I32" s="1578">
        <v>167758</v>
      </c>
      <c r="J32" s="1578">
        <v>1608233</v>
      </c>
      <c r="K32" s="1583">
        <v>167758</v>
      </c>
      <c r="L32" s="1574"/>
      <c r="M32" s="1574"/>
      <c r="N32" s="1574"/>
    </row>
    <row r="33" spans="1:14" ht="13.5" customHeight="1" x14ac:dyDescent="0.2">
      <c r="A33" s="436" t="s">
        <v>300</v>
      </c>
      <c r="B33" s="435">
        <v>493</v>
      </c>
      <c r="C33" s="1573"/>
      <c r="D33" s="1573"/>
      <c r="E33" s="1573"/>
      <c r="F33" s="1573"/>
      <c r="G33" s="1573"/>
      <c r="H33" s="1573"/>
      <c r="I33" s="1573"/>
      <c r="J33" s="1573"/>
      <c r="K33" s="1573"/>
      <c r="L33" s="1573">
        <v>687366</v>
      </c>
      <c r="M33" s="1574"/>
      <c r="N33" s="1575"/>
    </row>
    <row r="34" spans="1:14" ht="13.5" customHeight="1" thickBot="1" x14ac:dyDescent="0.25">
      <c r="A34" s="1426" t="s">
        <v>649</v>
      </c>
      <c r="B34" s="1427"/>
      <c r="C34" s="1599">
        <f>SUM(C25:C33)</f>
        <v>15458529</v>
      </c>
      <c r="D34" s="1599">
        <f t="shared" ref="D34:K34" si="1">SUM(D25:D33)</f>
        <v>2368085</v>
      </c>
      <c r="E34" s="1599">
        <f t="shared" si="1"/>
        <v>2863100</v>
      </c>
      <c r="F34" s="1599">
        <f t="shared" si="1"/>
        <v>687013</v>
      </c>
      <c r="G34" s="1599">
        <f t="shared" si="1"/>
        <v>2841421</v>
      </c>
      <c r="H34" s="1599">
        <f t="shared" si="1"/>
        <v>47607</v>
      </c>
      <c r="I34" s="1599">
        <f t="shared" si="1"/>
        <v>167758</v>
      </c>
      <c r="J34" s="1599">
        <f t="shared" si="1"/>
        <v>1909691</v>
      </c>
      <c r="K34" s="1599">
        <f t="shared" si="1"/>
        <v>167758</v>
      </c>
      <c r="L34" s="1600">
        <f>SUM(L33)</f>
        <v>687366</v>
      </c>
      <c r="M34" s="1574"/>
      <c r="N34" s="1584"/>
    </row>
    <row r="35" spans="1:14" ht="18" customHeight="1" thickTop="1" x14ac:dyDescent="0.2">
      <c r="A35" s="2312" t="s">
        <v>526</v>
      </c>
      <c r="B35" s="2313"/>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29772261</v>
      </c>
    </row>
    <row r="37" spans="1:14" ht="13.5" thickBot="1" x14ac:dyDescent="0.25">
      <c r="A37" s="1425" t="s">
        <v>648</v>
      </c>
      <c r="B37" s="1428"/>
      <c r="C37" s="1581"/>
      <c r="D37" s="1581"/>
      <c r="E37" s="1581"/>
      <c r="F37" s="1581"/>
      <c r="G37" s="1581"/>
      <c r="H37" s="1581"/>
      <c r="I37" s="1581"/>
      <c r="J37" s="1581"/>
      <c r="K37" s="1581"/>
      <c r="L37" s="1584"/>
      <c r="M37" s="1574"/>
      <c r="N37" s="1593">
        <f>SUM(N36:N36)</f>
        <v>29772261</v>
      </c>
    </row>
    <row r="38" spans="1:14" s="307" customFormat="1" ht="13.5" customHeight="1" thickTop="1" x14ac:dyDescent="0.2">
      <c r="A38" s="438" t="s">
        <v>417</v>
      </c>
      <c r="B38" s="432">
        <v>714</v>
      </c>
      <c r="C38" s="1572">
        <f>289253+1175000</f>
        <v>1464253</v>
      </c>
      <c r="D38" s="1572"/>
      <c r="E38" s="1572">
        <v>447456</v>
      </c>
      <c r="F38" s="1572">
        <v>5274509</v>
      </c>
      <c r="G38" s="1572">
        <v>1635245</v>
      </c>
      <c r="H38" s="1572"/>
      <c r="I38" s="1572"/>
      <c r="J38" s="1573">
        <v>1250641</v>
      </c>
      <c r="K38" s="1572">
        <v>232343</v>
      </c>
      <c r="L38" s="1585">
        <v>0</v>
      </c>
      <c r="M38" s="1603"/>
      <c r="N38" s="1603"/>
    </row>
    <row r="39" spans="1:14" s="307" customFormat="1" ht="13.5" customHeight="1" x14ac:dyDescent="0.2">
      <c r="A39" s="438" t="s">
        <v>339</v>
      </c>
      <c r="B39" s="432">
        <v>730</v>
      </c>
      <c r="C39" s="1572">
        <v>17302015</v>
      </c>
      <c r="D39" s="1572">
        <v>3462051</v>
      </c>
      <c r="E39" s="1572"/>
      <c r="F39" s="1572"/>
      <c r="G39" s="1572"/>
      <c r="H39" s="1572">
        <v>-46847</v>
      </c>
      <c r="I39" s="1572">
        <v>3317316</v>
      </c>
      <c r="J39" s="1573"/>
      <c r="K39" s="1572"/>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51259993</v>
      </c>
      <c r="N40" s="1603"/>
    </row>
    <row r="41" spans="1:14" ht="13.5" customHeight="1" thickBot="1" x14ac:dyDescent="0.25">
      <c r="A41" s="1425" t="s">
        <v>650</v>
      </c>
      <c r="B41" s="1404"/>
      <c r="C41" s="1593">
        <f>(SUM(C34,C37,C38,C39))</f>
        <v>34224797</v>
      </c>
      <c r="D41" s="1593">
        <f t="shared" ref="D41:L41" si="2">SUM(D34,D37,D38:D39)</f>
        <v>5830136</v>
      </c>
      <c r="E41" s="1593">
        <f t="shared" si="2"/>
        <v>3310556</v>
      </c>
      <c r="F41" s="1593">
        <f t="shared" si="2"/>
        <v>5961522</v>
      </c>
      <c r="G41" s="1593">
        <f t="shared" si="2"/>
        <v>4476666</v>
      </c>
      <c r="H41" s="1593">
        <f t="shared" si="2"/>
        <v>760</v>
      </c>
      <c r="I41" s="1593">
        <f t="shared" si="2"/>
        <v>3485074</v>
      </c>
      <c r="J41" s="1593">
        <f t="shared" si="2"/>
        <v>3160332</v>
      </c>
      <c r="K41" s="1593">
        <f t="shared" si="2"/>
        <v>400101</v>
      </c>
      <c r="L41" s="1593">
        <f t="shared" si="2"/>
        <v>687366</v>
      </c>
      <c r="M41" s="1593">
        <f>SUM(M40)</f>
        <v>51259993</v>
      </c>
      <c r="N41" s="1593">
        <f>SUM(N37)</f>
        <v>29772261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59999389629810485"/>
  </sheetPr>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2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2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34" t="s">
        <v>1165</v>
      </c>
      <c r="B3" s="2335"/>
      <c r="C3" s="1310"/>
      <c r="D3" s="1311"/>
      <c r="E3" s="1311"/>
      <c r="F3" s="1311"/>
      <c r="G3" s="1311"/>
      <c r="H3" s="1311"/>
      <c r="I3" s="1311"/>
      <c r="J3" s="1311"/>
      <c r="K3" s="1312"/>
      <c r="L3" s="446"/>
    </row>
    <row r="4" spans="1:13" ht="15.75" customHeight="1" x14ac:dyDescent="0.2">
      <c r="A4" s="1536" t="s">
        <v>1482</v>
      </c>
      <c r="B4" s="1537">
        <v>1000</v>
      </c>
      <c r="C4" s="1605">
        <f>'Revenues 9-14'!C109</f>
        <v>11432407</v>
      </c>
      <c r="D4" s="1605">
        <f>'Revenues 9-14'!D109</f>
        <v>5252133</v>
      </c>
      <c r="E4" s="1605">
        <f>'Revenues 9-14'!E109</f>
        <v>2244040</v>
      </c>
      <c r="F4" s="1605">
        <f>'Revenues 9-14'!F109</f>
        <v>711901</v>
      </c>
      <c r="G4" s="1605">
        <f>'Revenues 9-14'!G109</f>
        <v>2604520</v>
      </c>
      <c r="H4" s="1605">
        <f>'Revenues 9-14'!H109</f>
        <v>20069</v>
      </c>
      <c r="I4" s="1605">
        <f>'Revenues 9-14'!I109</f>
        <v>210290</v>
      </c>
      <c r="J4" s="1605">
        <f>'Revenues 9-14'!J109</f>
        <v>1635933</v>
      </c>
      <c r="K4" s="1605">
        <f>'Revenues 9-14'!K109</f>
        <v>170990</v>
      </c>
      <c r="L4" s="325"/>
    </row>
    <row r="5" spans="1:13" ht="15.75" customHeight="1" x14ac:dyDescent="0.2">
      <c r="A5" s="1313" t="s">
        <v>1483</v>
      </c>
      <c r="B5" s="1314">
        <v>2000</v>
      </c>
      <c r="C5" s="1606">
        <f>'Revenues 9-14'!C114</f>
        <v>40000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39691402</v>
      </c>
      <c r="D6" s="1606">
        <f>'Revenues 9-14'!D170</f>
        <v>50000</v>
      </c>
      <c r="E6" s="1606">
        <f>'Revenues 9-14'!E170</f>
        <v>0</v>
      </c>
      <c r="F6" s="1606">
        <f>'Revenues 9-14'!F170</f>
        <v>4321705</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1485</v>
      </c>
      <c r="B7" s="1315">
        <v>4000</v>
      </c>
      <c r="C7" s="1606">
        <f>'Revenues 9-14'!C267</f>
        <v>9208695</v>
      </c>
      <c r="D7" s="1606">
        <f>'Revenues 9-14'!D267</f>
        <v>0</v>
      </c>
      <c r="E7" s="1606">
        <f>'Revenues 9-14'!E267</f>
        <v>522928</v>
      </c>
      <c r="F7" s="1606">
        <f>'Revenues 9-14'!F267</f>
        <v>544076</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60372504</v>
      </c>
      <c r="D8" s="1593">
        <f t="shared" ref="D8:K8" si="0">SUM(D4:D7)</f>
        <v>5302133</v>
      </c>
      <c r="E8" s="1593">
        <f t="shared" si="0"/>
        <v>2766968</v>
      </c>
      <c r="F8" s="1593">
        <f t="shared" si="0"/>
        <v>5577682</v>
      </c>
      <c r="G8" s="1593">
        <f t="shared" si="0"/>
        <v>2604520</v>
      </c>
      <c r="H8" s="1593">
        <f t="shared" si="0"/>
        <v>20069</v>
      </c>
      <c r="I8" s="1593">
        <f t="shared" si="0"/>
        <v>210290</v>
      </c>
      <c r="J8" s="1593">
        <f t="shared" si="0"/>
        <v>1635933</v>
      </c>
      <c r="K8" s="1593">
        <f t="shared" si="0"/>
        <v>170990</v>
      </c>
      <c r="L8" s="325"/>
    </row>
    <row r="9" spans="1:13" ht="15.75" thickTop="1" x14ac:dyDescent="0.2">
      <c r="A9" s="449" t="s">
        <v>1634</v>
      </c>
      <c r="B9" s="450">
        <v>3998</v>
      </c>
      <c r="C9" s="1585">
        <v>26144703</v>
      </c>
      <c r="D9" s="1612"/>
      <c r="E9" s="1585"/>
      <c r="F9" s="1585"/>
      <c r="G9" s="1613"/>
      <c r="H9" s="1585"/>
      <c r="I9" s="1608" t="s">
        <v>1159</v>
      </c>
      <c r="J9" s="1582"/>
      <c r="K9" s="1585"/>
      <c r="L9" s="325"/>
    </row>
    <row r="10" spans="1:13" s="452" customFormat="1" ht="13.5" thickBot="1" x14ac:dyDescent="0.25">
      <c r="A10" s="1425" t="s">
        <v>1163</v>
      </c>
      <c r="B10" s="1406"/>
      <c r="C10" s="1593">
        <f>SUM(C8:C9)</f>
        <v>86517207</v>
      </c>
      <c r="D10" s="1593">
        <f t="shared" ref="D10:K10" si="1">SUM(D8:D9)</f>
        <v>5302133</v>
      </c>
      <c r="E10" s="1593">
        <f t="shared" si="1"/>
        <v>2766968</v>
      </c>
      <c r="F10" s="1593">
        <f t="shared" si="1"/>
        <v>5577682</v>
      </c>
      <c r="G10" s="1593">
        <f t="shared" si="1"/>
        <v>2604520</v>
      </c>
      <c r="H10" s="1593">
        <f t="shared" si="1"/>
        <v>20069</v>
      </c>
      <c r="I10" s="1593">
        <f t="shared" si="1"/>
        <v>210290</v>
      </c>
      <c r="J10" s="1593">
        <f t="shared" si="1"/>
        <v>1635933</v>
      </c>
      <c r="K10" s="1593">
        <f t="shared" si="1"/>
        <v>170990</v>
      </c>
      <c r="L10" s="451"/>
    </row>
    <row r="11" spans="1:13" s="452" customFormat="1" ht="16.7" customHeight="1" thickTop="1" x14ac:dyDescent="0.2">
      <c r="A11" s="2308" t="s">
        <v>1166</v>
      </c>
      <c r="B11" s="2309"/>
      <c r="C11" s="1601"/>
      <c r="D11" s="1602"/>
      <c r="E11" s="1602"/>
      <c r="F11" s="1602"/>
      <c r="G11" s="1602"/>
      <c r="H11" s="1602"/>
      <c r="I11" s="1602"/>
      <c r="J11" s="1602"/>
      <c r="K11" s="1614"/>
      <c r="L11" s="451"/>
    </row>
    <row r="12" spans="1:13" ht="15.75" customHeight="1" x14ac:dyDescent="0.2">
      <c r="A12" s="1313" t="s">
        <v>453</v>
      </c>
      <c r="B12" s="1315">
        <v>1000</v>
      </c>
      <c r="C12" s="1605">
        <f>'Expenditures 15-22'!K33</f>
        <v>38225166</v>
      </c>
      <c r="D12" s="1615" t="s">
        <v>1159</v>
      </c>
      <c r="E12" s="1574" t="s">
        <v>1159</v>
      </c>
      <c r="F12" s="1574" t="s">
        <v>1159</v>
      </c>
      <c r="G12" s="1605">
        <f>'Expenditures 15-22'!K229</f>
        <v>1093158</v>
      </c>
      <c r="H12" s="1616"/>
      <c r="I12" s="1574" t="s">
        <v>1159</v>
      </c>
      <c r="J12" s="1574" t="s">
        <v>1159</v>
      </c>
      <c r="K12" s="1616" t="s">
        <v>1159</v>
      </c>
      <c r="L12" s="325"/>
    </row>
    <row r="13" spans="1:13" ht="15.75" customHeight="1" x14ac:dyDescent="0.2">
      <c r="A13" s="1313" t="s">
        <v>454</v>
      </c>
      <c r="B13" s="1315">
        <v>2000</v>
      </c>
      <c r="C13" s="1606">
        <f>'Expenditures 15-22'!K74</f>
        <v>20492168</v>
      </c>
      <c r="D13" s="1606">
        <f>'Expenditures 15-22'!K129</f>
        <v>5021387</v>
      </c>
      <c r="E13" s="1575" t="s">
        <v>1159</v>
      </c>
      <c r="F13" s="1606">
        <f>'Expenditures 15-22'!K184</f>
        <v>3277558</v>
      </c>
      <c r="G13" s="1606">
        <f>'Expenditures 15-22'!K279</f>
        <v>1383124</v>
      </c>
      <c r="H13" s="1606">
        <f>'Expenditures 15-22'!K303</f>
        <v>67676</v>
      </c>
      <c r="I13" s="1574" t="s">
        <v>1159</v>
      </c>
      <c r="J13" s="1606">
        <f>'Expenditures 15-22'!K330</f>
        <v>1563883</v>
      </c>
      <c r="K13" s="1617">
        <f>'Expenditures 15-22'!K352</f>
        <v>0</v>
      </c>
      <c r="L13" s="325"/>
    </row>
    <row r="14" spans="1:13" ht="15.75" customHeight="1" x14ac:dyDescent="0.2">
      <c r="A14" s="1313" t="s">
        <v>446</v>
      </c>
      <c r="B14" s="1315">
        <v>3000</v>
      </c>
      <c r="C14" s="1606">
        <f>'Expenditures 15-22'!K75</f>
        <v>1596097</v>
      </c>
      <c r="D14" s="1606">
        <f>'Expenditures 15-22'!K130</f>
        <v>0</v>
      </c>
      <c r="E14" s="1615" t="s">
        <v>1159</v>
      </c>
      <c r="F14" s="1606">
        <f>'Expenditures 15-22'!K185</f>
        <v>0</v>
      </c>
      <c r="G14" s="1606">
        <f>'Expenditures 15-22'!K280</f>
        <v>194685</v>
      </c>
      <c r="H14" s="1611"/>
      <c r="I14" s="1574" t="s">
        <v>1159</v>
      </c>
      <c r="J14" s="1574" t="s">
        <v>1159</v>
      </c>
      <c r="K14" s="1611" t="s">
        <v>1159</v>
      </c>
      <c r="L14" s="325"/>
    </row>
    <row r="15" spans="1:13" ht="15.75" customHeight="1" x14ac:dyDescent="0.2">
      <c r="A15" s="1313" t="s">
        <v>107</v>
      </c>
      <c r="B15" s="1315">
        <v>4000</v>
      </c>
      <c r="C15" s="1606">
        <f>'Expenditures 15-22'!K102</f>
        <v>1554376</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3751874</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61867807</v>
      </c>
      <c r="D17" s="1593">
        <f t="shared" si="2"/>
        <v>5021387</v>
      </c>
      <c r="E17" s="1593">
        <f t="shared" si="2"/>
        <v>3751874</v>
      </c>
      <c r="F17" s="1593">
        <f t="shared" si="2"/>
        <v>3277558</v>
      </c>
      <c r="G17" s="1593">
        <f t="shared" si="2"/>
        <v>2670967</v>
      </c>
      <c r="H17" s="1593">
        <f t="shared" si="2"/>
        <v>67676</v>
      </c>
      <c r="I17" s="1574"/>
      <c r="J17" s="1593">
        <f>SUM(J12:J16)</f>
        <v>1563883</v>
      </c>
      <c r="K17" s="1593">
        <f>SUM(K12:K16)</f>
        <v>0</v>
      </c>
      <c r="L17" s="325"/>
    </row>
    <row r="18" spans="1:12" ht="15" customHeight="1" thickTop="1" x14ac:dyDescent="0.2">
      <c r="A18" s="1429" t="s">
        <v>1635</v>
      </c>
      <c r="B18" s="1430">
        <v>4180</v>
      </c>
      <c r="C18" s="1605">
        <f t="shared" ref="C18:H18" si="3">C9</f>
        <v>26144703</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88012510</v>
      </c>
      <c r="D19" s="1593">
        <f t="shared" si="4"/>
        <v>5021387</v>
      </c>
      <c r="E19" s="1593">
        <f t="shared" si="4"/>
        <v>3751874</v>
      </c>
      <c r="F19" s="1593">
        <f t="shared" si="4"/>
        <v>3277558</v>
      </c>
      <c r="G19" s="1593">
        <f t="shared" si="4"/>
        <v>2670967</v>
      </c>
      <c r="H19" s="1593">
        <f t="shared" si="4"/>
        <v>67676</v>
      </c>
      <c r="I19" s="1574"/>
      <c r="J19" s="1593">
        <f>SUM(J17:J18)</f>
        <v>1563883</v>
      </c>
      <c r="K19" s="1593">
        <f>SUM(K17:K18)</f>
        <v>0</v>
      </c>
      <c r="L19" s="325"/>
    </row>
    <row r="20" spans="1:12" ht="16.5" thickTop="1" thickBot="1" x14ac:dyDescent="0.25">
      <c r="A20" s="2324" t="s">
        <v>1636</v>
      </c>
      <c r="B20" s="2325"/>
      <c r="C20" s="1621">
        <f>C8-C17</f>
        <v>-1495303</v>
      </c>
      <c r="D20" s="1621">
        <f t="shared" ref="D20:K20" si="5">D8-D17</f>
        <v>280746</v>
      </c>
      <c r="E20" s="1621">
        <f t="shared" si="5"/>
        <v>-984906</v>
      </c>
      <c r="F20" s="1621">
        <f t="shared" si="5"/>
        <v>2300124</v>
      </c>
      <c r="G20" s="1621">
        <f t="shared" si="5"/>
        <v>-66447</v>
      </c>
      <c r="H20" s="1621">
        <f t="shared" si="5"/>
        <v>-47607</v>
      </c>
      <c r="I20" s="1621">
        <f t="shared" si="5"/>
        <v>210290</v>
      </c>
      <c r="J20" s="1621">
        <f t="shared" si="5"/>
        <v>72050</v>
      </c>
      <c r="K20" s="1621">
        <f t="shared" si="5"/>
        <v>170990</v>
      </c>
      <c r="L20" s="325"/>
    </row>
    <row r="21" spans="1:12" ht="16.7" customHeight="1" thickTop="1" x14ac:dyDescent="0.2">
      <c r="A21" s="2336" t="s">
        <v>591</v>
      </c>
      <c r="B21" s="2337"/>
      <c r="C21" s="1601"/>
      <c r="D21" s="1602"/>
      <c r="E21" s="1602"/>
      <c r="F21" s="1602"/>
      <c r="G21" s="1602"/>
      <c r="H21" s="1602"/>
      <c r="I21" s="1602"/>
      <c r="J21" s="1602"/>
      <c r="K21" s="1614"/>
      <c r="L21" s="453"/>
    </row>
    <row r="22" spans="1:12" ht="15.75" customHeight="1" collapsed="1" x14ac:dyDescent="0.2">
      <c r="A22" s="2332" t="s">
        <v>592</v>
      </c>
      <c r="B22" s="2333"/>
      <c r="C22" s="1581"/>
      <c r="D22" s="1581"/>
      <c r="E22" s="1581"/>
      <c r="F22" s="1581"/>
      <c r="G22" s="1581"/>
      <c r="H22" s="1581"/>
      <c r="I22" s="1581"/>
      <c r="J22" s="1581"/>
      <c r="K22" s="1581"/>
      <c r="L22" s="325"/>
    </row>
    <row r="23" spans="1:12" s="433" customFormat="1" ht="15.75" customHeight="1" x14ac:dyDescent="0.2">
      <c r="A23" s="2328" t="s">
        <v>290</v>
      </c>
      <c r="B23" s="2329"/>
      <c r="C23" s="1584"/>
      <c r="D23" s="1581"/>
      <c r="E23" s="1581"/>
      <c r="F23" s="1581"/>
      <c r="G23" s="1581"/>
      <c r="H23" s="1581"/>
      <c r="I23" s="1581"/>
      <c r="J23" s="1581"/>
      <c r="K23" s="1581"/>
      <c r="L23" s="453"/>
    </row>
    <row r="24" spans="1:12" s="433" customFormat="1" ht="13.5" customHeight="1" x14ac:dyDescent="0.2">
      <c r="A24" s="1259" t="s">
        <v>1637</v>
      </c>
      <c r="B24" s="454">
        <v>7110</v>
      </c>
      <c r="C24" s="1573"/>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1767</v>
      </c>
      <c r="B30" s="455">
        <v>7160</v>
      </c>
      <c r="C30" s="1581"/>
      <c r="D30" s="1573"/>
      <c r="E30" s="1581"/>
      <c r="F30" s="1581"/>
      <c r="G30" s="1581"/>
      <c r="H30" s="1581"/>
      <c r="I30" s="1581"/>
      <c r="J30" s="1581"/>
      <c r="K30" s="1581"/>
      <c r="L30" s="453"/>
    </row>
    <row r="31" spans="1:12" s="433" customFormat="1" ht="26.25" x14ac:dyDescent="0.2">
      <c r="A31" s="1259" t="s">
        <v>1771</v>
      </c>
      <c r="B31" s="455">
        <v>7170</v>
      </c>
      <c r="C31" s="1581"/>
      <c r="D31" s="1581"/>
      <c r="E31" s="1578"/>
      <c r="F31" s="1581"/>
      <c r="G31" s="1581"/>
      <c r="H31" s="1581"/>
      <c r="I31" s="1581"/>
      <c r="J31" s="1581"/>
      <c r="K31" s="1581"/>
      <c r="L31" s="453"/>
    </row>
    <row r="32" spans="1:12" s="433" customFormat="1" ht="15.75" customHeight="1" x14ac:dyDescent="0.2">
      <c r="A32" s="2330" t="s">
        <v>974</v>
      </c>
      <c r="B32" s="2331"/>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c r="D36" s="1573"/>
      <c r="E36" s="1573"/>
      <c r="F36" s="1573"/>
      <c r="G36" s="1573"/>
      <c r="H36" s="1573"/>
      <c r="I36" s="1579"/>
      <c r="J36" s="1573"/>
      <c r="K36" s="1573"/>
      <c r="L36" s="453"/>
    </row>
    <row r="37" spans="1:12" s="433" customFormat="1" x14ac:dyDescent="0.2">
      <c r="A37" s="1259" t="s">
        <v>438</v>
      </c>
      <c r="B37" s="454">
        <v>7400</v>
      </c>
      <c r="C37" s="1579"/>
      <c r="D37" s="1579"/>
      <c r="E37" s="1606">
        <f>SUM(C54:D57,H54:H57)</f>
        <v>1049197</v>
      </c>
      <c r="F37" s="1579"/>
      <c r="G37" s="1579"/>
      <c r="H37" s="1579"/>
      <c r="I37" s="1581"/>
      <c r="J37" s="1579"/>
      <c r="K37" s="1579"/>
      <c r="L37" s="453"/>
    </row>
    <row r="38" spans="1:12" s="433" customFormat="1" x14ac:dyDescent="0.2">
      <c r="A38" s="1259" t="s">
        <v>439</v>
      </c>
      <c r="B38" s="454">
        <v>7500</v>
      </c>
      <c r="C38" s="1581"/>
      <c r="D38" s="1581"/>
      <c r="E38" s="1606">
        <f>SUM(C58:D61,H58:H61)</f>
        <v>32645</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v>904777</v>
      </c>
      <c r="D43" s="1573"/>
      <c r="E43" s="1573"/>
      <c r="F43" s="1573"/>
      <c r="G43" s="1573"/>
      <c r="H43" s="1573"/>
      <c r="I43" s="1573"/>
      <c r="J43" s="1573"/>
      <c r="K43" s="1573"/>
      <c r="L43" s="453"/>
    </row>
    <row r="44" spans="1:12" s="433" customFormat="1" ht="13.5" customHeight="1" thickBot="1" x14ac:dyDescent="0.25">
      <c r="A44" s="2338" t="s">
        <v>371</v>
      </c>
      <c r="B44" s="2339"/>
      <c r="C44" s="1623">
        <f>SUM(C24:C43)</f>
        <v>904777</v>
      </c>
      <c r="D44" s="1623">
        <f t="shared" ref="D44:K44" si="6">SUM(D24:D43)</f>
        <v>0</v>
      </c>
      <c r="E44" s="1623">
        <f t="shared" si="6"/>
        <v>1081842</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332" t="s">
        <v>108</v>
      </c>
      <c r="B45" s="2333"/>
      <c r="C45" s="1624"/>
      <c r="D45" s="1624"/>
      <c r="E45" s="1624"/>
      <c r="F45" s="1624"/>
      <c r="G45" s="1624"/>
      <c r="H45" s="1624"/>
      <c r="I45" s="1624"/>
      <c r="J45" s="1624"/>
      <c r="K45" s="1624"/>
      <c r="L45" s="325"/>
    </row>
    <row r="46" spans="1:12" s="433" customFormat="1" ht="15.75" customHeight="1" x14ac:dyDescent="0.2">
      <c r="A46" s="2340" t="s">
        <v>109</v>
      </c>
      <c r="B46" s="2341"/>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1770</v>
      </c>
      <c r="B52" s="432">
        <v>8160</v>
      </c>
      <c r="C52" s="1581"/>
      <c r="D52" s="1581"/>
      <c r="E52" s="1581"/>
      <c r="F52" s="1581"/>
      <c r="G52" s="1581"/>
      <c r="H52" s="1581"/>
      <c r="I52" s="1581"/>
      <c r="J52" s="1581"/>
      <c r="K52" s="1606">
        <f>D30</f>
        <v>0</v>
      </c>
      <c r="L52" s="453"/>
    </row>
    <row r="53" spans="1:12" s="433" customFormat="1" ht="26.25" x14ac:dyDescent="0.2">
      <c r="A53" s="1260" t="s">
        <v>1769</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v>1049197</v>
      </c>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v>32645</v>
      </c>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314" t="s">
        <v>437</v>
      </c>
      <c r="B76" s="2315"/>
      <c r="C76" s="1623">
        <f t="shared" ref="C76:K76" si="7">SUM(C47:C75)</f>
        <v>1081842</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316" t="s">
        <v>1167</v>
      </c>
      <c r="B77" s="2317"/>
      <c r="C77" s="1623">
        <f t="shared" ref="C77:K77" si="8">C44-C76</f>
        <v>-177065</v>
      </c>
      <c r="D77" s="1623">
        <f t="shared" si="8"/>
        <v>0</v>
      </c>
      <c r="E77" s="1623">
        <f t="shared" si="8"/>
        <v>1081842</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320" t="s">
        <v>593</v>
      </c>
      <c r="B78" s="2321"/>
      <c r="C78" s="1628">
        <f t="shared" ref="C78:K78" si="9">C20+C77</f>
        <v>-1672368</v>
      </c>
      <c r="D78" s="1628">
        <f t="shared" si="9"/>
        <v>280746</v>
      </c>
      <c r="E78" s="1628">
        <f t="shared" si="9"/>
        <v>96936</v>
      </c>
      <c r="F78" s="1628">
        <f t="shared" si="9"/>
        <v>2300124</v>
      </c>
      <c r="G78" s="1628">
        <f t="shared" si="9"/>
        <v>-66447</v>
      </c>
      <c r="H78" s="1628">
        <f t="shared" si="9"/>
        <v>-47607</v>
      </c>
      <c r="I78" s="1628">
        <f t="shared" si="9"/>
        <v>210290</v>
      </c>
      <c r="J78" s="1628">
        <f t="shared" si="9"/>
        <v>72050</v>
      </c>
      <c r="K78" s="1628">
        <f t="shared" si="9"/>
        <v>170990</v>
      </c>
      <c r="L78" s="457"/>
    </row>
    <row r="79" spans="1:12" ht="13.5" thickTop="1" x14ac:dyDescent="0.2">
      <c r="A79" s="1843" t="str">
        <f>"Fund Balances - July 1, "&amp;'AFR20'!E2-1</f>
        <v>Fund Balances - July 1, 2019</v>
      </c>
      <c r="B79" s="458"/>
      <c r="C79" s="1582">
        <v>20438636</v>
      </c>
      <c r="D79" s="1629">
        <v>3181305</v>
      </c>
      <c r="E79" s="1629">
        <v>350520</v>
      </c>
      <c r="F79" s="1629">
        <v>2974385</v>
      </c>
      <c r="G79" s="1629">
        <v>1701692</v>
      </c>
      <c r="H79" s="1629">
        <v>760</v>
      </c>
      <c r="I79" s="1629">
        <v>3107026</v>
      </c>
      <c r="J79" s="1629">
        <v>1178591</v>
      </c>
      <c r="K79" s="1629">
        <v>61353</v>
      </c>
      <c r="L79" s="325"/>
    </row>
    <row r="80" spans="1:12" x14ac:dyDescent="0.2">
      <c r="A80" s="2326" t="s">
        <v>1768</v>
      </c>
      <c r="B80" s="2327"/>
      <c r="C80" s="1573"/>
      <c r="D80" s="1573"/>
      <c r="E80" s="1573"/>
      <c r="F80" s="1573"/>
      <c r="G80" s="1573"/>
      <c r="H80" s="1573"/>
      <c r="I80" s="1573"/>
      <c r="J80" s="1573"/>
      <c r="K80" s="1573"/>
      <c r="L80" s="325"/>
    </row>
    <row r="81" spans="1:12" ht="13.5" thickBot="1" x14ac:dyDescent="0.25">
      <c r="A81" s="2318" t="str">
        <f>"Fund Balances - June 30, "&amp;'AFR20'!E2</f>
        <v>Fund Balances - June 30, 2020</v>
      </c>
      <c r="B81" s="2319"/>
      <c r="C81" s="1593">
        <f>(SUM(C78:C80))</f>
        <v>18766268</v>
      </c>
      <c r="D81" s="1593">
        <f>SUM(D78:D80)</f>
        <v>3462051</v>
      </c>
      <c r="E81" s="1593">
        <f t="shared" ref="E81:K81" si="10">SUM(E78:E80)</f>
        <v>447456</v>
      </c>
      <c r="F81" s="1593">
        <f t="shared" si="10"/>
        <v>5274509</v>
      </c>
      <c r="G81" s="1593">
        <f t="shared" si="10"/>
        <v>1635245</v>
      </c>
      <c r="H81" s="1593">
        <f t="shared" si="10"/>
        <v>-46847</v>
      </c>
      <c r="I81" s="1593">
        <f t="shared" si="10"/>
        <v>3317316</v>
      </c>
      <c r="J81" s="1593">
        <f t="shared" si="10"/>
        <v>1250641</v>
      </c>
      <c r="K81" s="1593">
        <f t="shared" si="10"/>
        <v>232343</v>
      </c>
      <c r="L81" s="325"/>
    </row>
    <row r="82" spans="1:12" ht="0.75" customHeight="1" thickTop="1" thickBot="1" x14ac:dyDescent="0.25">
      <c r="A82" s="459" t="s">
        <v>340</v>
      </c>
      <c r="B82" s="460"/>
      <c r="C82" s="461">
        <f>(C81-C79)</f>
        <v>-1672368</v>
      </c>
      <c r="D82" s="461">
        <f t="shared" ref="D82:K82" si="11">(D81-D79)</f>
        <v>280746</v>
      </c>
      <c r="E82" s="461">
        <f t="shared" si="11"/>
        <v>96936</v>
      </c>
      <c r="F82" s="461">
        <f t="shared" si="11"/>
        <v>2300124</v>
      </c>
      <c r="G82" s="461">
        <f t="shared" si="11"/>
        <v>-66447</v>
      </c>
      <c r="H82" s="461">
        <f t="shared" si="11"/>
        <v>-47607</v>
      </c>
      <c r="I82" s="461">
        <f t="shared" si="11"/>
        <v>210290</v>
      </c>
      <c r="J82" s="461">
        <f t="shared" si="11"/>
        <v>72050</v>
      </c>
      <c r="K82" s="461">
        <f t="shared" si="11"/>
        <v>170990</v>
      </c>
    </row>
    <row r="83" spans="1:12" ht="14.25" hidden="1" thickTop="1" thickBot="1" x14ac:dyDescent="0.25">
      <c r="A83" s="462" t="s">
        <v>341</v>
      </c>
      <c r="B83" s="428"/>
      <c r="C83" s="463">
        <f>C82/C81</f>
        <v>-8.9115640893543666E-2</v>
      </c>
      <c r="D83" s="463">
        <f t="shared" ref="D83:K83" si="12">D82/D81</f>
        <v>8.1092392919688353E-2</v>
      </c>
      <c r="E83" s="463">
        <f t="shared" si="12"/>
        <v>0.21663806050203818</v>
      </c>
      <c r="F83" s="463">
        <f t="shared" si="12"/>
        <v>0.43608305531377423</v>
      </c>
      <c r="G83" s="463">
        <f t="shared" si="12"/>
        <v>-4.0634278043962829E-2</v>
      </c>
      <c r="H83" s="463">
        <f t="shared" si="12"/>
        <v>1.0162230238862682</v>
      </c>
      <c r="I83" s="463">
        <f t="shared" si="12"/>
        <v>6.3391609361302934E-2</v>
      </c>
      <c r="J83" s="463">
        <f t="shared" si="12"/>
        <v>5.7610457357467088E-2</v>
      </c>
      <c r="K83" s="463">
        <f t="shared" si="12"/>
        <v>0.73593781607364972</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59999389629810485"/>
  </sheetPr>
  <dimension ref="A1:L279"/>
  <sheetViews>
    <sheetView showGridLines="0" defaultGridColor="0" colorId="8" zoomScale="110" zoomScaleNormal="110" zoomScaleSheetLayoutView="75" workbookViewId="0">
      <pane ySplit="2" topLeftCell="A153" activePane="bottomLeft" state="frozen"/>
      <selection pane="bottomLeft" activeCell="C168" sqref="C16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22" t="s">
        <v>1775</v>
      </c>
      <c r="B1" s="416"/>
      <c r="C1" s="417" t="s">
        <v>422</v>
      </c>
      <c r="D1" s="417" t="s">
        <v>423</v>
      </c>
      <c r="E1" s="417" t="s">
        <v>424</v>
      </c>
      <c r="F1" s="417" t="s">
        <v>425</v>
      </c>
      <c r="G1" s="417" t="s">
        <v>426</v>
      </c>
      <c r="H1" s="417" t="s">
        <v>427</v>
      </c>
      <c r="I1" s="417" t="s">
        <v>428</v>
      </c>
      <c r="J1" s="417" t="s">
        <v>429</v>
      </c>
      <c r="K1" s="417" t="s">
        <v>751</v>
      </c>
    </row>
    <row r="2" spans="1:12" ht="36" x14ac:dyDescent="0.2">
      <c r="A2" s="232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9170476</v>
      </c>
      <c r="D5" s="1585">
        <v>1685738</v>
      </c>
      <c r="E5" s="1572">
        <v>2233507</v>
      </c>
      <c r="F5" s="1630">
        <v>674292</v>
      </c>
      <c r="G5" s="1572">
        <v>1236923</v>
      </c>
      <c r="H5" s="1572"/>
      <c r="I5" s="1572">
        <v>168568</v>
      </c>
      <c r="J5" s="1573">
        <v>1606276</v>
      </c>
      <c r="K5" s="1572">
        <v>168569</v>
      </c>
    </row>
    <row r="6" spans="1:12" ht="15" x14ac:dyDescent="0.2">
      <c r="A6" s="427" t="s">
        <v>1643</v>
      </c>
      <c r="B6" s="429">
        <v>1130</v>
      </c>
      <c r="C6" s="1572">
        <v>168568</v>
      </c>
      <c r="D6" s="1572"/>
      <c r="E6" s="1579"/>
      <c r="F6" s="1579"/>
      <c r="G6" s="1574"/>
      <c r="H6" s="1574"/>
      <c r="I6" s="1574"/>
      <c r="J6" s="1574"/>
      <c r="K6" s="1574"/>
    </row>
    <row r="7" spans="1:12" x14ac:dyDescent="0.2">
      <c r="A7" s="427" t="s">
        <v>110</v>
      </c>
      <c r="B7" s="471">
        <v>1140</v>
      </c>
      <c r="C7" s="1572">
        <v>134858</v>
      </c>
      <c r="D7" s="1572"/>
      <c r="E7" s="1574"/>
      <c r="F7" s="1573"/>
      <c r="G7" s="1573"/>
      <c r="H7" s="1573"/>
      <c r="I7" s="1574"/>
      <c r="J7" s="1574"/>
      <c r="K7" s="1574"/>
    </row>
    <row r="8" spans="1:12" x14ac:dyDescent="0.2">
      <c r="A8" s="427" t="s">
        <v>410</v>
      </c>
      <c r="B8" s="429">
        <v>1150</v>
      </c>
      <c r="C8" s="1579"/>
      <c r="D8" s="1579"/>
      <c r="E8" s="1581"/>
      <c r="F8" s="1581"/>
      <c r="G8" s="1585">
        <v>1193126</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9473902</v>
      </c>
      <c r="D12" s="1632">
        <f t="shared" si="0"/>
        <v>1685738</v>
      </c>
      <c r="E12" s="1632">
        <f t="shared" si="0"/>
        <v>2233507</v>
      </c>
      <c r="F12" s="1632">
        <f t="shared" si="0"/>
        <v>674292</v>
      </c>
      <c r="G12" s="1632">
        <f t="shared" si="0"/>
        <v>2430049</v>
      </c>
      <c r="H12" s="1632">
        <f t="shared" si="0"/>
        <v>0</v>
      </c>
      <c r="I12" s="1632">
        <f t="shared" si="0"/>
        <v>168568</v>
      </c>
      <c r="J12" s="1632">
        <f t="shared" si="0"/>
        <v>1606276</v>
      </c>
      <c r="K12" s="1593">
        <f t="shared" si="0"/>
        <v>168569</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v>1432648</v>
      </c>
      <c r="D16" s="1572">
        <v>2218968</v>
      </c>
      <c r="E16" s="1572"/>
      <c r="F16" s="1572"/>
      <c r="G16" s="1572">
        <v>135000</v>
      </c>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1432648</v>
      </c>
      <c r="D18" s="1634">
        <f t="shared" ref="D18:K18" si="1">SUM(D14:D17)</f>
        <v>2218968</v>
      </c>
      <c r="E18" s="1634">
        <f t="shared" si="1"/>
        <v>0</v>
      </c>
      <c r="F18" s="1634">
        <f t="shared" si="1"/>
        <v>0</v>
      </c>
      <c r="G18" s="1634">
        <f t="shared" si="1"/>
        <v>135000</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300543</v>
      </c>
      <c r="D65" s="1572">
        <v>51347</v>
      </c>
      <c r="E65" s="1572">
        <v>10533</v>
      </c>
      <c r="F65" s="1573">
        <v>37609</v>
      </c>
      <c r="G65" s="1572">
        <v>39471</v>
      </c>
      <c r="H65" s="1572">
        <v>3</v>
      </c>
      <c r="I65" s="1572">
        <v>41722</v>
      </c>
      <c r="J65" s="1573">
        <v>29613</v>
      </c>
      <c r="K65" s="1572">
        <v>2421</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300543</v>
      </c>
      <c r="D67" s="1593">
        <f t="shared" ref="D67:K67" si="2">SUM(D65:D66)</f>
        <v>51347</v>
      </c>
      <c r="E67" s="1593">
        <f t="shared" si="2"/>
        <v>10533</v>
      </c>
      <c r="F67" s="1593">
        <f t="shared" si="2"/>
        <v>37609</v>
      </c>
      <c r="G67" s="1593">
        <f t="shared" si="2"/>
        <v>39471</v>
      </c>
      <c r="H67" s="1593">
        <f t="shared" si="2"/>
        <v>3</v>
      </c>
      <c r="I67" s="1593">
        <f t="shared" si="2"/>
        <v>41722</v>
      </c>
      <c r="J67" s="1593">
        <f t="shared" si="2"/>
        <v>29613</v>
      </c>
      <c r="K67" s="1593">
        <f t="shared" si="2"/>
        <v>2421</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2437</v>
      </c>
      <c r="D69" s="1574"/>
      <c r="E69" s="1574"/>
      <c r="F69" s="1574"/>
      <c r="G69" s="1574"/>
      <c r="H69" s="1574"/>
      <c r="I69" s="1574"/>
      <c r="J69" s="1574"/>
      <c r="K69" s="1574"/>
    </row>
    <row r="70" spans="1:11" ht="12.75" customHeight="1" x14ac:dyDescent="0.2">
      <c r="A70" s="427" t="s">
        <v>990</v>
      </c>
      <c r="B70" s="429">
        <v>1612</v>
      </c>
      <c r="C70" s="1631">
        <v>2</v>
      </c>
      <c r="D70" s="1574"/>
      <c r="E70" s="1574"/>
      <c r="F70" s="1574"/>
      <c r="G70" s="1574"/>
      <c r="H70" s="1574"/>
      <c r="I70" s="1574"/>
      <c r="J70" s="1574"/>
      <c r="K70" s="1574"/>
    </row>
    <row r="71" spans="1:11" ht="12.75" customHeight="1" x14ac:dyDescent="0.2">
      <c r="A71" s="427" t="s">
        <v>271</v>
      </c>
      <c r="B71" s="429">
        <v>1613</v>
      </c>
      <c r="C71" s="1631">
        <v>20162</v>
      </c>
      <c r="D71" s="1574"/>
      <c r="E71" s="1574"/>
      <c r="F71" s="1574"/>
      <c r="G71" s="1574"/>
      <c r="H71" s="1574"/>
      <c r="I71" s="1574"/>
      <c r="J71" s="1574"/>
      <c r="K71" s="1574"/>
    </row>
    <row r="72" spans="1:11" ht="12.75" customHeight="1" x14ac:dyDescent="0.2">
      <c r="A72" s="427" t="s">
        <v>24</v>
      </c>
      <c r="B72" s="429">
        <v>1614</v>
      </c>
      <c r="C72" s="1631">
        <v>8789</v>
      </c>
      <c r="D72" s="1574"/>
      <c r="E72" s="1574"/>
      <c r="F72" s="1574"/>
      <c r="G72" s="1574"/>
      <c r="H72" s="1574"/>
      <c r="I72" s="1574"/>
      <c r="J72" s="1574"/>
      <c r="K72" s="1574"/>
    </row>
    <row r="73" spans="1:11" ht="12.75" customHeight="1" x14ac:dyDescent="0.2">
      <c r="A73" s="427" t="s">
        <v>991</v>
      </c>
      <c r="B73" s="429">
        <v>1620</v>
      </c>
      <c r="C73" s="1631">
        <v>13763</v>
      </c>
      <c r="D73" s="1574"/>
      <c r="E73" s="1574"/>
      <c r="F73" s="1574"/>
      <c r="G73" s="1574"/>
      <c r="H73" s="1574"/>
      <c r="I73" s="1574"/>
      <c r="J73" s="1574"/>
      <c r="K73" s="1574"/>
    </row>
    <row r="74" spans="1:11" ht="12.75" customHeight="1" x14ac:dyDescent="0.2">
      <c r="A74" s="427" t="s">
        <v>25</v>
      </c>
      <c r="B74" s="429">
        <v>1690</v>
      </c>
      <c r="C74" s="1631">
        <v>62370</v>
      </c>
      <c r="D74" s="1574"/>
      <c r="E74" s="1574"/>
      <c r="F74" s="1574"/>
      <c r="G74" s="1574"/>
      <c r="H74" s="1574"/>
      <c r="I74" s="1574"/>
      <c r="J74" s="1574"/>
      <c r="K74" s="1574"/>
    </row>
    <row r="75" spans="1:11" ht="12.75" customHeight="1" thickBot="1" x14ac:dyDescent="0.25">
      <c r="A75" s="1405" t="s">
        <v>544</v>
      </c>
      <c r="B75" s="1406"/>
      <c r="C75" s="1593">
        <f>SUM(C69:C74)</f>
        <v>107523</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21391</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v>-808</v>
      </c>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20583</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524</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v>645</v>
      </c>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1169</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c r="D95" s="1631">
        <v>11255</v>
      </c>
      <c r="E95" s="1616"/>
      <c r="F95" s="1616"/>
      <c r="G95" s="1616"/>
      <c r="H95" s="1616"/>
      <c r="I95" s="1616"/>
      <c r="J95" s="1616"/>
      <c r="K95" s="1616"/>
    </row>
    <row r="96" spans="1:11" ht="12.75" customHeight="1" x14ac:dyDescent="0.2">
      <c r="A96" s="427" t="s">
        <v>388</v>
      </c>
      <c r="B96" s="429">
        <v>1920</v>
      </c>
      <c r="C96" s="1631">
        <v>5000</v>
      </c>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v>-504</v>
      </c>
      <c r="D99" s="1572">
        <v>11</v>
      </c>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v>21314</v>
      </c>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v>10941</v>
      </c>
      <c r="I102" s="1573"/>
      <c r="J102" s="1597"/>
      <c r="K102" s="1573"/>
    </row>
    <row r="103" spans="1:12" ht="12.75" customHeight="1" x14ac:dyDescent="0.2">
      <c r="A103" s="427" t="s">
        <v>342</v>
      </c>
      <c r="B103" s="429">
        <v>1983</v>
      </c>
      <c r="C103" s="1574"/>
      <c r="D103" s="1574"/>
      <c r="E103" s="1638"/>
      <c r="F103" s="1574"/>
      <c r="G103" s="1574"/>
      <c r="H103" s="1597"/>
      <c r="I103" s="1574"/>
      <c r="J103" s="1609"/>
      <c r="K103" s="1609"/>
    </row>
    <row r="104" spans="1:12" ht="12.75" customHeight="1" x14ac:dyDescent="0.2">
      <c r="A104" s="427" t="s">
        <v>825</v>
      </c>
      <c r="B104" s="429">
        <v>1991</v>
      </c>
      <c r="C104" s="1597"/>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1413</v>
      </c>
      <c r="B106" s="429">
        <v>1993</v>
      </c>
      <c r="C106" s="1572">
        <v>241</v>
      </c>
      <c r="D106" s="1597"/>
      <c r="E106" s="1573"/>
      <c r="F106" s="1573"/>
      <c r="G106" s="1573"/>
      <c r="H106" s="1573"/>
      <c r="I106" s="1616"/>
      <c r="J106" s="1573"/>
      <c r="K106" s="1573"/>
    </row>
    <row r="107" spans="1:12" ht="12.75" customHeight="1" x14ac:dyDescent="0.2">
      <c r="A107" s="427" t="s">
        <v>78</v>
      </c>
      <c r="B107" s="429">
        <v>1999</v>
      </c>
      <c r="C107" s="1631">
        <v>69988</v>
      </c>
      <c r="D107" s="1572">
        <v>1284814</v>
      </c>
      <c r="E107" s="1572"/>
      <c r="F107" s="1572"/>
      <c r="G107" s="1572"/>
      <c r="H107" s="1572">
        <v>9125</v>
      </c>
      <c r="I107" s="1572"/>
      <c r="J107" s="1573">
        <v>44</v>
      </c>
      <c r="K107" s="1572"/>
    </row>
    <row r="108" spans="1:12" ht="12.75" customHeight="1" thickBot="1" x14ac:dyDescent="0.25">
      <c r="A108" s="1405" t="s">
        <v>484</v>
      </c>
      <c r="B108" s="1407"/>
      <c r="C108" s="1632">
        <f>SUM(C95:C107)</f>
        <v>96039</v>
      </c>
      <c r="D108" s="1632">
        <f t="shared" ref="D108:K108" si="3">SUM(D95:D107)</f>
        <v>1296080</v>
      </c>
      <c r="E108" s="1632">
        <f t="shared" si="3"/>
        <v>0</v>
      </c>
      <c r="F108" s="1632">
        <f t="shared" si="3"/>
        <v>0</v>
      </c>
      <c r="G108" s="1632">
        <f t="shared" si="3"/>
        <v>0</v>
      </c>
      <c r="H108" s="1632">
        <f t="shared" si="3"/>
        <v>20066</v>
      </c>
      <c r="I108" s="1632">
        <f t="shared" si="3"/>
        <v>0</v>
      </c>
      <c r="J108" s="1632">
        <f t="shared" si="3"/>
        <v>44</v>
      </c>
      <c r="K108" s="1593">
        <f t="shared" si="3"/>
        <v>0</v>
      </c>
    </row>
    <row r="109" spans="1:12" ht="14.25" thickTop="1" thickBot="1" x14ac:dyDescent="0.25">
      <c r="A109" s="1408" t="s">
        <v>246</v>
      </c>
      <c r="B109" s="1409" t="s">
        <v>566</v>
      </c>
      <c r="C109" s="1640">
        <f t="shared" ref="C109:K109" si="4">SUM(C12,C18,C40,C63,C67,C75,C82,C93,C108,)</f>
        <v>11432407</v>
      </c>
      <c r="D109" s="1640">
        <f t="shared" si="4"/>
        <v>5252133</v>
      </c>
      <c r="E109" s="1640">
        <f t="shared" si="4"/>
        <v>2244040</v>
      </c>
      <c r="F109" s="1640">
        <f t="shared" si="4"/>
        <v>711901</v>
      </c>
      <c r="G109" s="1640">
        <f t="shared" si="4"/>
        <v>2604520</v>
      </c>
      <c r="H109" s="1640">
        <f t="shared" si="4"/>
        <v>20069</v>
      </c>
      <c r="I109" s="1640">
        <f t="shared" si="4"/>
        <v>210290</v>
      </c>
      <c r="J109" s="1640">
        <f t="shared" si="4"/>
        <v>1635933</v>
      </c>
      <c r="K109" s="1628">
        <f t="shared" si="4"/>
        <v>170990</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v>40000</v>
      </c>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40000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36092778</v>
      </c>
      <c r="D117" s="1585"/>
      <c r="E117" s="1572"/>
      <c r="F117" s="1585">
        <v>1885230</v>
      </c>
      <c r="G117" s="1585"/>
      <c r="H117" s="1572"/>
      <c r="I117" s="1574"/>
      <c r="J117" s="1573"/>
      <c r="K117" s="1572"/>
    </row>
    <row r="118" spans="1:11" ht="12.75" customHeight="1" x14ac:dyDescent="0.2">
      <c r="A118" s="427" t="s">
        <v>1772</v>
      </c>
      <c r="B118" s="478">
        <v>3002</v>
      </c>
      <c r="C118" s="1631"/>
      <c r="D118" s="1572"/>
      <c r="E118" s="1572"/>
      <c r="F118" s="1572"/>
      <c r="G118" s="1572"/>
      <c r="H118" s="1572"/>
      <c r="I118" s="1574"/>
      <c r="J118" s="1573"/>
      <c r="K118" s="1572"/>
    </row>
    <row r="119" spans="1:11" ht="12.75" customHeight="1" x14ac:dyDescent="0.2">
      <c r="A119" s="427" t="s">
        <v>1773</v>
      </c>
      <c r="B119" s="478">
        <v>3005</v>
      </c>
      <c r="C119" s="1631"/>
      <c r="D119" s="1572"/>
      <c r="E119" s="1572"/>
      <c r="F119" s="1572"/>
      <c r="G119" s="1572"/>
      <c r="H119" s="1572"/>
      <c r="I119" s="1574"/>
      <c r="J119" s="1573"/>
      <c r="K119" s="1572"/>
    </row>
    <row r="120" spans="1:11" ht="12.75" customHeight="1" x14ac:dyDescent="0.2">
      <c r="A120" s="1538" t="s">
        <v>1887</v>
      </c>
      <c r="B120" s="478">
        <v>3030</v>
      </c>
      <c r="C120" s="1631"/>
      <c r="D120" s="1572"/>
      <c r="E120" s="1572"/>
      <c r="F120" s="1572"/>
      <c r="G120" s="1572"/>
      <c r="H120" s="1572"/>
      <c r="I120" s="1574"/>
      <c r="J120" s="1573"/>
      <c r="K120" s="1572"/>
    </row>
    <row r="121" spans="1:11" x14ac:dyDescent="0.2">
      <c r="A121" s="1265" t="s">
        <v>1774</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36092778</v>
      </c>
      <c r="D122" s="1632">
        <f t="shared" si="5"/>
        <v>0</v>
      </c>
      <c r="E122" s="1632">
        <f t="shared" si="5"/>
        <v>0</v>
      </c>
      <c r="F122" s="1632">
        <f t="shared" si="5"/>
        <v>1885230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368049</v>
      </c>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v>236248</v>
      </c>
      <c r="D128" s="1639"/>
      <c r="E128" s="1574"/>
      <c r="F128" s="1572"/>
      <c r="G128" s="1574"/>
      <c r="H128" s="1574"/>
      <c r="I128" s="1574"/>
      <c r="J128" s="1574"/>
      <c r="K128" s="1574"/>
    </row>
    <row r="129" spans="1:11" ht="12.75" customHeight="1" x14ac:dyDescent="0.2">
      <c r="A129" s="427" t="s">
        <v>1430</v>
      </c>
      <c r="B129" s="478">
        <v>3130</v>
      </c>
      <c r="C129" s="1572">
        <v>1628</v>
      </c>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605925</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58880</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v>22694</v>
      </c>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1899539</v>
      </c>
      <c r="G152" s="1573"/>
      <c r="H152" s="1574"/>
      <c r="I152" s="1574"/>
      <c r="J152" s="1574"/>
      <c r="K152" s="1574"/>
    </row>
    <row r="153" spans="1:11" ht="12.75" customHeight="1" x14ac:dyDescent="0.2">
      <c r="A153" s="427" t="s">
        <v>1048</v>
      </c>
      <c r="B153" s="478">
        <v>3510</v>
      </c>
      <c r="C153" s="1631"/>
      <c r="D153" s="1572"/>
      <c r="E153" s="1639"/>
      <c r="F153" s="1572">
        <v>443948</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2343487</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v>2404038</v>
      </c>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v>50000</v>
      </c>
      <c r="E167" s="1616"/>
      <c r="F167" s="1616"/>
      <c r="G167" s="1574"/>
      <c r="H167" s="1626"/>
      <c r="I167" s="1574"/>
      <c r="J167" s="1574"/>
      <c r="K167" s="1625"/>
    </row>
    <row r="168" spans="1:11" ht="14.25" thickTop="1" thickBot="1" x14ac:dyDescent="0.25">
      <c r="A168" s="1269" t="s">
        <v>70</v>
      </c>
      <c r="B168" s="484">
        <v>3999</v>
      </c>
      <c r="C168" s="1653">
        <f>472844+34243</f>
        <v>507087</v>
      </c>
      <c r="D168" s="1654"/>
      <c r="E168" s="1654"/>
      <c r="F168" s="1654">
        <v>92988</v>
      </c>
      <c r="G168" s="1655"/>
      <c r="H168" s="1656"/>
      <c r="I168" s="1655"/>
      <c r="J168" s="1655"/>
      <c r="K168" s="1656"/>
    </row>
    <row r="169" spans="1:11" ht="12.75" customHeight="1" thickTop="1" thickBot="1" x14ac:dyDescent="0.25">
      <c r="A169" s="2342" t="s">
        <v>395</v>
      </c>
      <c r="B169" s="2343"/>
      <c r="C169" s="1657">
        <f t="shared" ref="C169:K169" si="6">SUM(C132,C141,C145,C146:C150,C155,C156:C167,C168)</f>
        <v>3598624</v>
      </c>
      <c r="D169" s="1657">
        <f t="shared" si="6"/>
        <v>50000</v>
      </c>
      <c r="E169" s="1657">
        <f t="shared" si="6"/>
        <v>0</v>
      </c>
      <c r="F169" s="1657">
        <f t="shared" si="6"/>
        <v>2436475</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39691402</v>
      </c>
      <c r="D170" s="1640">
        <f t="shared" si="7"/>
        <v>50000</v>
      </c>
      <c r="E170" s="1640">
        <f t="shared" si="7"/>
        <v>0</v>
      </c>
      <c r="F170" s="1640">
        <f t="shared" si="7"/>
        <v>4321705</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344" t="s">
        <v>1475</v>
      </c>
      <c r="B172" s="2345"/>
      <c r="C172" s="1615"/>
      <c r="D172" s="1615"/>
      <c r="E172" s="1608"/>
      <c r="F172" s="1574"/>
      <c r="G172" s="1574"/>
      <c r="H172" s="1574"/>
      <c r="I172" s="1574"/>
      <c r="J172" s="1574"/>
      <c r="K172" s="1574"/>
    </row>
    <row r="173" spans="1:11" ht="12.6" customHeight="1" x14ac:dyDescent="0.2">
      <c r="A173" s="436" t="s">
        <v>1035</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348" t="s">
        <v>1646</v>
      </c>
      <c r="B175" s="2349"/>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352" t="s">
        <v>1645</v>
      </c>
      <c r="B176" s="2353"/>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v>132105</v>
      </c>
      <c r="D180" s="1572"/>
      <c r="E180" s="1574"/>
      <c r="F180" s="1572"/>
      <c r="G180" s="1572"/>
      <c r="H180" s="1572"/>
      <c r="I180" s="1574"/>
      <c r="J180" s="1574"/>
      <c r="K180" s="1572"/>
    </row>
    <row r="181" spans="1:11" ht="13.5" thickBot="1" x14ac:dyDescent="0.25">
      <c r="A181" s="2350" t="s">
        <v>780</v>
      </c>
      <c r="B181" s="2351"/>
      <c r="C181" s="1632">
        <f>SUM(C177:C180)</f>
        <v>132105</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346" t="s">
        <v>1776</v>
      </c>
      <c r="B182" s="2347"/>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v>1540162</v>
      </c>
      <c r="D191" s="1574"/>
      <c r="E191" s="1639"/>
      <c r="F191" s="1574"/>
      <c r="G191" s="1663"/>
      <c r="H191" s="1574"/>
      <c r="I191" s="1574"/>
      <c r="J191" s="1574"/>
      <c r="K191" s="1574"/>
    </row>
    <row r="192" spans="1:11" ht="12.75" customHeight="1" x14ac:dyDescent="0.2">
      <c r="A192" s="427" t="s">
        <v>1038</v>
      </c>
      <c r="B192" s="429">
        <v>4215</v>
      </c>
      <c r="C192" s="1631"/>
      <c r="D192" s="1574"/>
      <c r="E192" s="1639"/>
      <c r="F192" s="1574"/>
      <c r="G192" s="1663"/>
      <c r="H192" s="1574"/>
      <c r="I192" s="1574"/>
      <c r="J192" s="1574"/>
      <c r="K192" s="1574"/>
    </row>
    <row r="193" spans="1:11" ht="12.75" customHeight="1" x14ac:dyDescent="0.2">
      <c r="A193" s="427" t="s">
        <v>1050</v>
      </c>
      <c r="B193" s="429">
        <v>4220</v>
      </c>
      <c r="C193" s="1631">
        <v>624282</v>
      </c>
      <c r="D193" s="1574"/>
      <c r="E193" s="1639"/>
      <c r="F193" s="1574"/>
      <c r="G193" s="1663"/>
      <c r="H193" s="1574"/>
      <c r="I193" s="1574"/>
      <c r="J193" s="1574"/>
      <c r="K193" s="1574"/>
    </row>
    <row r="194" spans="1:11" ht="12.75" customHeight="1" x14ac:dyDescent="0.2">
      <c r="A194" s="427" t="s">
        <v>1434</v>
      </c>
      <c r="B194" s="429">
        <v>4225</v>
      </c>
      <c r="C194" s="1631">
        <v>464578</v>
      </c>
      <c r="D194" s="1574"/>
      <c r="E194" s="1639"/>
      <c r="F194" s="1574"/>
      <c r="G194" s="1663"/>
      <c r="H194" s="1574"/>
      <c r="I194" s="1574"/>
      <c r="J194" s="1574"/>
      <c r="K194" s="1574"/>
    </row>
    <row r="195" spans="1:11" ht="12.75" customHeight="1" x14ac:dyDescent="0.2">
      <c r="A195" s="427" t="s">
        <v>1435</v>
      </c>
      <c r="B195" s="429">
        <v>4226</v>
      </c>
      <c r="C195" s="1631">
        <v>1166</v>
      </c>
      <c r="D195" s="1574"/>
      <c r="E195" s="1639"/>
      <c r="F195" s="1574"/>
      <c r="G195" s="1663"/>
      <c r="H195" s="1574"/>
      <c r="I195" s="1574"/>
      <c r="J195" s="1574"/>
      <c r="K195" s="1574"/>
    </row>
    <row r="196" spans="1:11" ht="12.75" customHeight="1" x14ac:dyDescent="0.2">
      <c r="A196" s="427" t="s">
        <v>787</v>
      </c>
      <c r="B196" s="429">
        <v>4240</v>
      </c>
      <c r="C196" s="1597">
        <v>75375</v>
      </c>
      <c r="D196" s="1574"/>
      <c r="E196" s="1639"/>
      <c r="F196" s="1574"/>
      <c r="G196" s="1664"/>
      <c r="H196" s="1574"/>
      <c r="I196" s="1574"/>
      <c r="J196" s="1574"/>
      <c r="K196" s="1574"/>
    </row>
    <row r="197" spans="1:11" ht="12.75" customHeight="1" x14ac:dyDescent="0.2">
      <c r="A197" s="427" t="s">
        <v>71</v>
      </c>
      <c r="B197" s="429">
        <v>4299</v>
      </c>
      <c r="C197" s="1631">
        <v>190294</v>
      </c>
      <c r="D197" s="1574"/>
      <c r="E197" s="1639"/>
      <c r="F197" s="1574"/>
      <c r="G197" s="1663"/>
      <c r="H197" s="1574"/>
      <c r="I197" s="1574"/>
      <c r="J197" s="1574"/>
      <c r="K197" s="1574"/>
    </row>
    <row r="198" spans="1:11" ht="12.75" customHeight="1" thickBot="1" x14ac:dyDescent="0.25">
      <c r="A198" s="1405" t="s">
        <v>544</v>
      </c>
      <c r="B198" s="1406"/>
      <c r="C198" s="1593">
        <f>SUM(C190:C197)</f>
        <v>2895857</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3034751</v>
      </c>
      <c r="D200" s="1572"/>
      <c r="E200" s="1574"/>
      <c r="F200" s="1572">
        <v>544076</v>
      </c>
      <c r="G200" s="1572"/>
      <c r="H200" s="1574"/>
      <c r="I200" s="1574"/>
      <c r="J200" s="1574"/>
      <c r="K200" s="1574"/>
    </row>
    <row r="201" spans="1:11" ht="12.75" customHeight="1" x14ac:dyDescent="0.2">
      <c r="A201" s="427" t="s">
        <v>913</v>
      </c>
      <c r="B201" s="429">
        <v>4305</v>
      </c>
      <c r="C201" s="1631">
        <v>22714</v>
      </c>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v>281658</v>
      </c>
      <c r="D203" s="1572"/>
      <c r="E203" s="1574"/>
      <c r="F203" s="1572"/>
      <c r="G203" s="1572"/>
      <c r="H203" s="1574"/>
      <c r="I203" s="1574"/>
      <c r="J203" s="1574"/>
      <c r="K203" s="1574"/>
    </row>
    <row r="204" spans="1:11" ht="12.75" customHeight="1" thickBot="1" x14ac:dyDescent="0.25">
      <c r="A204" s="1405" t="s">
        <v>397</v>
      </c>
      <c r="B204" s="1406"/>
      <c r="C204" s="1632">
        <f>SUM(C200:C203)</f>
        <v>3339123</v>
      </c>
      <c r="D204" s="1632">
        <f>SUM(D200:D203)</f>
        <v>0</v>
      </c>
      <c r="E204" s="1574"/>
      <c r="F204" s="1632">
        <f>SUM(F200:F203)</f>
        <v>544076</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v>193991</v>
      </c>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193991</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v>35719</v>
      </c>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v>1548294</v>
      </c>
      <c r="D213" s="1572"/>
      <c r="E213" s="1574"/>
      <c r="F213" s="1572"/>
      <c r="G213" s="1572"/>
      <c r="H213" s="1574"/>
      <c r="I213" s="1574"/>
      <c r="J213" s="1574"/>
      <c r="K213" s="1574"/>
    </row>
    <row r="214" spans="1:11" ht="12.75" customHeight="1" x14ac:dyDescent="0.2">
      <c r="A214" s="427" t="s">
        <v>1045</v>
      </c>
      <c r="B214" s="429">
        <v>4625</v>
      </c>
      <c r="C214" s="1631"/>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1584013</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v>522928</v>
      </c>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522928</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v>1650</v>
      </c>
      <c r="D255" s="1574"/>
      <c r="E255" s="1574"/>
      <c r="F255" s="1652"/>
      <c r="G255" s="1648"/>
      <c r="H255" s="1574"/>
      <c r="I255" s="1574"/>
      <c r="J255" s="1574"/>
      <c r="K255" s="1574"/>
    </row>
    <row r="256" spans="1:11" ht="12.75" customHeight="1" thickTop="1" thickBot="1" x14ac:dyDescent="0.25">
      <c r="A256" s="427" t="s">
        <v>1440</v>
      </c>
      <c r="B256" s="429">
        <v>4909</v>
      </c>
      <c r="C256" s="1650">
        <v>17986</v>
      </c>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533771</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1888</v>
      </c>
      <c r="B261" s="429">
        <v>4981</v>
      </c>
      <c r="C261" s="1649"/>
      <c r="D261" s="1650"/>
      <c r="E261" s="1574"/>
      <c r="F261" s="1650"/>
      <c r="G261" s="1650"/>
      <c r="H261" s="1574"/>
      <c r="I261" s="1574"/>
      <c r="J261" s="1574"/>
      <c r="K261" s="1574"/>
    </row>
    <row r="262" spans="1:11" ht="12.75" customHeight="1" thickTop="1" thickBot="1" x14ac:dyDescent="0.25">
      <c r="A262" s="1539" t="s">
        <v>1889</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251584</v>
      </c>
      <c r="D263" s="1650"/>
      <c r="E263" s="1574"/>
      <c r="F263" s="1650"/>
      <c r="G263" s="1650"/>
      <c r="H263" s="1574"/>
      <c r="I263" s="1574"/>
      <c r="J263" s="1574"/>
      <c r="K263" s="1574"/>
    </row>
    <row r="264" spans="1:11" ht="12.75" customHeight="1" thickTop="1" thickBot="1" x14ac:dyDescent="0.25">
      <c r="A264" s="427" t="s">
        <v>374</v>
      </c>
      <c r="B264" s="429">
        <v>4992</v>
      </c>
      <c r="C264" s="1649">
        <v>154187</v>
      </c>
      <c r="D264" s="1650"/>
      <c r="E264" s="1574"/>
      <c r="F264" s="1650"/>
      <c r="G264" s="1650"/>
      <c r="H264" s="1574"/>
      <c r="I264" s="1574"/>
      <c r="J264" s="1574"/>
      <c r="K264" s="1574"/>
    </row>
    <row r="265" spans="1:11" s="489" customFormat="1" ht="12.75" customHeight="1" thickTop="1" thickBot="1" x14ac:dyDescent="0.25">
      <c r="A265" s="479" t="s">
        <v>75</v>
      </c>
      <c r="B265" s="475">
        <v>4998</v>
      </c>
      <c r="C265" s="1649">
        <f>104428</f>
        <v>104428</v>
      </c>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9076590</v>
      </c>
      <c r="D266" s="1640">
        <f t="shared" si="10"/>
        <v>0</v>
      </c>
      <c r="E266" s="1640">
        <f t="shared" si="10"/>
        <v>522928</v>
      </c>
      <c r="F266" s="1640">
        <f t="shared" si="10"/>
        <v>544076</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9208695</v>
      </c>
      <c r="D267" s="1640">
        <f>SUM(D175,D181,D266)</f>
        <v>0</v>
      </c>
      <c r="E267" s="1640">
        <f>SUM(E175,E266)</f>
        <v>522928</v>
      </c>
      <c r="F267" s="1640">
        <f t="shared" ref="F267:K267" si="11">SUM(F175,F181,F266)</f>
        <v>544076</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60372504</v>
      </c>
      <c r="D268" s="1640">
        <f t="shared" si="12"/>
        <v>5302133</v>
      </c>
      <c r="E268" s="1640">
        <f t="shared" si="12"/>
        <v>2766968</v>
      </c>
      <c r="F268" s="1640">
        <f t="shared" si="12"/>
        <v>5577682</v>
      </c>
      <c r="G268" s="1640">
        <f t="shared" si="12"/>
        <v>2604520</v>
      </c>
      <c r="H268" s="1640">
        <f t="shared" si="12"/>
        <v>20069</v>
      </c>
      <c r="I268" s="1640">
        <f t="shared" si="12"/>
        <v>210290</v>
      </c>
      <c r="J268" s="1640">
        <f t="shared" si="12"/>
        <v>1635933</v>
      </c>
      <c r="K268" s="1628">
        <f t="shared" si="12"/>
        <v>170990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0" firstPageNumber="9" fitToHeight="6"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59999389629810485"/>
  </sheetPr>
  <dimension ref="A1:N368"/>
  <sheetViews>
    <sheetView showGridLines="0" defaultGridColor="0" colorId="8" zoomScale="110" zoomScaleNormal="110" workbookViewId="0">
      <pane ySplit="2" topLeftCell="A348" activePane="bottomLeft" state="frozen"/>
      <selection pane="bottomLeft" activeCell="K368" sqref="K36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22" t="s">
        <v>1775</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5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62" t="s">
        <v>294</v>
      </c>
      <c r="B3" s="2363"/>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19826934</v>
      </c>
      <c r="D5" s="1572">
        <v>4628880</v>
      </c>
      <c r="E5" s="1572">
        <v>458881</v>
      </c>
      <c r="F5" s="1572">
        <v>717391</v>
      </c>
      <c r="G5" s="1572">
        <v>526649</v>
      </c>
      <c r="H5" s="1572"/>
      <c r="I5" s="1573">
        <v>118048</v>
      </c>
      <c r="J5" s="1573"/>
      <c r="K5" s="1671">
        <f>SUM(C5:J5)</f>
        <v>26276783</v>
      </c>
      <c r="L5" s="1572">
        <v>29250111</v>
      </c>
    </row>
    <row r="6" spans="1:14" x14ac:dyDescent="0.2">
      <c r="A6" s="1273" t="s">
        <v>1416</v>
      </c>
      <c r="B6" s="503" t="s">
        <v>1414</v>
      </c>
      <c r="C6" s="1581"/>
      <c r="D6" s="1581"/>
      <c r="E6" s="1572"/>
      <c r="F6" s="1581"/>
      <c r="G6" s="1581"/>
      <c r="H6" s="1581"/>
      <c r="I6" s="1581"/>
      <c r="J6" s="1581"/>
      <c r="K6" s="1671">
        <f>SUM(C6,E6)</f>
        <v>0</v>
      </c>
      <c r="L6" s="1572">
        <v>0</v>
      </c>
    </row>
    <row r="7" spans="1:14" x14ac:dyDescent="0.2">
      <c r="A7" s="1273" t="s">
        <v>162</v>
      </c>
      <c r="B7" s="503" t="s">
        <v>961</v>
      </c>
      <c r="C7" s="1573">
        <v>786640</v>
      </c>
      <c r="D7" s="1573">
        <v>206292</v>
      </c>
      <c r="E7" s="1573">
        <v>5748</v>
      </c>
      <c r="F7" s="1573">
        <v>63258</v>
      </c>
      <c r="G7" s="1573"/>
      <c r="H7" s="1573"/>
      <c r="I7" s="1573">
        <v>8972</v>
      </c>
      <c r="J7" s="1573"/>
      <c r="K7" s="1671">
        <f t="shared" ref="K7:K32" si="0">SUM(C7:J7)</f>
        <v>1070910</v>
      </c>
      <c r="L7" s="1572">
        <v>1095054</v>
      </c>
    </row>
    <row r="8" spans="1:14" x14ac:dyDescent="0.2">
      <c r="A8" s="1273" t="s">
        <v>163</v>
      </c>
      <c r="B8" s="503">
        <v>1200</v>
      </c>
      <c r="C8" s="1572">
        <v>5160623</v>
      </c>
      <c r="D8" s="1572">
        <v>1275434</v>
      </c>
      <c r="E8" s="1572">
        <v>22810</v>
      </c>
      <c r="F8" s="1572">
        <v>65629</v>
      </c>
      <c r="G8" s="1572"/>
      <c r="H8" s="1572"/>
      <c r="I8" s="1573">
        <v>25066</v>
      </c>
      <c r="J8" s="1573"/>
      <c r="K8" s="1671">
        <f t="shared" si="0"/>
        <v>6549562</v>
      </c>
      <c r="L8" s="1572">
        <v>6658690</v>
      </c>
    </row>
    <row r="9" spans="1:14" x14ac:dyDescent="0.2">
      <c r="A9" s="1273" t="s">
        <v>716</v>
      </c>
      <c r="B9" s="503" t="s">
        <v>962</v>
      </c>
      <c r="C9" s="1573"/>
      <c r="D9" s="1573"/>
      <c r="E9" s="1573"/>
      <c r="F9" s="1573"/>
      <c r="G9" s="1573"/>
      <c r="H9" s="1573"/>
      <c r="I9" s="1573"/>
      <c r="J9" s="1573"/>
      <c r="K9" s="1671">
        <f t="shared" si="0"/>
        <v>0</v>
      </c>
      <c r="L9" s="1572">
        <v>280271</v>
      </c>
    </row>
    <row r="10" spans="1:14" x14ac:dyDescent="0.2">
      <c r="A10" s="1273" t="s">
        <v>717</v>
      </c>
      <c r="B10" s="503">
        <v>1250</v>
      </c>
      <c r="C10" s="1572">
        <v>850894</v>
      </c>
      <c r="D10" s="1572">
        <v>150873</v>
      </c>
      <c r="E10" s="1572">
        <v>454135</v>
      </c>
      <c r="F10" s="1572">
        <v>492751</v>
      </c>
      <c r="G10" s="1572"/>
      <c r="H10" s="1572"/>
      <c r="I10" s="1573">
        <v>544084</v>
      </c>
      <c r="J10" s="1573"/>
      <c r="K10" s="1671">
        <f t="shared" si="0"/>
        <v>2492737</v>
      </c>
      <c r="L10" s="1572">
        <v>2177094</v>
      </c>
    </row>
    <row r="11" spans="1:14" x14ac:dyDescent="0.2">
      <c r="A11" s="1273" t="s">
        <v>1120</v>
      </c>
      <c r="B11" s="503" t="s">
        <v>160</v>
      </c>
      <c r="C11" s="1573"/>
      <c r="D11" s="1573"/>
      <c r="E11" s="1573"/>
      <c r="F11" s="1573"/>
      <c r="G11" s="1573"/>
      <c r="H11" s="1573"/>
      <c r="I11" s="1573"/>
      <c r="J11" s="1573"/>
      <c r="K11" s="1671">
        <f t="shared" si="0"/>
        <v>0</v>
      </c>
      <c r="L11" s="1572">
        <v>1000</v>
      </c>
    </row>
    <row r="12" spans="1:14" x14ac:dyDescent="0.2">
      <c r="A12" s="1273" t="s">
        <v>956</v>
      </c>
      <c r="B12" s="503">
        <v>1300</v>
      </c>
      <c r="C12" s="1572"/>
      <c r="D12" s="1572"/>
      <c r="E12" s="1572"/>
      <c r="F12" s="1572"/>
      <c r="G12" s="1572"/>
      <c r="H12" s="1572"/>
      <c r="I12" s="1573"/>
      <c r="J12" s="1573"/>
      <c r="K12" s="1671">
        <f t="shared" si="0"/>
        <v>0</v>
      </c>
      <c r="L12" s="1572">
        <v>0</v>
      </c>
    </row>
    <row r="13" spans="1:14" x14ac:dyDescent="0.2">
      <c r="A13" s="1273" t="s">
        <v>718</v>
      </c>
      <c r="B13" s="503">
        <v>1400</v>
      </c>
      <c r="C13" s="1572"/>
      <c r="D13" s="1572"/>
      <c r="E13" s="1572"/>
      <c r="F13" s="1572"/>
      <c r="G13" s="1572"/>
      <c r="H13" s="1572"/>
      <c r="I13" s="1573"/>
      <c r="J13" s="1573"/>
      <c r="K13" s="1671">
        <f t="shared" si="0"/>
        <v>0</v>
      </c>
      <c r="L13" s="1572">
        <v>0</v>
      </c>
    </row>
    <row r="14" spans="1:14" x14ac:dyDescent="0.2">
      <c r="A14" s="1273" t="s">
        <v>957</v>
      </c>
      <c r="B14" s="503">
        <v>1500</v>
      </c>
      <c r="C14" s="1572">
        <v>532868</v>
      </c>
      <c r="D14" s="1572">
        <v>49102</v>
      </c>
      <c r="E14" s="1572">
        <v>40045</v>
      </c>
      <c r="F14" s="1572">
        <v>42025</v>
      </c>
      <c r="G14" s="1572">
        <v>9680</v>
      </c>
      <c r="H14" s="1572">
        <v>16639</v>
      </c>
      <c r="I14" s="1573">
        <v>4628</v>
      </c>
      <c r="J14" s="1573"/>
      <c r="K14" s="1671">
        <f t="shared" si="0"/>
        <v>694987</v>
      </c>
      <c r="L14" s="1572">
        <v>726048</v>
      </c>
    </row>
    <row r="15" spans="1:14" x14ac:dyDescent="0.2">
      <c r="A15" s="1273" t="s">
        <v>958</v>
      </c>
      <c r="B15" s="503">
        <v>1600</v>
      </c>
      <c r="C15" s="1572">
        <v>40168</v>
      </c>
      <c r="D15" s="1572">
        <v>2102</v>
      </c>
      <c r="E15" s="1572"/>
      <c r="F15" s="1572"/>
      <c r="G15" s="1572"/>
      <c r="H15" s="1572"/>
      <c r="I15" s="1573"/>
      <c r="J15" s="1573"/>
      <c r="K15" s="1671">
        <f t="shared" si="0"/>
        <v>42270</v>
      </c>
      <c r="L15" s="1572">
        <v>77164</v>
      </c>
    </row>
    <row r="16" spans="1:14" x14ac:dyDescent="0.2">
      <c r="A16" s="1273" t="s">
        <v>980</v>
      </c>
      <c r="B16" s="503" t="s">
        <v>421</v>
      </c>
      <c r="C16" s="1572"/>
      <c r="D16" s="1572"/>
      <c r="E16" s="1572"/>
      <c r="F16" s="1572"/>
      <c r="G16" s="1572"/>
      <c r="H16" s="1572"/>
      <c r="I16" s="1573"/>
      <c r="J16" s="1573"/>
      <c r="K16" s="1671">
        <f t="shared" si="0"/>
        <v>0</v>
      </c>
      <c r="L16" s="1572">
        <v>0</v>
      </c>
    </row>
    <row r="17" spans="1:12" x14ac:dyDescent="0.2">
      <c r="A17" s="1273" t="s">
        <v>719</v>
      </c>
      <c r="B17" s="503" t="s">
        <v>161</v>
      </c>
      <c r="C17" s="1573">
        <v>39272</v>
      </c>
      <c r="D17" s="1573">
        <v>3580</v>
      </c>
      <c r="E17" s="1573">
        <v>9392</v>
      </c>
      <c r="F17" s="1573">
        <v>365</v>
      </c>
      <c r="G17" s="1573"/>
      <c r="H17" s="1573"/>
      <c r="I17" s="1573"/>
      <c r="J17" s="1573"/>
      <c r="K17" s="1671">
        <f t="shared" si="0"/>
        <v>52609</v>
      </c>
      <c r="L17" s="1572">
        <v>64500</v>
      </c>
    </row>
    <row r="18" spans="1:12" x14ac:dyDescent="0.2">
      <c r="A18" s="1273" t="s">
        <v>1078</v>
      </c>
      <c r="B18" s="503">
        <v>1800</v>
      </c>
      <c r="C18" s="1572">
        <v>45985</v>
      </c>
      <c r="D18" s="1572">
        <v>14394</v>
      </c>
      <c r="E18" s="1572">
        <v>5513</v>
      </c>
      <c r="F18" s="1572">
        <v>4933</v>
      </c>
      <c r="G18" s="1572"/>
      <c r="H18" s="1572"/>
      <c r="I18" s="1573"/>
      <c r="J18" s="1573"/>
      <c r="K18" s="1671">
        <f t="shared" si="0"/>
        <v>70825</v>
      </c>
      <c r="L18" s="1572">
        <v>44330</v>
      </c>
    </row>
    <row r="19" spans="1:12" x14ac:dyDescent="0.2">
      <c r="A19" s="1273" t="s">
        <v>133</v>
      </c>
      <c r="B19" s="503">
        <v>1900</v>
      </c>
      <c r="C19" s="1572">
        <v>54238</v>
      </c>
      <c r="D19" s="1572">
        <v>15745</v>
      </c>
      <c r="E19" s="1572"/>
      <c r="F19" s="1572">
        <v>4825</v>
      </c>
      <c r="G19" s="1572"/>
      <c r="H19" s="1572">
        <v>883322</v>
      </c>
      <c r="I19" s="1573"/>
      <c r="J19" s="1573"/>
      <c r="K19" s="1671">
        <f t="shared" si="0"/>
        <v>958130</v>
      </c>
      <c r="L19" s="1572">
        <f>208761+700000</f>
        <v>908761</v>
      </c>
    </row>
    <row r="20" spans="1:12" x14ac:dyDescent="0.2">
      <c r="A20" s="1274" t="s">
        <v>733</v>
      </c>
      <c r="B20" s="494" t="s">
        <v>720</v>
      </c>
      <c r="C20" s="1581"/>
      <c r="D20" s="1581"/>
      <c r="E20" s="1581"/>
      <c r="F20" s="1581"/>
      <c r="G20" s="1581"/>
      <c r="H20" s="1578"/>
      <c r="I20" s="1672"/>
      <c r="J20" s="1579"/>
      <c r="K20" s="1671">
        <f t="shared" si="0"/>
        <v>0</v>
      </c>
      <c r="L20" s="1576">
        <v>0</v>
      </c>
    </row>
    <row r="21" spans="1:12" x14ac:dyDescent="0.2">
      <c r="A21" s="1274" t="s">
        <v>734</v>
      </c>
      <c r="B21" s="494" t="s">
        <v>721</v>
      </c>
      <c r="C21" s="1581"/>
      <c r="D21" s="1581"/>
      <c r="E21" s="1581"/>
      <c r="F21" s="1581"/>
      <c r="G21" s="1581"/>
      <c r="H21" s="1578"/>
      <c r="I21" s="1672"/>
      <c r="J21" s="1581"/>
      <c r="K21" s="1671">
        <f t="shared" si="0"/>
        <v>0</v>
      </c>
      <c r="L21" s="1576">
        <v>0</v>
      </c>
    </row>
    <row r="22" spans="1:12" x14ac:dyDescent="0.2">
      <c r="A22" s="1274" t="s">
        <v>735</v>
      </c>
      <c r="B22" s="494" t="s">
        <v>722</v>
      </c>
      <c r="C22" s="1581"/>
      <c r="D22" s="1581"/>
      <c r="E22" s="1581"/>
      <c r="F22" s="1581"/>
      <c r="G22" s="1581"/>
      <c r="H22" s="1578"/>
      <c r="I22" s="1672"/>
      <c r="J22" s="1581"/>
      <c r="K22" s="1671">
        <f t="shared" si="0"/>
        <v>0</v>
      </c>
      <c r="L22" s="1576">
        <v>0</v>
      </c>
    </row>
    <row r="23" spans="1:12" x14ac:dyDescent="0.2">
      <c r="A23" s="1274" t="s">
        <v>736</v>
      </c>
      <c r="B23" s="494" t="s">
        <v>723</v>
      </c>
      <c r="C23" s="1581"/>
      <c r="D23" s="1581"/>
      <c r="E23" s="1581"/>
      <c r="F23" s="1581"/>
      <c r="G23" s="1581"/>
      <c r="H23" s="1578"/>
      <c r="I23" s="1672"/>
      <c r="J23" s="1581"/>
      <c r="K23" s="1671">
        <f t="shared" si="0"/>
        <v>0</v>
      </c>
      <c r="L23" s="1576">
        <v>0</v>
      </c>
    </row>
    <row r="24" spans="1:12" ht="12.75" customHeight="1" x14ac:dyDescent="0.2">
      <c r="A24" s="1274" t="s">
        <v>737</v>
      </c>
      <c r="B24" s="494" t="s">
        <v>724</v>
      </c>
      <c r="C24" s="1581"/>
      <c r="D24" s="1581"/>
      <c r="E24" s="1581"/>
      <c r="F24" s="1581"/>
      <c r="G24" s="1581"/>
      <c r="H24" s="1578"/>
      <c r="I24" s="1672"/>
      <c r="J24" s="1581"/>
      <c r="K24" s="1671">
        <f t="shared" si="0"/>
        <v>0</v>
      </c>
      <c r="L24" s="1576">
        <v>0</v>
      </c>
    </row>
    <row r="25" spans="1:12" ht="12.75" customHeight="1" x14ac:dyDescent="0.2">
      <c r="A25" s="1274" t="s">
        <v>797</v>
      </c>
      <c r="B25" s="494" t="s">
        <v>725</v>
      </c>
      <c r="C25" s="1581"/>
      <c r="D25" s="1581"/>
      <c r="E25" s="1581"/>
      <c r="F25" s="1581"/>
      <c r="G25" s="1581"/>
      <c r="H25" s="1578"/>
      <c r="I25" s="1672"/>
      <c r="J25" s="1581"/>
      <c r="K25" s="1671">
        <f t="shared" si="0"/>
        <v>0</v>
      </c>
      <c r="L25" s="1576">
        <v>0</v>
      </c>
    </row>
    <row r="26" spans="1:12" x14ac:dyDescent="0.2">
      <c r="A26" s="1274" t="s">
        <v>618</v>
      </c>
      <c r="B26" s="494" t="s">
        <v>726</v>
      </c>
      <c r="C26" s="1581"/>
      <c r="D26" s="1581"/>
      <c r="E26" s="1581"/>
      <c r="F26" s="1581"/>
      <c r="G26" s="1581"/>
      <c r="H26" s="1578"/>
      <c r="I26" s="1672"/>
      <c r="J26" s="1581"/>
      <c r="K26" s="1671">
        <f t="shared" si="0"/>
        <v>0</v>
      </c>
      <c r="L26" s="1576">
        <v>0</v>
      </c>
    </row>
    <row r="27" spans="1:12" x14ac:dyDescent="0.2">
      <c r="A27" s="1274" t="s">
        <v>619</v>
      </c>
      <c r="B27" s="494" t="s">
        <v>727</v>
      </c>
      <c r="C27" s="1581"/>
      <c r="D27" s="1581"/>
      <c r="E27" s="1581"/>
      <c r="F27" s="1581"/>
      <c r="G27" s="1581"/>
      <c r="H27" s="1578"/>
      <c r="I27" s="1672"/>
      <c r="J27" s="1581"/>
      <c r="K27" s="1671">
        <f t="shared" si="0"/>
        <v>0</v>
      </c>
      <c r="L27" s="1576">
        <v>0</v>
      </c>
    </row>
    <row r="28" spans="1:12" x14ac:dyDescent="0.2">
      <c r="A28" s="1274" t="s">
        <v>149</v>
      </c>
      <c r="B28" s="494" t="s">
        <v>728</v>
      </c>
      <c r="C28" s="1581"/>
      <c r="D28" s="1581"/>
      <c r="E28" s="1581"/>
      <c r="F28" s="1581"/>
      <c r="G28" s="1581"/>
      <c r="H28" s="1578"/>
      <c r="I28" s="1672"/>
      <c r="J28" s="1581"/>
      <c r="K28" s="1671">
        <f t="shared" si="0"/>
        <v>0</v>
      </c>
      <c r="L28" s="1576">
        <v>0</v>
      </c>
    </row>
    <row r="29" spans="1:12" x14ac:dyDescent="0.2">
      <c r="A29" s="1274" t="s">
        <v>150</v>
      </c>
      <c r="B29" s="494" t="s">
        <v>729</v>
      </c>
      <c r="C29" s="1581"/>
      <c r="D29" s="1581"/>
      <c r="E29" s="1581"/>
      <c r="F29" s="1581"/>
      <c r="G29" s="1581"/>
      <c r="H29" s="1578"/>
      <c r="I29" s="1672"/>
      <c r="J29" s="1581"/>
      <c r="K29" s="1671">
        <f t="shared" si="0"/>
        <v>0</v>
      </c>
      <c r="L29" s="1576">
        <v>0</v>
      </c>
    </row>
    <row r="30" spans="1:12" x14ac:dyDescent="0.2">
      <c r="A30" s="1274" t="s">
        <v>151</v>
      </c>
      <c r="B30" s="494" t="s">
        <v>730</v>
      </c>
      <c r="C30" s="1581"/>
      <c r="D30" s="1581"/>
      <c r="E30" s="1581"/>
      <c r="F30" s="1581"/>
      <c r="G30" s="1581"/>
      <c r="H30" s="1578"/>
      <c r="I30" s="1672"/>
      <c r="J30" s="1581"/>
      <c r="K30" s="1671">
        <f t="shared" si="0"/>
        <v>0</v>
      </c>
      <c r="L30" s="1576">
        <v>0</v>
      </c>
    </row>
    <row r="31" spans="1:12" x14ac:dyDescent="0.2">
      <c r="A31" s="1274" t="s">
        <v>152</v>
      </c>
      <c r="B31" s="494" t="s">
        <v>731</v>
      </c>
      <c r="C31" s="1581"/>
      <c r="D31" s="1581"/>
      <c r="E31" s="1581"/>
      <c r="F31" s="1581"/>
      <c r="G31" s="1581"/>
      <c r="H31" s="1578"/>
      <c r="I31" s="1672"/>
      <c r="J31" s="1581"/>
      <c r="K31" s="1671">
        <f t="shared" si="0"/>
        <v>0</v>
      </c>
      <c r="L31" s="1576">
        <v>0</v>
      </c>
    </row>
    <row r="32" spans="1:12" x14ac:dyDescent="0.2">
      <c r="A32" s="1275" t="s">
        <v>1119</v>
      </c>
      <c r="B32" s="503" t="s">
        <v>732</v>
      </c>
      <c r="C32" s="1581"/>
      <c r="D32" s="1581"/>
      <c r="E32" s="1581"/>
      <c r="F32" s="1581"/>
      <c r="G32" s="1581"/>
      <c r="H32" s="1578">
        <v>16353</v>
      </c>
      <c r="I32" s="1672"/>
      <c r="J32" s="1584"/>
      <c r="K32" s="1671">
        <f t="shared" si="0"/>
        <v>16353</v>
      </c>
      <c r="L32" s="1576">
        <v>0</v>
      </c>
    </row>
    <row r="33" spans="1:14" ht="12.75" customHeight="1" thickBot="1" x14ac:dyDescent="0.25">
      <c r="A33" s="1379" t="s">
        <v>1649</v>
      </c>
      <c r="B33" s="1380" t="s">
        <v>566</v>
      </c>
      <c r="C33" s="1673">
        <f>SUM(C5:C32)</f>
        <v>27337622</v>
      </c>
      <c r="D33" s="1673">
        <f t="shared" ref="D33:L33" si="1">SUM(D5:D32)</f>
        <v>6346402</v>
      </c>
      <c r="E33" s="1673">
        <f t="shared" si="1"/>
        <v>996524</v>
      </c>
      <c r="F33" s="1673">
        <f t="shared" si="1"/>
        <v>1391177</v>
      </c>
      <c r="G33" s="1673">
        <f t="shared" si="1"/>
        <v>536329</v>
      </c>
      <c r="H33" s="1673">
        <f t="shared" si="1"/>
        <v>916314</v>
      </c>
      <c r="I33" s="1673">
        <f t="shared" si="1"/>
        <v>700798</v>
      </c>
      <c r="J33" s="1673">
        <f t="shared" si="1"/>
        <v>0</v>
      </c>
      <c r="K33" s="1673">
        <f t="shared" si="1"/>
        <v>38225166</v>
      </c>
      <c r="L33" s="1673">
        <f t="shared" si="1"/>
        <v>41283023</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v>981036</v>
      </c>
      <c r="D36" s="1585">
        <v>227826</v>
      </c>
      <c r="E36" s="1585">
        <v>1433</v>
      </c>
      <c r="F36" s="1585">
        <v>3112</v>
      </c>
      <c r="G36" s="1585"/>
      <c r="H36" s="1585"/>
      <c r="I36" s="1573"/>
      <c r="J36" s="1573"/>
      <c r="K36" s="1671">
        <f t="shared" ref="K36:K41" si="2">SUM(C36:J36)</f>
        <v>1213407</v>
      </c>
      <c r="L36" s="1572">
        <v>1385688</v>
      </c>
    </row>
    <row r="37" spans="1:14" x14ac:dyDescent="0.2">
      <c r="A37" s="1273" t="s">
        <v>1081</v>
      </c>
      <c r="B37" s="503">
        <v>2120</v>
      </c>
      <c r="C37" s="1572">
        <v>482497</v>
      </c>
      <c r="D37" s="1572">
        <v>120064</v>
      </c>
      <c r="E37" s="1572"/>
      <c r="F37" s="1572"/>
      <c r="G37" s="1572"/>
      <c r="H37" s="1572"/>
      <c r="I37" s="1573"/>
      <c r="J37" s="1573"/>
      <c r="K37" s="1671">
        <f t="shared" si="2"/>
        <v>602561</v>
      </c>
      <c r="L37" s="1572">
        <v>599243</v>
      </c>
    </row>
    <row r="38" spans="1:14" x14ac:dyDescent="0.2">
      <c r="A38" s="1273" t="s">
        <v>196</v>
      </c>
      <c r="B38" s="503">
        <v>2130</v>
      </c>
      <c r="C38" s="1572">
        <v>595108</v>
      </c>
      <c r="D38" s="1572">
        <v>68227</v>
      </c>
      <c r="E38" s="1572">
        <v>142183</v>
      </c>
      <c r="F38" s="1572">
        <v>15767</v>
      </c>
      <c r="G38" s="1572"/>
      <c r="H38" s="1572"/>
      <c r="I38" s="1573">
        <v>9032</v>
      </c>
      <c r="J38" s="1573"/>
      <c r="K38" s="1671">
        <f t="shared" si="2"/>
        <v>830317</v>
      </c>
      <c r="L38" s="1572">
        <v>799041</v>
      </c>
    </row>
    <row r="39" spans="1:14" x14ac:dyDescent="0.2">
      <c r="A39" s="1273" t="s">
        <v>197</v>
      </c>
      <c r="B39" s="503">
        <v>2140</v>
      </c>
      <c r="C39" s="1572">
        <v>368595</v>
      </c>
      <c r="D39" s="1572">
        <v>80760</v>
      </c>
      <c r="E39" s="1572">
        <v>96230</v>
      </c>
      <c r="F39" s="1572">
        <v>1058</v>
      </c>
      <c r="G39" s="1572"/>
      <c r="H39" s="1572"/>
      <c r="I39" s="1573"/>
      <c r="J39" s="1573"/>
      <c r="K39" s="1671">
        <f t="shared" si="2"/>
        <v>546643</v>
      </c>
      <c r="L39" s="1572">
        <v>567424</v>
      </c>
    </row>
    <row r="40" spans="1:14" x14ac:dyDescent="0.2">
      <c r="A40" s="1273" t="s">
        <v>198</v>
      </c>
      <c r="B40" s="503">
        <v>2150</v>
      </c>
      <c r="C40" s="1572">
        <v>632333</v>
      </c>
      <c r="D40" s="1572">
        <v>128572</v>
      </c>
      <c r="E40" s="1572">
        <v>200113</v>
      </c>
      <c r="F40" s="1572">
        <v>7691</v>
      </c>
      <c r="G40" s="1572"/>
      <c r="H40" s="1572"/>
      <c r="I40" s="1573">
        <v>1142</v>
      </c>
      <c r="J40" s="1573"/>
      <c r="K40" s="1671">
        <f t="shared" si="2"/>
        <v>969851</v>
      </c>
      <c r="L40" s="1572">
        <v>1031638</v>
      </c>
    </row>
    <row r="41" spans="1:14" x14ac:dyDescent="0.2">
      <c r="A41" s="1273" t="s">
        <v>1650</v>
      </c>
      <c r="B41" s="503">
        <v>2190</v>
      </c>
      <c r="C41" s="1572"/>
      <c r="D41" s="1572"/>
      <c r="E41" s="1572">
        <v>20451</v>
      </c>
      <c r="F41" s="1572"/>
      <c r="G41" s="1572"/>
      <c r="H41" s="1572"/>
      <c r="I41" s="1573"/>
      <c r="J41" s="1573"/>
      <c r="K41" s="1671">
        <f t="shared" si="2"/>
        <v>20451</v>
      </c>
      <c r="L41" s="1572">
        <v>12000</v>
      </c>
    </row>
    <row r="42" spans="1:14" ht="12.75" customHeight="1" thickBot="1" x14ac:dyDescent="0.25">
      <c r="A42" s="1379" t="s">
        <v>556</v>
      </c>
      <c r="B42" s="1380" t="s">
        <v>711</v>
      </c>
      <c r="C42" s="1673">
        <f>SUM(C36:C41)</f>
        <v>3059569</v>
      </c>
      <c r="D42" s="1673">
        <f t="shared" ref="D42:L42" si="3">SUM(D36:D41)</f>
        <v>625449</v>
      </c>
      <c r="E42" s="1673">
        <f t="shared" si="3"/>
        <v>460410</v>
      </c>
      <c r="F42" s="1673">
        <f t="shared" si="3"/>
        <v>27628</v>
      </c>
      <c r="G42" s="1673">
        <f t="shared" si="3"/>
        <v>0</v>
      </c>
      <c r="H42" s="1673">
        <f t="shared" si="3"/>
        <v>0</v>
      </c>
      <c r="I42" s="1673">
        <f t="shared" si="3"/>
        <v>10174</v>
      </c>
      <c r="J42" s="1673">
        <f t="shared" si="3"/>
        <v>0</v>
      </c>
      <c r="K42" s="1673">
        <f t="shared" si="3"/>
        <v>4183230</v>
      </c>
      <c r="L42" s="1673">
        <f t="shared" si="3"/>
        <v>4395034</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1180727</v>
      </c>
      <c r="D44" s="1585">
        <v>215240</v>
      </c>
      <c r="E44" s="1585">
        <v>524908</v>
      </c>
      <c r="F44" s="1585">
        <v>55087</v>
      </c>
      <c r="G44" s="1585"/>
      <c r="H44" s="1585">
        <v>11097</v>
      </c>
      <c r="I44" s="1573">
        <v>4011</v>
      </c>
      <c r="J44" s="1573"/>
      <c r="K44" s="1677">
        <f>SUM(C44:J44)</f>
        <v>1991070</v>
      </c>
      <c r="L44" s="1585">
        <v>1882894</v>
      </c>
    </row>
    <row r="45" spans="1:14" x14ac:dyDescent="0.2">
      <c r="A45" s="1273" t="s">
        <v>810</v>
      </c>
      <c r="B45" s="503">
        <v>2220</v>
      </c>
      <c r="C45" s="1572">
        <v>433205</v>
      </c>
      <c r="D45" s="1572">
        <v>85035</v>
      </c>
      <c r="E45" s="1572">
        <v>355</v>
      </c>
      <c r="F45" s="1572">
        <v>14993</v>
      </c>
      <c r="G45" s="1572"/>
      <c r="H45" s="1572"/>
      <c r="I45" s="1573">
        <f>5705+5203</f>
        <v>10908</v>
      </c>
      <c r="J45" s="1573"/>
      <c r="K45" s="1677">
        <f>SUM(C45:J45)</f>
        <v>544496</v>
      </c>
      <c r="L45" s="1572">
        <v>592576</v>
      </c>
    </row>
    <row r="46" spans="1:14" x14ac:dyDescent="0.2">
      <c r="A46" s="1273" t="s">
        <v>811</v>
      </c>
      <c r="B46" s="503">
        <v>2230</v>
      </c>
      <c r="C46" s="1572"/>
      <c r="D46" s="1572"/>
      <c r="E46" s="1572">
        <v>57855</v>
      </c>
      <c r="F46" s="1572">
        <v>15006</v>
      </c>
      <c r="G46" s="1572"/>
      <c r="H46" s="1572"/>
      <c r="I46" s="1573"/>
      <c r="J46" s="1573"/>
      <c r="K46" s="1677">
        <f>SUM(C46:J46)</f>
        <v>72861</v>
      </c>
      <c r="L46" s="1572">
        <v>82142</v>
      </c>
    </row>
    <row r="47" spans="1:14" ht="12.75" customHeight="1" thickBot="1" x14ac:dyDescent="0.25">
      <c r="A47" s="1379" t="s">
        <v>557</v>
      </c>
      <c r="B47" s="1380" t="s">
        <v>32</v>
      </c>
      <c r="C47" s="1673">
        <f>SUM(C44:C46)</f>
        <v>1613932</v>
      </c>
      <c r="D47" s="1673">
        <f t="shared" ref="D47:K47" si="4">SUM(D44:D46)</f>
        <v>300275</v>
      </c>
      <c r="E47" s="1673">
        <f t="shared" si="4"/>
        <v>583118</v>
      </c>
      <c r="F47" s="1673">
        <f t="shared" si="4"/>
        <v>85086</v>
      </c>
      <c r="G47" s="1673">
        <f t="shared" si="4"/>
        <v>0</v>
      </c>
      <c r="H47" s="1673">
        <f t="shared" si="4"/>
        <v>11097</v>
      </c>
      <c r="I47" s="1673">
        <f t="shared" si="4"/>
        <v>14919</v>
      </c>
      <c r="J47" s="1673">
        <f t="shared" si="4"/>
        <v>0</v>
      </c>
      <c r="K47" s="1673">
        <f t="shared" si="4"/>
        <v>2608427</v>
      </c>
      <c r="L47" s="1673">
        <f>SUM(L44:L46)</f>
        <v>2557612</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146352</v>
      </c>
      <c r="D49" s="1585">
        <v>35128</v>
      </c>
      <c r="E49" s="1585">
        <v>175944</v>
      </c>
      <c r="F49" s="1585">
        <v>38260</v>
      </c>
      <c r="G49" s="1585"/>
      <c r="H49" s="1585">
        <v>28543</v>
      </c>
      <c r="I49" s="1573"/>
      <c r="J49" s="1573"/>
      <c r="K49" s="1677">
        <f>SUM(C49:J49)</f>
        <v>424227</v>
      </c>
      <c r="L49" s="1585">
        <v>383019</v>
      </c>
    </row>
    <row r="50" spans="1:14" x14ac:dyDescent="0.2">
      <c r="A50" s="1273" t="s">
        <v>813</v>
      </c>
      <c r="B50" s="503">
        <v>2320</v>
      </c>
      <c r="C50" s="1572">
        <v>318472</v>
      </c>
      <c r="D50" s="1572">
        <v>78693</v>
      </c>
      <c r="E50" s="1572">
        <v>1932</v>
      </c>
      <c r="F50" s="1572">
        <v>19381</v>
      </c>
      <c r="G50" s="1572"/>
      <c r="H50" s="1572">
        <v>3061</v>
      </c>
      <c r="I50" s="1573"/>
      <c r="J50" s="1573"/>
      <c r="K50" s="1677">
        <f>SUM(C50:J50)</f>
        <v>421539</v>
      </c>
      <c r="L50" s="1572">
        <v>428324</v>
      </c>
    </row>
    <row r="51" spans="1:14" x14ac:dyDescent="0.2">
      <c r="A51" s="1273" t="s">
        <v>42</v>
      </c>
      <c r="B51" s="503">
        <v>2330</v>
      </c>
      <c r="C51" s="1572">
        <v>285173</v>
      </c>
      <c r="D51" s="1572">
        <v>68244</v>
      </c>
      <c r="E51" s="1572">
        <v>2646</v>
      </c>
      <c r="F51" s="1572">
        <v>2286</v>
      </c>
      <c r="G51" s="1572"/>
      <c r="H51" s="1572">
        <v>1829</v>
      </c>
      <c r="I51" s="1573"/>
      <c r="J51" s="1573"/>
      <c r="K51" s="1677">
        <f>SUM(C51:J51)</f>
        <v>360178</v>
      </c>
      <c r="L51" s="1572">
        <v>354639</v>
      </c>
    </row>
    <row r="52" spans="1:14" ht="22.5" x14ac:dyDescent="0.2">
      <c r="A52" s="1274" t="s">
        <v>295</v>
      </c>
      <c r="B52" s="511" t="s">
        <v>363</v>
      </c>
      <c r="C52" s="1578"/>
      <c r="D52" s="1578"/>
      <c r="E52" s="1578"/>
      <c r="F52" s="1578"/>
      <c r="G52" s="1578"/>
      <c r="H52" s="1578"/>
      <c r="I52" s="1578"/>
      <c r="J52" s="1578"/>
      <c r="K52" s="1677">
        <f>SUM(C52:J52)</f>
        <v>0</v>
      </c>
      <c r="L52" s="1578">
        <v>0</v>
      </c>
    </row>
    <row r="53" spans="1:14" ht="12.75" customHeight="1" thickBot="1" x14ac:dyDescent="0.25">
      <c r="A53" s="1379" t="s">
        <v>712</v>
      </c>
      <c r="B53" s="1380" t="s">
        <v>33</v>
      </c>
      <c r="C53" s="1673">
        <f>SUM(C49:C52)</f>
        <v>749997</v>
      </c>
      <c r="D53" s="1673">
        <f t="shared" ref="D53:L53" si="5">SUM(D49:D52)</f>
        <v>182065</v>
      </c>
      <c r="E53" s="1673">
        <f t="shared" si="5"/>
        <v>180522</v>
      </c>
      <c r="F53" s="1673">
        <f t="shared" si="5"/>
        <v>59927</v>
      </c>
      <c r="G53" s="1673">
        <f t="shared" si="5"/>
        <v>0</v>
      </c>
      <c r="H53" s="1673">
        <f t="shared" si="5"/>
        <v>33433</v>
      </c>
      <c r="I53" s="1673">
        <f t="shared" si="5"/>
        <v>0</v>
      </c>
      <c r="J53" s="1673">
        <f t="shared" si="5"/>
        <v>0</v>
      </c>
      <c r="K53" s="1673">
        <f t="shared" si="5"/>
        <v>1205944</v>
      </c>
      <c r="L53" s="1673">
        <f t="shared" si="5"/>
        <v>1165982</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2666270</v>
      </c>
      <c r="D55" s="1585">
        <v>555823</v>
      </c>
      <c r="E55" s="1585">
        <v>45</v>
      </c>
      <c r="F55" s="1585"/>
      <c r="G55" s="1585"/>
      <c r="H55" s="1585"/>
      <c r="I55" s="1573"/>
      <c r="J55" s="1573"/>
      <c r="K55" s="1677">
        <f>SUM(C55:J55)</f>
        <v>3222138</v>
      </c>
      <c r="L55" s="1585">
        <v>3136785</v>
      </c>
    </row>
    <row r="56" spans="1:14" ht="12.75" customHeight="1" x14ac:dyDescent="0.2">
      <c r="A56" s="1277" t="s">
        <v>373</v>
      </c>
      <c r="B56" s="512">
        <v>2490</v>
      </c>
      <c r="C56" s="1572"/>
      <c r="D56" s="1572"/>
      <c r="E56" s="1572"/>
      <c r="F56" s="1572"/>
      <c r="G56" s="1572"/>
      <c r="H56" s="1572"/>
      <c r="I56" s="1573"/>
      <c r="J56" s="1573"/>
      <c r="K56" s="1677">
        <f>SUM(C56:J56)</f>
        <v>0</v>
      </c>
      <c r="L56" s="1572">
        <v>0</v>
      </c>
    </row>
    <row r="57" spans="1:14" s="321" customFormat="1" ht="12.75" customHeight="1" thickBot="1" x14ac:dyDescent="0.25">
      <c r="A57" s="1379" t="s">
        <v>261</v>
      </c>
      <c r="B57" s="1381" t="s">
        <v>34</v>
      </c>
      <c r="C57" s="1678">
        <f>SUM(C55:C56)</f>
        <v>2666270</v>
      </c>
      <c r="D57" s="1678">
        <f t="shared" ref="D57:K57" si="6">SUM(D55:D56)</f>
        <v>555823</v>
      </c>
      <c r="E57" s="1678">
        <f t="shared" si="6"/>
        <v>45</v>
      </c>
      <c r="F57" s="1678">
        <f t="shared" si="6"/>
        <v>0</v>
      </c>
      <c r="G57" s="1678">
        <f t="shared" si="6"/>
        <v>0</v>
      </c>
      <c r="H57" s="1678">
        <f t="shared" si="6"/>
        <v>0</v>
      </c>
      <c r="I57" s="1678">
        <f t="shared" si="6"/>
        <v>0</v>
      </c>
      <c r="J57" s="1678">
        <f t="shared" si="6"/>
        <v>0</v>
      </c>
      <c r="K57" s="1678">
        <f t="shared" si="6"/>
        <v>3222138</v>
      </c>
      <c r="L57" s="1673">
        <f>SUM(L55:L56)</f>
        <v>3136785</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v>64958</v>
      </c>
      <c r="D59" s="1585">
        <v>14146</v>
      </c>
      <c r="E59" s="1585"/>
      <c r="F59" s="1585"/>
      <c r="G59" s="1585"/>
      <c r="H59" s="1585"/>
      <c r="I59" s="1573"/>
      <c r="J59" s="1573"/>
      <c r="K59" s="1677">
        <f t="shared" ref="K59:K64" si="7">SUM(C59:J59)</f>
        <v>79104</v>
      </c>
      <c r="L59" s="1585">
        <v>103705</v>
      </c>
      <c r="M59" s="501"/>
      <c r="N59" s="501"/>
    </row>
    <row r="60" spans="1:14" s="321" customFormat="1" x14ac:dyDescent="0.2">
      <c r="A60" s="1273" t="s">
        <v>460</v>
      </c>
      <c r="B60" s="503">
        <v>2520</v>
      </c>
      <c r="C60" s="1572">
        <v>390988</v>
      </c>
      <c r="D60" s="1572">
        <v>52224</v>
      </c>
      <c r="E60" s="1572">
        <v>25823</v>
      </c>
      <c r="F60" s="1572">
        <v>3414</v>
      </c>
      <c r="G60" s="1572"/>
      <c r="H60" s="1572">
        <v>1109</v>
      </c>
      <c r="I60" s="1573">
        <v>1522</v>
      </c>
      <c r="J60" s="1573"/>
      <c r="K60" s="1677">
        <f t="shared" si="7"/>
        <v>475080</v>
      </c>
      <c r="L60" s="1572">
        <v>463748</v>
      </c>
      <c r="M60" s="501"/>
      <c r="N60" s="501"/>
    </row>
    <row r="61" spans="1:14" s="321" customFormat="1" x14ac:dyDescent="0.2">
      <c r="A61" s="1273" t="s">
        <v>195</v>
      </c>
      <c r="B61" s="503">
        <v>2540</v>
      </c>
      <c r="C61" s="1572">
        <v>749655</v>
      </c>
      <c r="D61" s="1572">
        <v>154759</v>
      </c>
      <c r="E61" s="1572">
        <v>114899</v>
      </c>
      <c r="F61" s="1572">
        <v>1281840</v>
      </c>
      <c r="G61" s="1572">
        <v>65709</v>
      </c>
      <c r="H61" s="1572"/>
      <c r="I61" s="1573">
        <v>11447</v>
      </c>
      <c r="J61" s="1573"/>
      <c r="K61" s="1677">
        <f t="shared" si="7"/>
        <v>2378309</v>
      </c>
      <c r="L61" s="1572">
        <v>2528785</v>
      </c>
      <c r="M61" s="501"/>
      <c r="N61" s="501"/>
    </row>
    <row r="62" spans="1:14" s="321" customFormat="1" x14ac:dyDescent="0.2">
      <c r="A62" s="1273" t="s">
        <v>947</v>
      </c>
      <c r="B62" s="503">
        <v>2550</v>
      </c>
      <c r="C62" s="1572"/>
      <c r="D62" s="1572"/>
      <c r="E62" s="1572">
        <v>-283</v>
      </c>
      <c r="F62" s="1572"/>
      <c r="G62" s="1572"/>
      <c r="H62" s="1572"/>
      <c r="I62" s="1573"/>
      <c r="J62" s="1573"/>
      <c r="K62" s="1677">
        <f t="shared" si="7"/>
        <v>-283</v>
      </c>
      <c r="L62" s="1572">
        <v>29000</v>
      </c>
      <c r="M62" s="501"/>
      <c r="N62" s="501"/>
    </row>
    <row r="63" spans="1:14" s="501" customFormat="1" x14ac:dyDescent="0.2">
      <c r="A63" s="1273" t="s">
        <v>100</v>
      </c>
      <c r="B63" s="503">
        <v>2560</v>
      </c>
      <c r="C63" s="1572">
        <v>1475956</v>
      </c>
      <c r="D63" s="1572">
        <v>298626</v>
      </c>
      <c r="E63" s="1572">
        <v>217364</v>
      </c>
      <c r="F63" s="1572">
        <v>1675461</v>
      </c>
      <c r="G63" s="1572"/>
      <c r="H63" s="1572">
        <v>1600</v>
      </c>
      <c r="I63" s="1573">
        <v>22979</v>
      </c>
      <c r="J63" s="1573"/>
      <c r="K63" s="1677">
        <f t="shared" si="7"/>
        <v>3691986</v>
      </c>
      <c r="L63" s="1572">
        <v>3550184</v>
      </c>
    </row>
    <row r="64" spans="1:14" s="501" customFormat="1" x14ac:dyDescent="0.2">
      <c r="A64" s="1278" t="s">
        <v>101</v>
      </c>
      <c r="B64" s="513">
        <v>2570</v>
      </c>
      <c r="C64" s="1585">
        <v>16425</v>
      </c>
      <c r="D64" s="1585">
        <v>4196</v>
      </c>
      <c r="E64" s="1585">
        <v>8677</v>
      </c>
      <c r="F64" s="1585">
        <v>11243</v>
      </c>
      <c r="G64" s="1585"/>
      <c r="H64" s="1585"/>
      <c r="I64" s="1573"/>
      <c r="J64" s="1573"/>
      <c r="K64" s="1677">
        <f t="shared" si="7"/>
        <v>40541</v>
      </c>
      <c r="L64" s="1585">
        <v>72000</v>
      </c>
    </row>
    <row r="65" spans="1:14" s="321" customFormat="1" ht="12.75" customHeight="1" thickBot="1" x14ac:dyDescent="0.25">
      <c r="A65" s="1379" t="s">
        <v>714</v>
      </c>
      <c r="B65" s="1380" t="s">
        <v>35</v>
      </c>
      <c r="C65" s="1673">
        <f>SUM(C59:C64)</f>
        <v>2697982</v>
      </c>
      <c r="D65" s="1673">
        <f t="shared" ref="D65:L65" si="8">SUM(D59:D64)</f>
        <v>523951</v>
      </c>
      <c r="E65" s="1673">
        <f t="shared" si="8"/>
        <v>366480</v>
      </c>
      <c r="F65" s="1673">
        <f t="shared" si="8"/>
        <v>2971958</v>
      </c>
      <c r="G65" s="1673">
        <f t="shared" si="8"/>
        <v>65709</v>
      </c>
      <c r="H65" s="1673">
        <f t="shared" si="8"/>
        <v>2709</v>
      </c>
      <c r="I65" s="1673">
        <f t="shared" si="8"/>
        <v>35948</v>
      </c>
      <c r="J65" s="1673">
        <f t="shared" si="8"/>
        <v>0</v>
      </c>
      <c r="K65" s="1673">
        <f t="shared" si="8"/>
        <v>6664737</v>
      </c>
      <c r="L65" s="1673">
        <f t="shared" si="8"/>
        <v>6747422</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v>44</v>
      </c>
      <c r="D67" s="1572"/>
      <c r="E67" s="1572"/>
      <c r="F67" s="1572"/>
      <c r="G67" s="1572"/>
      <c r="H67" s="1572"/>
      <c r="I67" s="1573"/>
      <c r="J67" s="1573"/>
      <c r="K67" s="1677">
        <f>SUM(C67:J67)</f>
        <v>44</v>
      </c>
      <c r="L67" s="1585">
        <v>0</v>
      </c>
      <c r="M67" s="501"/>
      <c r="N67" s="501"/>
    </row>
    <row r="68" spans="1:14" s="321" customFormat="1" x14ac:dyDescent="0.2">
      <c r="A68" s="1273" t="s">
        <v>603</v>
      </c>
      <c r="B68" s="503">
        <v>2620</v>
      </c>
      <c r="C68" s="1572"/>
      <c r="D68" s="1572"/>
      <c r="E68" s="1572"/>
      <c r="F68" s="1572"/>
      <c r="G68" s="1572"/>
      <c r="H68" s="1572"/>
      <c r="I68" s="1573"/>
      <c r="J68" s="1573"/>
      <c r="K68" s="1677">
        <f>SUM(C68:J68)</f>
        <v>0</v>
      </c>
      <c r="L68" s="1572">
        <v>0</v>
      </c>
      <c r="M68" s="501"/>
      <c r="N68" s="501"/>
    </row>
    <row r="69" spans="1:14" s="321" customFormat="1" x14ac:dyDescent="0.2">
      <c r="A69" s="1273" t="s">
        <v>1052</v>
      </c>
      <c r="B69" s="503">
        <v>2630</v>
      </c>
      <c r="C69" s="1572"/>
      <c r="D69" s="1572"/>
      <c r="E69" s="1572">
        <v>46709</v>
      </c>
      <c r="F69" s="1572"/>
      <c r="G69" s="1572">
        <v>4526</v>
      </c>
      <c r="H69" s="1572"/>
      <c r="I69" s="1573"/>
      <c r="J69" s="1573"/>
      <c r="K69" s="1677">
        <f>SUM(C69:J69)</f>
        <v>51235</v>
      </c>
      <c r="L69" s="1572">
        <v>41000</v>
      </c>
      <c r="M69" s="501"/>
      <c r="N69" s="501"/>
    </row>
    <row r="70" spans="1:14" s="321" customFormat="1" x14ac:dyDescent="0.2">
      <c r="A70" s="1273" t="s">
        <v>400</v>
      </c>
      <c r="B70" s="503">
        <v>2640</v>
      </c>
      <c r="C70" s="1572">
        <v>261860</v>
      </c>
      <c r="D70" s="1572">
        <v>50605</v>
      </c>
      <c r="E70" s="1572">
        <v>5170</v>
      </c>
      <c r="F70" s="1572">
        <v>4345</v>
      </c>
      <c r="G70" s="1572"/>
      <c r="H70" s="1572">
        <v>199</v>
      </c>
      <c r="I70" s="1573"/>
      <c r="J70" s="1573"/>
      <c r="K70" s="1677">
        <f>SUM(C70:J70)</f>
        <v>322179</v>
      </c>
      <c r="L70" s="1572">
        <v>342529</v>
      </c>
      <c r="M70" s="501"/>
      <c r="N70" s="501"/>
    </row>
    <row r="71" spans="1:14" s="321" customFormat="1" x14ac:dyDescent="0.2">
      <c r="A71" s="1273" t="s">
        <v>401</v>
      </c>
      <c r="B71" s="503">
        <v>2660</v>
      </c>
      <c r="C71" s="1572">
        <v>585247</v>
      </c>
      <c r="D71" s="1572">
        <v>98841</v>
      </c>
      <c r="E71" s="1572">
        <v>788843</v>
      </c>
      <c r="F71" s="1572">
        <v>142503</v>
      </c>
      <c r="G71" s="1572">
        <v>111777</v>
      </c>
      <c r="H71" s="1572"/>
      <c r="I71" s="1573">
        <v>482610</v>
      </c>
      <c r="J71" s="1573"/>
      <c r="K71" s="1677">
        <f>SUM(C71:J71)</f>
        <v>2209821</v>
      </c>
      <c r="L71" s="1572">
        <v>2383642</v>
      </c>
      <c r="M71" s="501"/>
      <c r="N71" s="501"/>
    </row>
    <row r="72" spans="1:14" s="321" customFormat="1" ht="12.75" customHeight="1" thickBot="1" x14ac:dyDescent="0.25">
      <c r="A72" s="1379" t="s">
        <v>37</v>
      </c>
      <c r="B72" s="1382" t="s">
        <v>36</v>
      </c>
      <c r="C72" s="1673">
        <f>SUM(C67:C71)</f>
        <v>847151</v>
      </c>
      <c r="D72" s="1673">
        <f t="shared" ref="D72:K72" si="9">SUM(D67:D71)</f>
        <v>149446</v>
      </c>
      <c r="E72" s="1673">
        <f t="shared" si="9"/>
        <v>840722</v>
      </c>
      <c r="F72" s="1673">
        <f t="shared" si="9"/>
        <v>146848</v>
      </c>
      <c r="G72" s="1673">
        <f t="shared" si="9"/>
        <v>116303</v>
      </c>
      <c r="H72" s="1673">
        <f t="shared" si="9"/>
        <v>199</v>
      </c>
      <c r="I72" s="1673">
        <f t="shared" si="9"/>
        <v>482610</v>
      </c>
      <c r="J72" s="1673">
        <f t="shared" si="9"/>
        <v>0</v>
      </c>
      <c r="K72" s="1673">
        <f t="shared" si="9"/>
        <v>2583279</v>
      </c>
      <c r="L72" s="1673">
        <f>SUM(L67:L71)</f>
        <v>2767171</v>
      </c>
      <c r="M72" s="501"/>
      <c r="N72" s="501"/>
    </row>
    <row r="73" spans="1:14" s="321" customFormat="1" ht="14.25" thickTop="1" thickBot="1" x14ac:dyDescent="0.25">
      <c r="A73" s="1279" t="s">
        <v>973</v>
      </c>
      <c r="B73" s="515" t="s">
        <v>570</v>
      </c>
      <c r="C73" s="1648">
        <v>2041</v>
      </c>
      <c r="D73" s="1648">
        <v>2125</v>
      </c>
      <c r="E73" s="1648">
        <v>20099</v>
      </c>
      <c r="F73" s="1648">
        <v>148</v>
      </c>
      <c r="G73" s="1648"/>
      <c r="H73" s="1648"/>
      <c r="I73" s="1626"/>
      <c r="J73" s="1626"/>
      <c r="K73" s="1673">
        <f>SUM(C73:J73)</f>
        <v>24413</v>
      </c>
      <c r="L73" s="1650">
        <v>6750</v>
      </c>
      <c r="M73" s="501"/>
      <c r="N73" s="501"/>
    </row>
    <row r="74" spans="1:14" ht="12.75" customHeight="1" thickTop="1" thickBot="1" x14ac:dyDescent="0.25">
      <c r="A74" s="1379" t="s">
        <v>806</v>
      </c>
      <c r="B74" s="1383">
        <v>2000</v>
      </c>
      <c r="C74" s="1680">
        <f>SUM(C42,C47,C53,C57,C65,C72,C73)</f>
        <v>11636942</v>
      </c>
      <c r="D74" s="1680">
        <f t="shared" ref="D74:K74" si="10">SUM(D42,D47,D53,D57,D65,D72,D73)</f>
        <v>2339134</v>
      </c>
      <c r="E74" s="1680">
        <f t="shared" si="10"/>
        <v>2451396</v>
      </c>
      <c r="F74" s="1680">
        <f t="shared" si="10"/>
        <v>3291595</v>
      </c>
      <c r="G74" s="1680">
        <f t="shared" si="10"/>
        <v>182012</v>
      </c>
      <c r="H74" s="1680">
        <f t="shared" si="10"/>
        <v>47438</v>
      </c>
      <c r="I74" s="1680">
        <f t="shared" si="10"/>
        <v>543651</v>
      </c>
      <c r="J74" s="1680">
        <f t="shared" si="10"/>
        <v>0</v>
      </c>
      <c r="K74" s="1680">
        <f t="shared" si="10"/>
        <v>20492168</v>
      </c>
      <c r="L74" s="1680">
        <f>SUM(L42,L47,L53,L57,L65,L72,L73)</f>
        <v>20776756</v>
      </c>
    </row>
    <row r="75" spans="1:14" s="254" customFormat="1" ht="15.75" customHeight="1" thickTop="1" thickBot="1" x14ac:dyDescent="0.25">
      <c r="A75" s="1347" t="s">
        <v>47</v>
      </c>
      <c r="B75" s="1348" t="s">
        <v>571</v>
      </c>
      <c r="C75" s="1648">
        <v>1200535</v>
      </c>
      <c r="D75" s="1648">
        <v>217890</v>
      </c>
      <c r="E75" s="1648">
        <v>105128</v>
      </c>
      <c r="F75" s="1648">
        <v>64815</v>
      </c>
      <c r="G75" s="1648"/>
      <c r="H75" s="1648"/>
      <c r="I75" s="1626">
        <v>7729</v>
      </c>
      <c r="J75" s="1626"/>
      <c r="K75" s="1673">
        <f>SUM(C75:J75)</f>
        <v>1596097</v>
      </c>
      <c r="L75" s="1650">
        <v>1447550</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v>133771</v>
      </c>
      <c r="F78" s="1672"/>
      <c r="G78" s="1672"/>
      <c r="H78" s="1681">
        <v>942136</v>
      </c>
      <c r="I78" s="1581"/>
      <c r="J78" s="1581"/>
      <c r="K78" s="1671">
        <f t="shared" ref="K78:K83" si="11">SUM(C78:J78)</f>
        <v>1075907</v>
      </c>
      <c r="L78" s="1585">
        <v>972661</v>
      </c>
    </row>
    <row r="79" spans="1:14" x14ac:dyDescent="0.2">
      <c r="A79" s="1273" t="s">
        <v>301</v>
      </c>
      <c r="B79" s="503">
        <v>4120</v>
      </c>
      <c r="C79" s="1672"/>
      <c r="D79" s="1672"/>
      <c r="E79" s="1572">
        <v>28573</v>
      </c>
      <c r="F79" s="1672"/>
      <c r="G79" s="1672"/>
      <c r="H79" s="1572">
        <v>132865</v>
      </c>
      <c r="I79" s="1581"/>
      <c r="J79" s="1581"/>
      <c r="K79" s="1671">
        <f t="shared" si="11"/>
        <v>161438</v>
      </c>
      <c r="L79" s="1572">
        <v>51679</v>
      </c>
    </row>
    <row r="80" spans="1:14" x14ac:dyDescent="0.2">
      <c r="A80" s="1273" t="s">
        <v>302</v>
      </c>
      <c r="B80" s="503">
        <v>4130</v>
      </c>
      <c r="C80" s="1672"/>
      <c r="D80" s="1672"/>
      <c r="E80" s="1572"/>
      <c r="F80" s="1672"/>
      <c r="G80" s="1672"/>
      <c r="H80" s="1572"/>
      <c r="I80" s="1581"/>
      <c r="J80" s="1581"/>
      <c r="K80" s="1671">
        <f t="shared" si="11"/>
        <v>0</v>
      </c>
      <c r="L80" s="1572">
        <v>0</v>
      </c>
    </row>
    <row r="81" spans="1:12" x14ac:dyDescent="0.2">
      <c r="A81" s="1273" t="s">
        <v>692</v>
      </c>
      <c r="B81" s="503">
        <v>4140</v>
      </c>
      <c r="C81" s="1672"/>
      <c r="D81" s="1672"/>
      <c r="E81" s="1572"/>
      <c r="F81" s="1672"/>
      <c r="G81" s="1672"/>
      <c r="H81" s="1572"/>
      <c r="I81" s="1581"/>
      <c r="J81" s="1581"/>
      <c r="K81" s="1671">
        <f t="shared" si="11"/>
        <v>0</v>
      </c>
      <c r="L81" s="1572">
        <v>0</v>
      </c>
    </row>
    <row r="82" spans="1:12" x14ac:dyDescent="0.2">
      <c r="A82" s="1273" t="s">
        <v>86</v>
      </c>
      <c r="B82" s="503">
        <v>4170</v>
      </c>
      <c r="C82" s="1672"/>
      <c r="D82" s="1672"/>
      <c r="E82" s="1572"/>
      <c r="F82" s="1672"/>
      <c r="G82" s="1672"/>
      <c r="H82" s="1572"/>
      <c r="I82" s="1581"/>
      <c r="J82" s="1581"/>
      <c r="K82" s="1671">
        <f t="shared" si="11"/>
        <v>0</v>
      </c>
      <c r="L82" s="1572">
        <v>0</v>
      </c>
    </row>
    <row r="83" spans="1:12" x14ac:dyDescent="0.2">
      <c r="A83" s="1277" t="s">
        <v>693</v>
      </c>
      <c r="B83" s="512">
        <v>4190</v>
      </c>
      <c r="C83" s="1672"/>
      <c r="D83" s="1672"/>
      <c r="E83" s="1572"/>
      <c r="F83" s="1672"/>
      <c r="G83" s="1672"/>
      <c r="H83" s="1572"/>
      <c r="I83" s="1581"/>
      <c r="J83" s="1581"/>
      <c r="K83" s="1671">
        <f t="shared" si="11"/>
        <v>0</v>
      </c>
      <c r="L83" s="1572">
        <v>0</v>
      </c>
    </row>
    <row r="84" spans="1:12" ht="13.5" thickBot="1" x14ac:dyDescent="0.25">
      <c r="A84" s="1379" t="s">
        <v>1468</v>
      </c>
      <c r="B84" s="1384">
        <v>4100</v>
      </c>
      <c r="C84" s="1672"/>
      <c r="D84" s="1672"/>
      <c r="E84" s="1673">
        <f>SUM(E78:E83)</f>
        <v>162344</v>
      </c>
      <c r="F84" s="1672"/>
      <c r="G84" s="1672"/>
      <c r="H84" s="1673">
        <f>SUM(H78:H83)</f>
        <v>1075001</v>
      </c>
      <c r="I84" s="1581"/>
      <c r="J84" s="1581"/>
      <c r="K84" s="1673">
        <f>SUM(K78:K83)</f>
        <v>1237345</v>
      </c>
      <c r="L84" s="1673">
        <f>SUM(L78:L83)</f>
        <v>1024340</v>
      </c>
    </row>
    <row r="85" spans="1:12" ht="12.75" customHeight="1" thickTop="1" thickBot="1" x14ac:dyDescent="0.25">
      <c r="A85" s="1280" t="s">
        <v>253</v>
      </c>
      <c r="B85" s="517">
        <v>4210</v>
      </c>
      <c r="C85" s="1672"/>
      <c r="D85" s="1672"/>
      <c r="E85" s="1682"/>
      <c r="F85" s="1672"/>
      <c r="G85" s="1672"/>
      <c r="H85" s="1629"/>
      <c r="I85" s="1581"/>
      <c r="J85" s="1581"/>
      <c r="K85" s="1680">
        <f>H85</f>
        <v>0</v>
      </c>
      <c r="L85" s="1625">
        <v>0</v>
      </c>
    </row>
    <row r="86" spans="1:12" ht="12.75" customHeight="1" thickTop="1" thickBot="1" x14ac:dyDescent="0.25">
      <c r="A86" s="1281" t="s">
        <v>694</v>
      </c>
      <c r="B86" s="518">
        <v>4220</v>
      </c>
      <c r="C86" s="1672"/>
      <c r="D86" s="1672"/>
      <c r="E86" s="1683"/>
      <c r="F86" s="1672"/>
      <c r="G86" s="1672"/>
      <c r="H86" s="1573">
        <v>301739</v>
      </c>
      <c r="I86" s="1581"/>
      <c r="J86" s="1581"/>
      <c r="K86" s="1680">
        <f t="shared" ref="K86:K98" si="12">H86</f>
        <v>301739</v>
      </c>
      <c r="L86" s="1625">
        <v>375000</v>
      </c>
    </row>
    <row r="87" spans="1:12" ht="14.25" thickTop="1" thickBot="1" x14ac:dyDescent="0.25">
      <c r="A87" s="1282" t="s">
        <v>695</v>
      </c>
      <c r="B87" s="519">
        <v>4230</v>
      </c>
      <c r="C87" s="1672"/>
      <c r="D87" s="1672"/>
      <c r="E87" s="1683"/>
      <c r="F87" s="1672"/>
      <c r="G87" s="1672"/>
      <c r="H87" s="1573"/>
      <c r="I87" s="1581"/>
      <c r="J87" s="1581"/>
      <c r="K87" s="1680">
        <f t="shared" si="12"/>
        <v>0</v>
      </c>
      <c r="L87" s="1625">
        <v>0</v>
      </c>
    </row>
    <row r="88" spans="1:12" ht="12.75" customHeight="1" thickTop="1" thickBot="1" x14ac:dyDescent="0.25">
      <c r="A88" s="1282" t="s">
        <v>760</v>
      </c>
      <c r="B88" s="519">
        <v>4240</v>
      </c>
      <c r="C88" s="1672"/>
      <c r="D88" s="1672"/>
      <c r="E88" s="1683"/>
      <c r="F88" s="1672"/>
      <c r="G88" s="1672"/>
      <c r="H88" s="1573"/>
      <c r="I88" s="1581"/>
      <c r="J88" s="1581"/>
      <c r="K88" s="1680">
        <f t="shared" si="12"/>
        <v>0</v>
      </c>
      <c r="L88" s="1625">
        <v>0</v>
      </c>
    </row>
    <row r="89" spans="1:12" ht="12.75" customHeight="1" thickTop="1" thickBot="1" x14ac:dyDescent="0.25">
      <c r="A89" s="1282" t="s">
        <v>696</v>
      </c>
      <c r="B89" s="519">
        <v>4270</v>
      </c>
      <c r="C89" s="1672"/>
      <c r="D89" s="1672"/>
      <c r="E89" s="1683"/>
      <c r="F89" s="1672"/>
      <c r="G89" s="1672"/>
      <c r="H89" s="1573"/>
      <c r="I89" s="1581"/>
      <c r="J89" s="1581"/>
      <c r="K89" s="1680">
        <f t="shared" si="12"/>
        <v>0</v>
      </c>
      <c r="L89" s="1625">
        <v>0</v>
      </c>
    </row>
    <row r="90" spans="1:12" ht="12.75" customHeight="1" thickTop="1" thickBot="1" x14ac:dyDescent="0.25">
      <c r="A90" s="1282" t="s">
        <v>681</v>
      </c>
      <c r="B90" s="519">
        <v>4280</v>
      </c>
      <c r="C90" s="1672"/>
      <c r="D90" s="1672"/>
      <c r="E90" s="1683"/>
      <c r="F90" s="1672"/>
      <c r="G90" s="1672"/>
      <c r="H90" s="1573"/>
      <c r="I90" s="1581"/>
      <c r="J90" s="1581"/>
      <c r="K90" s="1680">
        <f t="shared" si="12"/>
        <v>0</v>
      </c>
      <c r="L90" s="1625">
        <v>0</v>
      </c>
    </row>
    <row r="91" spans="1:12" ht="12.75" customHeight="1" thickTop="1" thickBot="1" x14ac:dyDescent="0.25">
      <c r="A91" s="1282" t="s">
        <v>682</v>
      </c>
      <c r="B91" s="519">
        <v>4290</v>
      </c>
      <c r="C91" s="1672"/>
      <c r="D91" s="1672"/>
      <c r="E91" s="1683"/>
      <c r="F91" s="1672"/>
      <c r="G91" s="1672"/>
      <c r="H91" s="1573"/>
      <c r="I91" s="1581"/>
      <c r="J91" s="1581"/>
      <c r="K91" s="1680">
        <f t="shared" si="12"/>
        <v>0</v>
      </c>
      <c r="L91" s="1625">
        <v>0</v>
      </c>
    </row>
    <row r="92" spans="1:12" ht="14.25" thickTop="1" thickBot="1" x14ac:dyDescent="0.25">
      <c r="A92" s="1385" t="s">
        <v>1543</v>
      </c>
      <c r="B92" s="1384">
        <v>4200</v>
      </c>
      <c r="C92" s="1672"/>
      <c r="D92" s="1672"/>
      <c r="E92" s="1683"/>
      <c r="F92" s="1672"/>
      <c r="G92" s="1672"/>
      <c r="H92" s="1673">
        <f>SUM(H85:H91)</f>
        <v>301739</v>
      </c>
      <c r="I92" s="1581"/>
      <c r="J92" s="1581"/>
      <c r="K92" s="1680">
        <f t="shared" si="12"/>
        <v>301739</v>
      </c>
      <c r="L92" s="1673">
        <f>SUM(L85:L91)</f>
        <v>375000</v>
      </c>
    </row>
    <row r="93" spans="1:12" ht="14.25" thickTop="1" thickBot="1" x14ac:dyDescent="0.25">
      <c r="A93" s="1281" t="s">
        <v>683</v>
      </c>
      <c r="B93" s="520">
        <v>4310</v>
      </c>
      <c r="C93" s="1672"/>
      <c r="D93" s="1672"/>
      <c r="E93" s="1683"/>
      <c r="F93" s="1672"/>
      <c r="G93" s="1672"/>
      <c r="H93" s="1684"/>
      <c r="I93" s="1581"/>
      <c r="J93" s="1581"/>
      <c r="K93" s="1680">
        <f t="shared" si="12"/>
        <v>0</v>
      </c>
      <c r="L93" s="1627">
        <v>0</v>
      </c>
    </row>
    <row r="94" spans="1:12" ht="12.75" customHeight="1" thickTop="1" thickBot="1" x14ac:dyDescent="0.25">
      <c r="A94" s="1282" t="s">
        <v>684</v>
      </c>
      <c r="B94" s="519">
        <v>4320</v>
      </c>
      <c r="C94" s="1672"/>
      <c r="D94" s="1672"/>
      <c r="E94" s="1683"/>
      <c r="F94" s="1672"/>
      <c r="G94" s="1672"/>
      <c r="H94" s="1573"/>
      <c r="I94" s="1581"/>
      <c r="J94" s="1581"/>
      <c r="K94" s="1680">
        <f t="shared" si="12"/>
        <v>0</v>
      </c>
      <c r="L94" s="1625">
        <v>0</v>
      </c>
    </row>
    <row r="95" spans="1:12" ht="15" customHeight="1" thickTop="1" thickBot="1" x14ac:dyDescent="0.25">
      <c r="A95" s="1282" t="s">
        <v>1471</v>
      </c>
      <c r="B95" s="519">
        <v>4330</v>
      </c>
      <c r="C95" s="1672"/>
      <c r="D95" s="1672"/>
      <c r="E95" s="1683"/>
      <c r="F95" s="1672"/>
      <c r="G95" s="1672"/>
      <c r="H95" s="1573"/>
      <c r="I95" s="1581"/>
      <c r="J95" s="1581"/>
      <c r="K95" s="1680">
        <f t="shared" si="12"/>
        <v>0</v>
      </c>
      <c r="L95" s="1625">
        <v>0</v>
      </c>
    </row>
    <row r="96" spans="1:12" ht="14.25" thickTop="1" thickBot="1" x14ac:dyDescent="0.25">
      <c r="A96" s="1282" t="s">
        <v>685</v>
      </c>
      <c r="B96" s="519">
        <v>4340</v>
      </c>
      <c r="C96" s="1672"/>
      <c r="D96" s="1672"/>
      <c r="E96" s="1683"/>
      <c r="F96" s="1672"/>
      <c r="G96" s="1672"/>
      <c r="H96" s="1573"/>
      <c r="I96" s="1581"/>
      <c r="J96" s="1581"/>
      <c r="K96" s="1680">
        <f t="shared" si="12"/>
        <v>0</v>
      </c>
      <c r="L96" s="1625">
        <v>0</v>
      </c>
    </row>
    <row r="97" spans="1:14" ht="12.75" customHeight="1" thickTop="1" thickBot="1" x14ac:dyDescent="0.25">
      <c r="A97" s="1282" t="s">
        <v>758</v>
      </c>
      <c r="B97" s="519">
        <v>4370</v>
      </c>
      <c r="C97" s="1672"/>
      <c r="D97" s="1672"/>
      <c r="E97" s="1683"/>
      <c r="F97" s="1672"/>
      <c r="G97" s="1672"/>
      <c r="H97" s="1573"/>
      <c r="I97" s="1581"/>
      <c r="J97" s="1581"/>
      <c r="K97" s="1680">
        <f t="shared" si="12"/>
        <v>0</v>
      </c>
      <c r="L97" s="1625">
        <v>0</v>
      </c>
    </row>
    <row r="98" spans="1:14" ht="14.25" thickTop="1" thickBot="1" x14ac:dyDescent="0.25">
      <c r="A98" s="1282" t="s">
        <v>759</v>
      </c>
      <c r="B98" s="519">
        <v>4380</v>
      </c>
      <c r="C98" s="1672"/>
      <c r="D98" s="1672"/>
      <c r="E98" s="1685"/>
      <c r="F98" s="1672"/>
      <c r="G98" s="1672"/>
      <c r="H98" s="1573"/>
      <c r="I98" s="1581"/>
      <c r="J98" s="1581"/>
      <c r="K98" s="1680">
        <f t="shared" si="12"/>
        <v>0</v>
      </c>
      <c r="L98" s="1625">
        <v>0</v>
      </c>
    </row>
    <row r="99" spans="1:14" ht="14.25" thickTop="1" thickBot="1" x14ac:dyDescent="0.25">
      <c r="A99" s="1282" t="s">
        <v>364</v>
      </c>
      <c r="B99" s="519">
        <v>4390</v>
      </c>
      <c r="C99" s="1672"/>
      <c r="D99" s="1672"/>
      <c r="E99" s="1627">
        <v>15292</v>
      </c>
      <c r="F99" s="1672"/>
      <c r="G99" s="1672"/>
      <c r="H99" s="1573"/>
      <c r="I99" s="1581"/>
      <c r="J99" s="1581"/>
      <c r="K99" s="1680">
        <f>SUM(E99,H99)</f>
        <v>15292</v>
      </c>
      <c r="L99" s="1625">
        <v>0</v>
      </c>
    </row>
    <row r="100" spans="1:14" ht="14.25" thickTop="1" thickBot="1" x14ac:dyDescent="0.25">
      <c r="A100" s="1385" t="s">
        <v>1469</v>
      </c>
      <c r="B100" s="1386">
        <v>4300</v>
      </c>
      <c r="C100" s="1672"/>
      <c r="D100" s="1672"/>
      <c r="E100" s="1680">
        <f>SUM(E93:E99)</f>
        <v>15292</v>
      </c>
      <c r="F100" s="1672"/>
      <c r="G100" s="1672"/>
      <c r="H100" s="1680">
        <f>SUM(H93:H99)</f>
        <v>0</v>
      </c>
      <c r="I100" s="1581"/>
      <c r="J100" s="1581"/>
      <c r="K100" s="1680">
        <f>SUM(K93:K99)</f>
        <v>15292</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v>0</v>
      </c>
    </row>
    <row r="102" spans="1:14" ht="12.75" customHeight="1" thickTop="1" thickBot="1" x14ac:dyDescent="0.25">
      <c r="A102" s="1379" t="s">
        <v>1470</v>
      </c>
      <c r="B102" s="1384">
        <v>4000</v>
      </c>
      <c r="C102" s="1672"/>
      <c r="D102" s="1672"/>
      <c r="E102" s="1680">
        <f>SUM(E84,E92,E100,E101)</f>
        <v>177636</v>
      </c>
      <c r="F102" s="1672"/>
      <c r="G102" s="1672"/>
      <c r="H102" s="1680">
        <f>SUM(H84,H92,H100,H101)</f>
        <v>1376740</v>
      </c>
      <c r="I102" s="1581"/>
      <c r="J102" s="1581"/>
      <c r="K102" s="1680">
        <f>SUM(K84,K92,K100,K101)</f>
        <v>1554376</v>
      </c>
      <c r="L102" s="1680">
        <f>SUM(L84,L92,L100,L101)</f>
        <v>1399340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v>0</v>
      </c>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v>0</v>
      </c>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v>0</v>
      </c>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v>0</v>
      </c>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v>0</v>
      </c>
      <c r="M113" s="502"/>
      <c r="N113" s="502"/>
    </row>
    <row r="114" spans="1:14" ht="12.75" customHeight="1" thickTop="1" thickBot="1" x14ac:dyDescent="0.25">
      <c r="A114" s="1379" t="s">
        <v>48</v>
      </c>
      <c r="B114" s="1387"/>
      <c r="C114" s="1673">
        <f>SUM(C33,C74,C75,C102,C112,C113)</f>
        <v>40175099</v>
      </c>
      <c r="D114" s="1673">
        <f t="shared" ref="D114:K114" si="13">SUM(D33,D74,D75,D102,D112,D113)</f>
        <v>8903426</v>
      </c>
      <c r="E114" s="1673">
        <f t="shared" si="13"/>
        <v>3730684</v>
      </c>
      <c r="F114" s="1673">
        <f t="shared" si="13"/>
        <v>4747587</v>
      </c>
      <c r="G114" s="1673">
        <f t="shared" si="13"/>
        <v>718341</v>
      </c>
      <c r="H114" s="1673">
        <f>SUM(H33,H74,H75,H102,H112,H113)</f>
        <v>2340492</v>
      </c>
      <c r="I114" s="1673">
        <f t="shared" si="13"/>
        <v>1252178</v>
      </c>
      <c r="J114" s="1673">
        <f t="shared" si="13"/>
        <v>0</v>
      </c>
      <c r="K114" s="1673">
        <f t="shared" si="13"/>
        <v>61867807</v>
      </c>
      <c r="L114" s="1673">
        <f>SUM(L33,L74,L75,L102,L112,L113)</f>
        <v>64906669</v>
      </c>
    </row>
    <row r="115" spans="1:14" ht="13.5" thickTop="1" x14ac:dyDescent="0.2">
      <c r="A115" s="2354" t="s">
        <v>989</v>
      </c>
      <c r="B115" s="2355"/>
      <c r="C115" s="1674"/>
      <c r="D115" s="1674"/>
      <c r="E115" s="1674"/>
      <c r="F115" s="1674"/>
      <c r="G115" s="1674"/>
      <c r="H115" s="1674"/>
      <c r="I115" s="1674"/>
      <c r="J115" s="1674"/>
      <c r="K115" s="1688">
        <f>'Revenues 9-14'!C268-'Expenditures 15-22'!K114</f>
        <v>-1495303</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359" t="s">
        <v>293</v>
      </c>
      <c r="B117" s="2360"/>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1955</v>
      </c>
      <c r="B120" s="512" t="s">
        <v>711</v>
      </c>
      <c r="C120" s="1572"/>
      <c r="D120" s="1572"/>
      <c r="E120" s="1572"/>
      <c r="F120" s="1572"/>
      <c r="G120" s="1572"/>
      <c r="H120" s="1572"/>
      <c r="I120" s="1573"/>
      <c r="J120" s="1573"/>
      <c r="K120" s="1671">
        <f>SUM(C120:J120)</f>
        <v>0</v>
      </c>
      <c r="L120" s="1572">
        <v>0</v>
      </c>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v>0</v>
      </c>
    </row>
    <row r="123" spans="1:14" ht="14.25" thickTop="1" thickBot="1" x14ac:dyDescent="0.25">
      <c r="A123" s="1273" t="s">
        <v>4</v>
      </c>
      <c r="B123" s="503">
        <v>2530</v>
      </c>
      <c r="C123" s="1572"/>
      <c r="D123" s="1572"/>
      <c r="E123" s="1572">
        <v>257733</v>
      </c>
      <c r="F123" s="1572"/>
      <c r="G123" s="1572">
        <v>491866</v>
      </c>
      <c r="H123" s="1572"/>
      <c r="I123" s="1573"/>
      <c r="J123" s="1573"/>
      <c r="K123" s="1673">
        <f>SUM(C123:J123)</f>
        <v>749599</v>
      </c>
      <c r="L123" s="1572">
        <v>180000</v>
      </c>
    </row>
    <row r="124" spans="1:14" ht="14.25" thickTop="1" thickBot="1" x14ac:dyDescent="0.25">
      <c r="A124" s="1273" t="s">
        <v>195</v>
      </c>
      <c r="B124" s="503">
        <v>2540</v>
      </c>
      <c r="C124" s="1572">
        <v>1520091</v>
      </c>
      <c r="D124" s="1572">
        <v>267939</v>
      </c>
      <c r="E124" s="1572">
        <v>1490937</v>
      </c>
      <c r="F124" s="1572">
        <v>424347</v>
      </c>
      <c r="G124" s="1572">
        <v>470888</v>
      </c>
      <c r="H124" s="1572">
        <v>1009</v>
      </c>
      <c r="I124" s="1573">
        <v>96577</v>
      </c>
      <c r="J124" s="1573"/>
      <c r="K124" s="1673">
        <f>SUM(C124:J124)</f>
        <v>4271788</v>
      </c>
      <c r="L124" s="1572">
        <v>3921174</v>
      </c>
    </row>
    <row r="125" spans="1:14" ht="14.25" thickTop="1" thickBot="1" x14ac:dyDescent="0.25">
      <c r="A125" s="1273" t="s">
        <v>947</v>
      </c>
      <c r="B125" s="503">
        <v>2550</v>
      </c>
      <c r="C125" s="1572"/>
      <c r="D125" s="1572"/>
      <c r="E125" s="1572"/>
      <c r="F125" s="1572"/>
      <c r="G125" s="1572"/>
      <c r="H125" s="1572"/>
      <c r="I125" s="1573"/>
      <c r="J125" s="1573"/>
      <c r="K125" s="1673">
        <f>SUM(C125:J125)</f>
        <v>0</v>
      </c>
      <c r="L125" s="1572">
        <v>0</v>
      </c>
    </row>
    <row r="126" spans="1:14" ht="14.25" thickTop="1" thickBot="1" x14ac:dyDescent="0.25">
      <c r="A126" s="1273" t="s">
        <v>100</v>
      </c>
      <c r="B126" s="503">
        <v>2560</v>
      </c>
      <c r="C126" s="1693"/>
      <c r="D126" s="1693"/>
      <c r="E126" s="1693"/>
      <c r="F126" s="1693"/>
      <c r="G126" s="1572"/>
      <c r="H126" s="1693"/>
      <c r="I126" s="1578"/>
      <c r="J126" s="1672"/>
      <c r="K126" s="1673">
        <f>SUM(C126:J126)</f>
        <v>0</v>
      </c>
      <c r="L126" s="1572">
        <v>0</v>
      </c>
    </row>
    <row r="127" spans="1:14" ht="12.75" customHeight="1" thickTop="1" thickBot="1" x14ac:dyDescent="0.25">
      <c r="A127" s="1379" t="s">
        <v>714</v>
      </c>
      <c r="B127" s="1380" t="s">
        <v>35</v>
      </c>
      <c r="C127" s="1673">
        <f>SUM(C122:C126)</f>
        <v>1520091</v>
      </c>
      <c r="D127" s="1673">
        <f t="shared" ref="D127:L127" si="14">SUM(D122:D126)</f>
        <v>267939</v>
      </c>
      <c r="E127" s="1673">
        <f t="shared" si="14"/>
        <v>1748670</v>
      </c>
      <c r="F127" s="1673">
        <f t="shared" si="14"/>
        <v>424347</v>
      </c>
      <c r="G127" s="1673">
        <f t="shared" si="14"/>
        <v>962754</v>
      </c>
      <c r="H127" s="1673">
        <f t="shared" si="14"/>
        <v>1009</v>
      </c>
      <c r="I127" s="1673">
        <f t="shared" si="14"/>
        <v>96577</v>
      </c>
      <c r="J127" s="1673">
        <f t="shared" si="14"/>
        <v>0</v>
      </c>
      <c r="K127" s="1673">
        <f t="shared" si="14"/>
        <v>5021387</v>
      </c>
      <c r="L127" s="1673">
        <f t="shared" si="14"/>
        <v>4101174</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v>0</v>
      </c>
    </row>
    <row r="129" spans="1:14" ht="12.75" customHeight="1" thickBot="1" x14ac:dyDescent="0.25">
      <c r="A129" s="1388" t="s">
        <v>806</v>
      </c>
      <c r="B129" s="1389" t="s">
        <v>565</v>
      </c>
      <c r="C129" s="1680">
        <f>SUM(C120,C127,C128)</f>
        <v>1520091</v>
      </c>
      <c r="D129" s="1680">
        <f t="shared" ref="D129:L129" si="15">SUM(D120,D127,D128)</f>
        <v>267939</v>
      </c>
      <c r="E129" s="1680">
        <f t="shared" si="15"/>
        <v>1748670</v>
      </c>
      <c r="F129" s="1680">
        <f t="shared" si="15"/>
        <v>424347</v>
      </c>
      <c r="G129" s="1680">
        <f t="shared" si="15"/>
        <v>962754</v>
      </c>
      <c r="H129" s="1680">
        <f t="shared" si="15"/>
        <v>1009</v>
      </c>
      <c r="I129" s="1680">
        <f t="shared" si="15"/>
        <v>96577</v>
      </c>
      <c r="J129" s="1680">
        <f t="shared" si="15"/>
        <v>0</v>
      </c>
      <c r="K129" s="1680">
        <f t="shared" si="15"/>
        <v>5021387</v>
      </c>
      <c r="L129" s="1680">
        <f t="shared" si="15"/>
        <v>4101174</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v>0</v>
      </c>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1808</v>
      </c>
      <c r="C133" s="1574"/>
      <c r="D133" s="1574"/>
      <c r="E133" s="1684"/>
      <c r="F133" s="1574"/>
      <c r="G133" s="1574"/>
      <c r="H133" s="1684"/>
      <c r="I133" s="1574"/>
      <c r="J133" s="1574"/>
      <c r="K133" s="1696">
        <f>SUM(E133,H133)</f>
        <v>0</v>
      </c>
      <c r="L133" s="1684">
        <v>0</v>
      </c>
      <c r="M133" s="201"/>
      <c r="N133" s="201"/>
    </row>
    <row r="134" spans="1:14" x14ac:dyDescent="0.2">
      <c r="A134" s="1273" t="s">
        <v>301</v>
      </c>
      <c r="B134" s="503">
        <v>4120</v>
      </c>
      <c r="C134" s="1672"/>
      <c r="D134" s="1672"/>
      <c r="E134" s="1582"/>
      <c r="F134" s="1672"/>
      <c r="G134" s="1672"/>
      <c r="H134" s="1585"/>
      <c r="I134" s="1581"/>
      <c r="J134" s="1672"/>
      <c r="K134" s="1677">
        <f>SUM(E134,H134)</f>
        <v>0</v>
      </c>
      <c r="L134" s="1585">
        <v>0</v>
      </c>
    </row>
    <row r="135" spans="1:14" x14ac:dyDescent="0.2">
      <c r="A135" s="1273" t="s">
        <v>692</v>
      </c>
      <c r="B135" s="503">
        <v>4140</v>
      </c>
      <c r="C135" s="1672"/>
      <c r="D135" s="1672"/>
      <c r="E135" s="1573"/>
      <c r="F135" s="1672"/>
      <c r="G135" s="1672"/>
      <c r="H135" s="1572"/>
      <c r="I135" s="1581"/>
      <c r="J135" s="1672"/>
      <c r="K135" s="1677">
        <f>SUM(E135,H135)</f>
        <v>0</v>
      </c>
      <c r="L135" s="1572">
        <v>0</v>
      </c>
    </row>
    <row r="136" spans="1:14" x14ac:dyDescent="0.2">
      <c r="A136" s="1277" t="s">
        <v>693</v>
      </c>
      <c r="B136" s="512">
        <v>4190</v>
      </c>
      <c r="C136" s="1672"/>
      <c r="D136" s="1672"/>
      <c r="E136" s="1573"/>
      <c r="F136" s="1672"/>
      <c r="G136" s="1672"/>
      <c r="H136" s="1572"/>
      <c r="I136" s="1581"/>
      <c r="J136" s="1672"/>
      <c r="K136" s="1677">
        <f>SUM(E136,H136)</f>
        <v>0</v>
      </c>
      <c r="L136" s="1572">
        <v>0</v>
      </c>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v>0</v>
      </c>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v>0</v>
      </c>
    </row>
    <row r="143" spans="1:14" x14ac:dyDescent="0.2">
      <c r="A143" s="1273" t="s">
        <v>88</v>
      </c>
      <c r="B143" s="503">
        <v>5120</v>
      </c>
      <c r="C143" s="1672"/>
      <c r="D143" s="1672"/>
      <c r="E143" s="1672"/>
      <c r="F143" s="1672"/>
      <c r="G143" s="1672"/>
      <c r="H143" s="1572"/>
      <c r="I143" s="1574"/>
      <c r="J143" s="1672"/>
      <c r="K143" s="1677">
        <f>SUM(H143)</f>
        <v>0</v>
      </c>
      <c r="L143" s="1572">
        <v>0</v>
      </c>
    </row>
    <row r="144" spans="1:14" ht="12.75" customHeight="1" x14ac:dyDescent="0.2">
      <c r="A144" s="1273" t="s">
        <v>1160</v>
      </c>
      <c r="B144" s="512" t="s">
        <v>613</v>
      </c>
      <c r="C144" s="1672"/>
      <c r="D144" s="1672"/>
      <c r="E144" s="1672"/>
      <c r="F144" s="1672"/>
      <c r="G144" s="1672"/>
      <c r="H144" s="1572"/>
      <c r="I144" s="1574"/>
      <c r="J144" s="1672"/>
      <c r="K144" s="1677">
        <f>SUM(H144)</f>
        <v>0</v>
      </c>
      <c r="L144" s="1572">
        <v>0</v>
      </c>
    </row>
    <row r="145" spans="1:14" x14ac:dyDescent="0.2">
      <c r="A145" s="1273" t="s">
        <v>89</v>
      </c>
      <c r="B145" s="503" t="s">
        <v>585</v>
      </c>
      <c r="C145" s="1672"/>
      <c r="D145" s="1672"/>
      <c r="E145" s="1672"/>
      <c r="F145" s="1672"/>
      <c r="G145" s="1672"/>
      <c r="H145" s="1572"/>
      <c r="I145" s="1574"/>
      <c r="J145" s="1672"/>
      <c r="K145" s="1677">
        <f>SUM(H145)</f>
        <v>0</v>
      </c>
      <c r="L145" s="1572">
        <v>0</v>
      </c>
    </row>
    <row r="146" spans="1:14" ht="12.75" customHeight="1" x14ac:dyDescent="0.2">
      <c r="A146" s="1273" t="s">
        <v>615</v>
      </c>
      <c r="B146" s="503" t="s">
        <v>614</v>
      </c>
      <c r="C146" s="1672"/>
      <c r="D146" s="1672"/>
      <c r="E146" s="1672"/>
      <c r="F146" s="1672"/>
      <c r="G146" s="1672"/>
      <c r="H146" s="1572"/>
      <c r="I146" s="1574"/>
      <c r="J146" s="1672"/>
      <c r="K146" s="1677">
        <f>SUM(H146)</f>
        <v>0</v>
      </c>
      <c r="L146" s="1572">
        <v>0</v>
      </c>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v>0</v>
      </c>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v>0</v>
      </c>
    </row>
    <row r="151" spans="1:14" ht="12.75" customHeight="1" thickTop="1" thickBot="1" x14ac:dyDescent="0.25">
      <c r="A151" s="2371" t="s">
        <v>616</v>
      </c>
      <c r="B151" s="2351"/>
      <c r="C151" s="1673">
        <f>SUM(C129,C130,C139,C149,C150)</f>
        <v>1520091</v>
      </c>
      <c r="D151" s="1673">
        <f t="shared" ref="D151:K151" si="16">SUM(D129,D130,D139,D149,D150)</f>
        <v>267939</v>
      </c>
      <c r="E151" s="1673">
        <f t="shared" si="16"/>
        <v>1748670</v>
      </c>
      <c r="F151" s="1673">
        <f t="shared" si="16"/>
        <v>424347</v>
      </c>
      <c r="G151" s="1673">
        <f t="shared" si="16"/>
        <v>962754</v>
      </c>
      <c r="H151" s="1673">
        <f t="shared" si="16"/>
        <v>1009</v>
      </c>
      <c r="I151" s="1673">
        <f t="shared" si="16"/>
        <v>96577</v>
      </c>
      <c r="J151" s="1673">
        <f t="shared" si="16"/>
        <v>0</v>
      </c>
      <c r="K151" s="1673">
        <f t="shared" si="16"/>
        <v>5021387</v>
      </c>
      <c r="L151" s="1673">
        <f>SUM(L129,L130,L139,L149,L150)</f>
        <v>4101174</v>
      </c>
    </row>
    <row r="152" spans="1:14" ht="12.75" customHeight="1" thickTop="1" x14ac:dyDescent="0.2">
      <c r="A152" s="2374" t="s">
        <v>1168</v>
      </c>
      <c r="B152" s="2375"/>
      <c r="C152" s="1674"/>
      <c r="D152" s="1674"/>
      <c r="E152" s="1674"/>
      <c r="F152" s="1674"/>
      <c r="G152" s="1674"/>
      <c r="H152" s="1674"/>
      <c r="I152" s="1674"/>
      <c r="J152" s="1672"/>
      <c r="K152" s="1688">
        <f>'Revenues 9-14'!D268-'Expenditures 15-22'!K151</f>
        <v>280746</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359" t="s">
        <v>617</v>
      </c>
      <c r="B154" s="2361"/>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1809</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1808</v>
      </c>
      <c r="C157" s="1672"/>
      <c r="D157" s="1672"/>
      <c r="E157" s="1672"/>
      <c r="F157" s="1672"/>
      <c r="G157" s="1672"/>
      <c r="H157" s="1684"/>
      <c r="I157" s="1672"/>
      <c r="J157" s="1672"/>
      <c r="K157" s="1671">
        <f>H157</f>
        <v>0</v>
      </c>
      <c r="L157" s="1573">
        <v>0</v>
      </c>
      <c r="M157" s="505"/>
      <c r="N157" s="505"/>
    </row>
    <row r="158" spans="1:14" s="506" customFormat="1" ht="12" x14ac:dyDescent="0.2">
      <c r="A158" s="1461" t="s">
        <v>301</v>
      </c>
      <c r="B158" s="1462" t="s">
        <v>1810</v>
      </c>
      <c r="C158" s="1672"/>
      <c r="D158" s="1672"/>
      <c r="E158" s="1672"/>
      <c r="F158" s="1672"/>
      <c r="G158" s="1672"/>
      <c r="H158" s="1573"/>
      <c r="I158" s="1672"/>
      <c r="J158" s="1672"/>
      <c r="K158" s="1671">
        <f>H158</f>
        <v>0</v>
      </c>
      <c r="L158" s="1573">
        <v>0</v>
      </c>
      <c r="M158" s="505"/>
      <c r="N158" s="505"/>
    </row>
    <row r="159" spans="1:14" s="506" customFormat="1" ht="12" x14ac:dyDescent="0.2">
      <c r="A159" s="1461" t="s">
        <v>1811</v>
      </c>
      <c r="B159" s="1462" t="s">
        <v>554</v>
      </c>
      <c r="C159" s="1672"/>
      <c r="D159" s="1672"/>
      <c r="E159" s="1672"/>
      <c r="F159" s="1672"/>
      <c r="G159" s="1672"/>
      <c r="H159" s="1573"/>
      <c r="I159" s="1672"/>
      <c r="J159" s="1672"/>
      <c r="K159" s="1671">
        <f>H159</f>
        <v>0</v>
      </c>
      <c r="L159" s="1573">
        <v>0</v>
      </c>
      <c r="M159" s="505"/>
      <c r="N159" s="505"/>
    </row>
    <row r="160" spans="1:14" s="506" customFormat="1" ht="15.75" customHeight="1" thickBot="1" x14ac:dyDescent="0.25">
      <c r="A160" s="1463" t="s">
        <v>1812</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v>0</v>
      </c>
    </row>
    <row r="164" spans="1:14" x14ac:dyDescent="0.2">
      <c r="A164" s="1273" t="s">
        <v>88</v>
      </c>
      <c r="B164" s="503">
        <v>5120</v>
      </c>
      <c r="C164" s="1672"/>
      <c r="D164" s="1672"/>
      <c r="E164" s="1672"/>
      <c r="F164" s="1672"/>
      <c r="G164" s="1672"/>
      <c r="H164" s="1572"/>
      <c r="I164" s="1672"/>
      <c r="J164" s="1672"/>
      <c r="K164" s="1671">
        <f>SUM(C164:J164)</f>
        <v>0</v>
      </c>
      <c r="L164" s="1572">
        <v>0</v>
      </c>
    </row>
    <row r="165" spans="1:14" ht="12.75" customHeight="1" x14ac:dyDescent="0.2">
      <c r="A165" s="1273" t="s">
        <v>1160</v>
      </c>
      <c r="B165" s="503" t="s">
        <v>613</v>
      </c>
      <c r="C165" s="1672"/>
      <c r="D165" s="1672"/>
      <c r="E165" s="1672"/>
      <c r="F165" s="1672"/>
      <c r="G165" s="1672"/>
      <c r="H165" s="1572"/>
      <c r="I165" s="1672"/>
      <c r="J165" s="1672"/>
      <c r="K165" s="1671">
        <f>SUM(C165:J165)</f>
        <v>0</v>
      </c>
      <c r="L165" s="1572">
        <v>0</v>
      </c>
    </row>
    <row r="166" spans="1:14" x14ac:dyDescent="0.2">
      <c r="A166" s="1273" t="s">
        <v>89</v>
      </c>
      <c r="B166" s="512" t="s">
        <v>585</v>
      </c>
      <c r="C166" s="1672"/>
      <c r="D166" s="1672"/>
      <c r="E166" s="1672"/>
      <c r="F166" s="1672"/>
      <c r="G166" s="1672"/>
      <c r="H166" s="1572"/>
      <c r="I166" s="1672"/>
      <c r="J166" s="1672"/>
      <c r="K166" s="1671">
        <f>SUM(C166:J166)</f>
        <v>0</v>
      </c>
      <c r="L166" s="1572">
        <v>0</v>
      </c>
    </row>
    <row r="167" spans="1:14" ht="12.75" customHeight="1" x14ac:dyDescent="0.2">
      <c r="A167" s="1273" t="s">
        <v>615</v>
      </c>
      <c r="B167" s="503" t="s">
        <v>614</v>
      </c>
      <c r="C167" s="1672"/>
      <c r="D167" s="1672"/>
      <c r="E167" s="1672"/>
      <c r="F167" s="1672"/>
      <c r="G167" s="1672"/>
      <c r="H167" s="1572"/>
      <c r="I167" s="1672"/>
      <c r="J167" s="1672"/>
      <c r="K167" s="1671">
        <f>SUM(C167:J167)</f>
        <v>0</v>
      </c>
      <c r="L167" s="1572">
        <v>0</v>
      </c>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1471277</v>
      </c>
      <c r="I169" s="1672"/>
      <c r="J169" s="1672"/>
      <c r="K169" s="1671">
        <f>SUM(C169:H169)</f>
        <v>1471277</v>
      </c>
      <c r="L169" s="1694">
        <v>1437805</v>
      </c>
    </row>
    <row r="170" spans="1:14" ht="33.75" customHeight="1" x14ac:dyDescent="0.2">
      <c r="A170" s="543" t="s">
        <v>1651</v>
      </c>
      <c r="B170" s="545" t="s">
        <v>31</v>
      </c>
      <c r="C170" s="1672"/>
      <c r="D170" s="1672"/>
      <c r="E170" s="1672"/>
      <c r="F170" s="1672"/>
      <c r="G170" s="1672"/>
      <c r="H170" s="1645">
        <v>2279197</v>
      </c>
      <c r="I170" s="1672"/>
      <c r="J170" s="1672"/>
      <c r="K170" s="1671">
        <f>SUM(C170:J170)</f>
        <v>2279197</v>
      </c>
      <c r="L170" s="1645">
        <v>1230000</v>
      </c>
    </row>
    <row r="171" spans="1:14" ht="15.75" customHeight="1" x14ac:dyDescent="0.2">
      <c r="A171" s="507" t="s">
        <v>761</v>
      </c>
      <c r="B171" s="546" t="s">
        <v>84</v>
      </c>
      <c r="C171" s="1672"/>
      <c r="D171" s="1672"/>
      <c r="E171" s="1572">
        <v>1400</v>
      </c>
      <c r="F171" s="1672"/>
      <c r="G171" s="1672"/>
      <c r="H171" s="1645"/>
      <c r="I171" s="1581"/>
      <c r="J171" s="1672"/>
      <c r="K171" s="1671">
        <f>SUM(C171:J171)</f>
        <v>1400</v>
      </c>
      <c r="L171" s="1645">
        <v>2250</v>
      </c>
    </row>
    <row r="172" spans="1:14" ht="12.75" customHeight="1" thickBot="1" x14ac:dyDescent="0.25">
      <c r="A172" s="1379" t="s">
        <v>633</v>
      </c>
      <c r="B172" s="1380" t="s">
        <v>489</v>
      </c>
      <c r="C172" s="1672"/>
      <c r="D172" s="1672"/>
      <c r="E172" s="1680">
        <f>SUM(E168,E169,E170,E171)</f>
        <v>1400</v>
      </c>
      <c r="F172" s="1672"/>
      <c r="G172" s="1672"/>
      <c r="H172" s="1680">
        <f>SUM(H168,H169,H170,H171)</f>
        <v>3750474</v>
      </c>
      <c r="I172" s="1683"/>
      <c r="J172" s="1672"/>
      <c r="K172" s="1680">
        <f>SUM(K168,K169,K170,K171)</f>
        <v>3751874</v>
      </c>
      <c r="L172" s="1680">
        <f>SUM(L168,L169,L170,L171)</f>
        <v>2670055</v>
      </c>
    </row>
    <row r="173" spans="1:14" ht="15.75" customHeight="1" thickTop="1" thickBot="1" x14ac:dyDescent="0.25">
      <c r="A173" s="1356" t="s">
        <v>85</v>
      </c>
      <c r="B173" s="1348" t="s">
        <v>856</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1400</v>
      </c>
      <c r="F174" s="1672"/>
      <c r="G174" s="1672"/>
      <c r="H174" s="1680">
        <f>SUM(H160,H172,H173)</f>
        <v>3750474</v>
      </c>
      <c r="I174" s="1683"/>
      <c r="J174" s="1672"/>
      <c r="K174" s="1680">
        <f>SUM(K160,K172,K173)</f>
        <v>3751874</v>
      </c>
      <c r="L174" s="1680">
        <f>SUM(L160,L172,L173)</f>
        <v>2670055</v>
      </c>
    </row>
    <row r="175" spans="1:14" ht="13.5" thickTop="1" x14ac:dyDescent="0.2">
      <c r="A175" s="2354" t="s">
        <v>989</v>
      </c>
      <c r="B175" s="2355"/>
      <c r="C175" s="1672"/>
      <c r="D175" s="1672"/>
      <c r="E175" s="1672"/>
      <c r="F175" s="1672"/>
      <c r="G175" s="1672"/>
      <c r="H175" s="1674"/>
      <c r="I175" s="1672"/>
      <c r="J175" s="1672"/>
      <c r="K175" s="1688">
        <f>'Revenues 9-14'!E268-'Expenditures 15-22'!K174</f>
        <v>-984906</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1955</v>
      </c>
      <c r="B180" s="503" t="s">
        <v>711</v>
      </c>
      <c r="C180" s="1572">
        <v>63299</v>
      </c>
      <c r="D180" s="1572">
        <v>1418</v>
      </c>
      <c r="E180" s="1572"/>
      <c r="F180" s="1572"/>
      <c r="G180" s="1572"/>
      <c r="H180" s="1572"/>
      <c r="I180" s="1573"/>
      <c r="J180" s="1573"/>
      <c r="K180" s="1671">
        <f>SUM(C180:J180)</f>
        <v>64717</v>
      </c>
      <c r="L180" s="1572">
        <v>0</v>
      </c>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44128</v>
      </c>
      <c r="D182" s="1572">
        <v>8650</v>
      </c>
      <c r="E182" s="1572">
        <v>2900411</v>
      </c>
      <c r="F182" s="1572">
        <v>259652</v>
      </c>
      <c r="G182" s="1572"/>
      <c r="H182" s="1572"/>
      <c r="I182" s="1573"/>
      <c r="J182" s="1573"/>
      <c r="K182" s="1671">
        <f>SUM(C182:J182)</f>
        <v>3212841</v>
      </c>
      <c r="L182" s="1572">
        <v>4653474</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v>0</v>
      </c>
    </row>
    <row r="184" spans="1:14" ht="12.75" customHeight="1" thickTop="1" thickBot="1" x14ac:dyDescent="0.25">
      <c r="A184" s="1392" t="s">
        <v>806</v>
      </c>
      <c r="B184" s="1380" t="s">
        <v>565</v>
      </c>
      <c r="C184" s="1680">
        <f>SUM(C180,C182,C183)</f>
        <v>107427</v>
      </c>
      <c r="D184" s="1680">
        <f t="shared" ref="D184:J184" si="17">SUM(D180,D182,D183)</f>
        <v>10068</v>
      </c>
      <c r="E184" s="1680">
        <f t="shared" si="17"/>
        <v>2900411</v>
      </c>
      <c r="F184" s="1680">
        <f t="shared" si="17"/>
        <v>259652</v>
      </c>
      <c r="G184" s="1680">
        <f t="shared" si="17"/>
        <v>0</v>
      </c>
      <c r="H184" s="1680">
        <f t="shared" si="17"/>
        <v>0</v>
      </c>
      <c r="I184" s="1680">
        <f t="shared" si="17"/>
        <v>0</v>
      </c>
      <c r="J184" s="1680">
        <f t="shared" si="17"/>
        <v>0</v>
      </c>
      <c r="K184" s="1680">
        <f>SUM(K180,K182,K183)</f>
        <v>3277558</v>
      </c>
      <c r="L184" s="1680">
        <f>SUM(L180, L182:L183)</f>
        <v>4653474</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v>0</v>
      </c>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v>0</v>
      </c>
    </row>
    <row r="189" spans="1:14" x14ac:dyDescent="0.2">
      <c r="A189" s="1273" t="s">
        <v>301</v>
      </c>
      <c r="B189" s="503">
        <v>4120</v>
      </c>
      <c r="C189" s="1672"/>
      <c r="D189" s="1672"/>
      <c r="E189" s="1572"/>
      <c r="F189" s="1672"/>
      <c r="G189" s="1672"/>
      <c r="H189" s="1572"/>
      <c r="I189" s="1581"/>
      <c r="J189" s="1672"/>
      <c r="K189" s="1671">
        <f t="shared" si="18"/>
        <v>0</v>
      </c>
      <c r="L189" s="1572">
        <v>0</v>
      </c>
    </row>
    <row r="190" spans="1:14" x14ac:dyDescent="0.2">
      <c r="A190" s="1273" t="s">
        <v>302</v>
      </c>
      <c r="B190" s="512">
        <v>4130</v>
      </c>
      <c r="C190" s="1672"/>
      <c r="D190" s="1672"/>
      <c r="E190" s="1572"/>
      <c r="F190" s="1672"/>
      <c r="G190" s="1672"/>
      <c r="H190" s="1572"/>
      <c r="I190" s="1581"/>
      <c r="J190" s="1672"/>
      <c r="K190" s="1671">
        <f t="shared" si="18"/>
        <v>0</v>
      </c>
      <c r="L190" s="1572">
        <v>0</v>
      </c>
    </row>
    <row r="191" spans="1:14" x14ac:dyDescent="0.2">
      <c r="A191" s="1273" t="s">
        <v>692</v>
      </c>
      <c r="B191" s="503">
        <v>4140</v>
      </c>
      <c r="C191" s="1672"/>
      <c r="D191" s="1672"/>
      <c r="E191" s="1572"/>
      <c r="F191" s="1672"/>
      <c r="G191" s="1672"/>
      <c r="H191" s="1572"/>
      <c r="I191" s="1581"/>
      <c r="J191" s="1672"/>
      <c r="K191" s="1671">
        <f t="shared" si="18"/>
        <v>0</v>
      </c>
      <c r="L191" s="1572">
        <v>0</v>
      </c>
    </row>
    <row r="192" spans="1:14" x14ac:dyDescent="0.2">
      <c r="A192" s="1273" t="s">
        <v>86</v>
      </c>
      <c r="B192" s="503">
        <v>4170</v>
      </c>
      <c r="C192" s="1672"/>
      <c r="D192" s="1672"/>
      <c r="E192" s="1572"/>
      <c r="F192" s="1672"/>
      <c r="G192" s="1672"/>
      <c r="H192" s="1572"/>
      <c r="I192" s="1581"/>
      <c r="J192" s="1672"/>
      <c r="K192" s="1671">
        <f t="shared" si="18"/>
        <v>0</v>
      </c>
      <c r="L192" s="1572">
        <v>0</v>
      </c>
    </row>
    <row r="193" spans="1:14" x14ac:dyDescent="0.2">
      <c r="A193" s="1277" t="s">
        <v>693</v>
      </c>
      <c r="B193" s="512">
        <v>4190</v>
      </c>
      <c r="C193" s="1672"/>
      <c r="D193" s="1672"/>
      <c r="E193" s="1572"/>
      <c r="F193" s="1672"/>
      <c r="G193" s="1672"/>
      <c r="H193" s="1572"/>
      <c r="I193" s="1581"/>
      <c r="J193" s="1672"/>
      <c r="K193" s="1671">
        <f t="shared" si="18"/>
        <v>0</v>
      </c>
      <c r="L193" s="1572">
        <v>0</v>
      </c>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v>0</v>
      </c>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v>0</v>
      </c>
    </row>
    <row r="200" spans="1:14" x14ac:dyDescent="0.2">
      <c r="A200" s="1273" t="s">
        <v>88</v>
      </c>
      <c r="B200" s="503">
        <v>5120</v>
      </c>
      <c r="C200" s="1672"/>
      <c r="D200" s="1672"/>
      <c r="E200" s="1672"/>
      <c r="F200" s="1672"/>
      <c r="G200" s="1672"/>
      <c r="H200" s="1572"/>
      <c r="I200" s="1672"/>
      <c r="J200" s="1672"/>
      <c r="K200" s="1671">
        <f>SUM(H200)</f>
        <v>0</v>
      </c>
      <c r="L200" s="1572">
        <v>0</v>
      </c>
    </row>
    <row r="201" spans="1:14" ht="12.75" customHeight="1" x14ac:dyDescent="0.2">
      <c r="A201" s="1273" t="s">
        <v>1160</v>
      </c>
      <c r="B201" s="512" t="s">
        <v>613</v>
      </c>
      <c r="C201" s="1672"/>
      <c r="D201" s="1672"/>
      <c r="E201" s="1672"/>
      <c r="F201" s="1672"/>
      <c r="G201" s="1672"/>
      <c r="H201" s="1572"/>
      <c r="I201" s="1672"/>
      <c r="J201" s="1672"/>
      <c r="K201" s="1671">
        <f>SUM(H201)</f>
        <v>0</v>
      </c>
      <c r="L201" s="1572">
        <v>0</v>
      </c>
    </row>
    <row r="202" spans="1:14" x14ac:dyDescent="0.2">
      <c r="A202" s="1273" t="s">
        <v>89</v>
      </c>
      <c r="B202" s="503" t="s">
        <v>585</v>
      </c>
      <c r="C202" s="1672"/>
      <c r="D202" s="1672"/>
      <c r="E202" s="1672"/>
      <c r="F202" s="1672"/>
      <c r="G202" s="1672"/>
      <c r="H202" s="1572"/>
      <c r="I202" s="1672"/>
      <c r="J202" s="1672"/>
      <c r="K202" s="1671">
        <f>SUM(H202)</f>
        <v>0</v>
      </c>
      <c r="L202" s="1572">
        <v>0</v>
      </c>
    </row>
    <row r="203" spans="1:14" x14ac:dyDescent="0.2">
      <c r="A203" s="1285" t="s">
        <v>615</v>
      </c>
      <c r="B203" s="503" t="s">
        <v>614</v>
      </c>
      <c r="C203" s="1672"/>
      <c r="D203" s="1672"/>
      <c r="E203" s="1672"/>
      <c r="F203" s="1672"/>
      <c r="G203" s="1672"/>
      <c r="H203" s="1576"/>
      <c r="I203" s="1672"/>
      <c r="J203" s="1672"/>
      <c r="K203" s="1671">
        <f>SUM(H203)</f>
        <v>0</v>
      </c>
      <c r="L203" s="1576">
        <v>0</v>
      </c>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v>0</v>
      </c>
    </row>
    <row r="206" spans="1:14" ht="30" customHeight="1" x14ac:dyDescent="0.2">
      <c r="A206" s="555" t="s">
        <v>1652</v>
      </c>
      <c r="B206" s="546" t="s">
        <v>31</v>
      </c>
      <c r="C206" s="1672"/>
      <c r="D206" s="1672"/>
      <c r="E206" s="1672"/>
      <c r="F206" s="1672"/>
      <c r="G206" s="1672"/>
      <c r="H206" s="1572"/>
      <c r="I206" s="1672"/>
      <c r="J206" s="1672"/>
      <c r="K206" s="1671">
        <f>SUM(H206)</f>
        <v>0</v>
      </c>
      <c r="L206" s="1572">
        <v>0</v>
      </c>
    </row>
    <row r="207" spans="1:14" ht="15.75" customHeight="1" x14ac:dyDescent="0.2">
      <c r="A207" s="507" t="s">
        <v>761</v>
      </c>
      <c r="B207" s="546" t="s">
        <v>84</v>
      </c>
      <c r="C207" s="1672"/>
      <c r="D207" s="1672"/>
      <c r="E207" s="1672"/>
      <c r="F207" s="1672"/>
      <c r="G207" s="1672"/>
      <c r="H207" s="1573"/>
      <c r="I207" s="1672"/>
      <c r="J207" s="1672"/>
      <c r="K207" s="1671">
        <f>H207</f>
        <v>0</v>
      </c>
      <c r="L207" s="1572">
        <v>0</v>
      </c>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v>0</v>
      </c>
    </row>
    <row r="210" spans="1:14" ht="12.75" customHeight="1" thickTop="1" thickBot="1" x14ac:dyDescent="0.25">
      <c r="A210" s="1393" t="s">
        <v>275</v>
      </c>
      <c r="B210" s="1394"/>
      <c r="C210" s="1673">
        <f>SUM(C184,C185)</f>
        <v>107427</v>
      </c>
      <c r="D210" s="1673">
        <f>SUM(D184,D185)</f>
        <v>10068</v>
      </c>
      <c r="E210" s="1673">
        <f>SUM(E184,E185,E196)</f>
        <v>2900411</v>
      </c>
      <c r="F210" s="1673">
        <f>SUM(F184,F185)</f>
        <v>259652</v>
      </c>
      <c r="G210" s="1673">
        <f>SUM(G184,G185)</f>
        <v>0</v>
      </c>
      <c r="H210" s="1673">
        <f>SUM(H184,H185,H196,H208,H209)</f>
        <v>0</v>
      </c>
      <c r="I210" s="1673">
        <f>SUM(I184,I185)</f>
        <v>0</v>
      </c>
      <c r="J210" s="1673">
        <f>SUM(J184,J185)</f>
        <v>0</v>
      </c>
      <c r="K210" s="1671">
        <f>SUM(K184,K185,K196,K208,K209)</f>
        <v>3277558</v>
      </c>
      <c r="L210" s="1673">
        <f>SUM(L184,L185,L196,L208,L209)</f>
        <v>4653474</v>
      </c>
    </row>
    <row r="211" spans="1:14" ht="13.5" thickTop="1" x14ac:dyDescent="0.2">
      <c r="A211" s="2354" t="s">
        <v>989</v>
      </c>
      <c r="B211" s="2355"/>
      <c r="C211" s="1674"/>
      <c r="D211" s="1674"/>
      <c r="E211" s="1674"/>
      <c r="F211" s="1674"/>
      <c r="G211" s="1674"/>
      <c r="H211" s="1674"/>
      <c r="I211" s="1672"/>
      <c r="J211" s="1672"/>
      <c r="K211" s="1688">
        <f>'Revenues 9-14'!F268-'Expenditures 15-22'!K210</f>
        <v>2300124</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376" t="s">
        <v>959</v>
      </c>
      <c r="B213" s="2377"/>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498237</v>
      </c>
      <c r="E215" s="1672"/>
      <c r="F215" s="1672"/>
      <c r="G215" s="1672"/>
      <c r="H215" s="1672"/>
      <c r="I215" s="1672"/>
      <c r="J215" s="1672"/>
      <c r="K215" s="1671">
        <f>D215</f>
        <v>498237</v>
      </c>
      <c r="L215" s="1572">
        <v>469170</v>
      </c>
    </row>
    <row r="216" spans="1:14" x14ac:dyDescent="0.2">
      <c r="A216" s="1273" t="s">
        <v>162</v>
      </c>
      <c r="B216" s="503" t="s">
        <v>961</v>
      </c>
      <c r="C216" s="1672"/>
      <c r="D216" s="1573">
        <v>44395</v>
      </c>
      <c r="E216" s="1672"/>
      <c r="F216" s="1672"/>
      <c r="G216" s="1672"/>
      <c r="H216" s="1672"/>
      <c r="I216" s="1672"/>
      <c r="J216" s="1672"/>
      <c r="K216" s="1671">
        <f t="shared" ref="K216:K228" si="19">D216</f>
        <v>44395</v>
      </c>
      <c r="L216" s="1572">
        <v>53140</v>
      </c>
    </row>
    <row r="217" spans="1:14" x14ac:dyDescent="0.2">
      <c r="A217" s="1273" t="s">
        <v>163</v>
      </c>
      <c r="B217" s="503">
        <v>1200</v>
      </c>
      <c r="C217" s="1672"/>
      <c r="D217" s="1572">
        <v>393475</v>
      </c>
      <c r="E217" s="1672"/>
      <c r="F217" s="1672"/>
      <c r="G217" s="1672"/>
      <c r="H217" s="1672"/>
      <c r="I217" s="1672"/>
      <c r="J217" s="1672"/>
      <c r="K217" s="1671">
        <f t="shared" si="19"/>
        <v>393475</v>
      </c>
      <c r="L217" s="1572">
        <v>394386</v>
      </c>
    </row>
    <row r="218" spans="1:14" x14ac:dyDescent="0.2">
      <c r="A218" s="1273" t="s">
        <v>276</v>
      </c>
      <c r="B218" s="503" t="s">
        <v>962</v>
      </c>
      <c r="C218" s="1672"/>
      <c r="D218" s="1573"/>
      <c r="E218" s="1672"/>
      <c r="F218" s="1672"/>
      <c r="G218" s="1672"/>
      <c r="H218" s="1672"/>
      <c r="I218" s="1672"/>
      <c r="J218" s="1672"/>
      <c r="K218" s="1671">
        <f t="shared" si="19"/>
        <v>0</v>
      </c>
      <c r="L218" s="1572">
        <v>17097</v>
      </c>
    </row>
    <row r="219" spans="1:14" x14ac:dyDescent="0.2">
      <c r="A219" s="1273" t="s">
        <v>277</v>
      </c>
      <c r="B219" s="503">
        <v>1250</v>
      </c>
      <c r="C219" s="1672"/>
      <c r="D219" s="1572">
        <v>113249</v>
      </c>
      <c r="E219" s="1672"/>
      <c r="F219" s="1672"/>
      <c r="G219" s="1672"/>
      <c r="H219" s="1672"/>
      <c r="I219" s="1672"/>
      <c r="J219" s="1672"/>
      <c r="K219" s="1671">
        <f t="shared" si="19"/>
        <v>113249</v>
      </c>
      <c r="L219" s="1572">
        <v>100598</v>
      </c>
    </row>
    <row r="220" spans="1:14" x14ac:dyDescent="0.2">
      <c r="A220" s="1273" t="s">
        <v>278</v>
      </c>
      <c r="B220" s="503" t="s">
        <v>160</v>
      </c>
      <c r="C220" s="1672"/>
      <c r="D220" s="1573"/>
      <c r="E220" s="1672"/>
      <c r="F220" s="1672"/>
      <c r="G220" s="1672"/>
      <c r="H220" s="1672"/>
      <c r="I220" s="1672"/>
      <c r="J220" s="1672"/>
      <c r="K220" s="1671">
        <f t="shared" si="19"/>
        <v>0</v>
      </c>
      <c r="L220" s="1572">
        <v>0</v>
      </c>
    </row>
    <row r="221" spans="1:14" x14ac:dyDescent="0.2">
      <c r="A221" s="1273" t="s">
        <v>956</v>
      </c>
      <c r="B221" s="503">
        <v>1300</v>
      </c>
      <c r="C221" s="1672"/>
      <c r="D221" s="1572"/>
      <c r="E221" s="1672"/>
      <c r="F221" s="1672"/>
      <c r="G221" s="1672"/>
      <c r="H221" s="1672"/>
      <c r="I221" s="1672"/>
      <c r="J221" s="1672"/>
      <c r="K221" s="1671">
        <f t="shared" si="19"/>
        <v>0</v>
      </c>
      <c r="L221" s="1572">
        <v>0</v>
      </c>
    </row>
    <row r="222" spans="1:14" x14ac:dyDescent="0.2">
      <c r="A222" s="1273" t="s">
        <v>718</v>
      </c>
      <c r="B222" s="503">
        <v>1400</v>
      </c>
      <c r="C222" s="1672"/>
      <c r="D222" s="1572"/>
      <c r="E222" s="1672"/>
      <c r="F222" s="1672"/>
      <c r="G222" s="1672"/>
      <c r="H222" s="1672"/>
      <c r="I222" s="1672"/>
      <c r="J222" s="1672"/>
      <c r="K222" s="1671">
        <f t="shared" si="19"/>
        <v>0</v>
      </c>
      <c r="L222" s="1572">
        <v>0</v>
      </c>
    </row>
    <row r="223" spans="1:14" x14ac:dyDescent="0.2">
      <c r="A223" s="1273" t="s">
        <v>957</v>
      </c>
      <c r="B223" s="503">
        <v>1500</v>
      </c>
      <c r="C223" s="1672"/>
      <c r="D223" s="1572">
        <v>30622</v>
      </c>
      <c r="E223" s="1672"/>
      <c r="F223" s="1672"/>
      <c r="G223" s="1672"/>
      <c r="H223" s="1672"/>
      <c r="I223" s="1672"/>
      <c r="J223" s="1672"/>
      <c r="K223" s="1671">
        <f t="shared" si="19"/>
        <v>30622</v>
      </c>
      <c r="L223" s="1572">
        <v>24000</v>
      </c>
    </row>
    <row r="224" spans="1:14" x14ac:dyDescent="0.2">
      <c r="A224" s="1273" t="s">
        <v>958</v>
      </c>
      <c r="B224" s="503">
        <v>1600</v>
      </c>
      <c r="C224" s="1672"/>
      <c r="D224" s="1572">
        <v>4030</v>
      </c>
      <c r="E224" s="1672"/>
      <c r="F224" s="1672"/>
      <c r="G224" s="1672"/>
      <c r="H224" s="1672"/>
      <c r="I224" s="1672"/>
      <c r="J224" s="1672"/>
      <c r="K224" s="1671">
        <f t="shared" si="19"/>
        <v>4030</v>
      </c>
      <c r="L224" s="1572">
        <v>7062</v>
      </c>
    </row>
    <row r="225" spans="1:12" x14ac:dyDescent="0.2">
      <c r="A225" s="1273" t="s">
        <v>980</v>
      </c>
      <c r="B225" s="503">
        <v>1650</v>
      </c>
      <c r="C225" s="1672"/>
      <c r="D225" s="1572"/>
      <c r="E225" s="1672"/>
      <c r="F225" s="1672"/>
      <c r="G225" s="1672"/>
      <c r="H225" s="1672"/>
      <c r="I225" s="1672"/>
      <c r="J225" s="1672"/>
      <c r="K225" s="1671">
        <f t="shared" si="19"/>
        <v>0</v>
      </c>
      <c r="L225" s="1572">
        <v>0</v>
      </c>
    </row>
    <row r="226" spans="1:12" x14ac:dyDescent="0.2">
      <c r="A226" s="1273" t="s">
        <v>719</v>
      </c>
      <c r="B226" s="503" t="s">
        <v>161</v>
      </c>
      <c r="C226" s="1672"/>
      <c r="D226" s="1573">
        <v>549</v>
      </c>
      <c r="E226" s="1672"/>
      <c r="F226" s="1672"/>
      <c r="G226" s="1672"/>
      <c r="H226" s="1672"/>
      <c r="I226" s="1672"/>
      <c r="J226" s="1672"/>
      <c r="K226" s="1671">
        <f t="shared" si="19"/>
        <v>549</v>
      </c>
      <c r="L226" s="1572">
        <v>0</v>
      </c>
    </row>
    <row r="227" spans="1:12" x14ac:dyDescent="0.2">
      <c r="A227" s="1273" t="s">
        <v>1078</v>
      </c>
      <c r="B227" s="503">
        <v>1800</v>
      </c>
      <c r="C227" s="1672"/>
      <c r="D227" s="1572">
        <v>7815</v>
      </c>
      <c r="E227" s="1672"/>
      <c r="F227" s="1672"/>
      <c r="G227" s="1672"/>
      <c r="H227" s="1672"/>
      <c r="I227" s="1672"/>
      <c r="J227" s="1672"/>
      <c r="K227" s="1671">
        <f t="shared" si="19"/>
        <v>7815</v>
      </c>
      <c r="L227" s="1572">
        <v>0</v>
      </c>
    </row>
    <row r="228" spans="1:12" x14ac:dyDescent="0.2">
      <c r="A228" s="1273" t="s">
        <v>1079</v>
      </c>
      <c r="B228" s="503">
        <v>1900</v>
      </c>
      <c r="C228" s="1672"/>
      <c r="D228" s="1572">
        <v>786</v>
      </c>
      <c r="E228" s="1672"/>
      <c r="F228" s="1672"/>
      <c r="G228" s="1672"/>
      <c r="H228" s="1672"/>
      <c r="I228" s="1672"/>
      <c r="J228" s="1672"/>
      <c r="K228" s="1671">
        <f t="shared" si="19"/>
        <v>786</v>
      </c>
      <c r="L228" s="1572">
        <v>2120</v>
      </c>
    </row>
    <row r="229" spans="1:12" ht="12.75" customHeight="1" thickBot="1" x14ac:dyDescent="0.25">
      <c r="A229" s="1379" t="s">
        <v>710</v>
      </c>
      <c r="B229" s="1382" t="s">
        <v>566</v>
      </c>
      <c r="C229" s="1672"/>
      <c r="D229" s="1673">
        <f>SUM(D215:D228)</f>
        <v>1093158</v>
      </c>
      <c r="E229" s="1672"/>
      <c r="F229" s="1672"/>
      <c r="G229" s="1672"/>
      <c r="H229" s="1672"/>
      <c r="I229" s="1672"/>
      <c r="J229" s="1672"/>
      <c r="K229" s="1673">
        <f>SUM(K215:K228)</f>
        <v>1093158</v>
      </c>
      <c r="L229" s="1673">
        <f>SUM(L215:L228)</f>
        <v>1067573</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v>26557</v>
      </c>
      <c r="E232" s="1672"/>
      <c r="F232" s="1672"/>
      <c r="G232" s="1672"/>
      <c r="H232" s="1672"/>
      <c r="I232" s="1672"/>
      <c r="J232" s="1672"/>
      <c r="K232" s="1671">
        <f t="shared" ref="K232:K237" si="20">D232</f>
        <v>26557</v>
      </c>
      <c r="L232" s="1572">
        <v>16765</v>
      </c>
    </row>
    <row r="233" spans="1:12" x14ac:dyDescent="0.2">
      <c r="A233" s="1273" t="s">
        <v>1081</v>
      </c>
      <c r="B233" s="503">
        <v>2120</v>
      </c>
      <c r="C233" s="1672"/>
      <c r="D233" s="1572">
        <v>12844</v>
      </c>
      <c r="E233" s="1672"/>
      <c r="F233" s="1672"/>
      <c r="G233" s="1672"/>
      <c r="H233" s="1672"/>
      <c r="I233" s="1672"/>
      <c r="J233" s="1672"/>
      <c r="K233" s="1671">
        <f t="shared" si="20"/>
        <v>12844</v>
      </c>
      <c r="L233" s="1572">
        <v>13700</v>
      </c>
    </row>
    <row r="234" spans="1:12" x14ac:dyDescent="0.2">
      <c r="A234" s="1273" t="s">
        <v>196</v>
      </c>
      <c r="B234" s="503">
        <v>2130</v>
      </c>
      <c r="C234" s="1672"/>
      <c r="D234" s="1572">
        <v>89379</v>
      </c>
      <c r="E234" s="1672"/>
      <c r="F234" s="1672"/>
      <c r="G234" s="1672"/>
      <c r="H234" s="1672"/>
      <c r="I234" s="1672"/>
      <c r="J234" s="1672"/>
      <c r="K234" s="1671">
        <f t="shared" si="20"/>
        <v>89379</v>
      </c>
      <c r="L234" s="1572">
        <v>85753</v>
      </c>
    </row>
    <row r="235" spans="1:12" x14ac:dyDescent="0.2">
      <c r="A235" s="1273" t="s">
        <v>197</v>
      </c>
      <c r="B235" s="503">
        <v>2140</v>
      </c>
      <c r="C235" s="1672"/>
      <c r="D235" s="1572">
        <v>5382</v>
      </c>
      <c r="E235" s="1672"/>
      <c r="F235" s="1672"/>
      <c r="G235" s="1672"/>
      <c r="H235" s="1672"/>
      <c r="I235" s="1672"/>
      <c r="J235" s="1672"/>
      <c r="K235" s="1671">
        <f t="shared" si="20"/>
        <v>5382</v>
      </c>
      <c r="L235" s="1572">
        <v>5191</v>
      </c>
    </row>
    <row r="236" spans="1:12" x14ac:dyDescent="0.2">
      <c r="A236" s="1273" t="s">
        <v>198</v>
      </c>
      <c r="B236" s="503">
        <v>2150</v>
      </c>
      <c r="C236" s="1672"/>
      <c r="D236" s="1572">
        <v>9436</v>
      </c>
      <c r="E236" s="1672"/>
      <c r="F236" s="1672"/>
      <c r="G236" s="1672"/>
      <c r="H236" s="1672"/>
      <c r="I236" s="1672"/>
      <c r="J236" s="1672"/>
      <c r="K236" s="1671">
        <f t="shared" si="20"/>
        <v>9436</v>
      </c>
      <c r="L236" s="1572">
        <v>9380</v>
      </c>
    </row>
    <row r="237" spans="1:12" x14ac:dyDescent="0.2">
      <c r="A237" s="1273" t="s">
        <v>164</v>
      </c>
      <c r="B237" s="503">
        <v>2190</v>
      </c>
      <c r="C237" s="1672"/>
      <c r="D237" s="1572"/>
      <c r="E237" s="1672"/>
      <c r="F237" s="1672"/>
      <c r="G237" s="1672"/>
      <c r="H237" s="1672"/>
      <c r="I237" s="1672"/>
      <c r="J237" s="1672"/>
      <c r="K237" s="1671">
        <f t="shared" si="20"/>
        <v>0</v>
      </c>
      <c r="L237" s="1572">
        <v>0</v>
      </c>
    </row>
    <row r="238" spans="1:12" ht="12.75" customHeight="1" thickBot="1" x14ac:dyDescent="0.25">
      <c r="A238" s="1379" t="s">
        <v>556</v>
      </c>
      <c r="B238" s="1382" t="s">
        <v>711</v>
      </c>
      <c r="C238" s="1672"/>
      <c r="D238" s="1673">
        <f>SUM(D232:D237)</f>
        <v>143598</v>
      </c>
      <c r="E238" s="1672"/>
      <c r="F238" s="1672"/>
      <c r="G238" s="1672"/>
      <c r="H238" s="1672"/>
      <c r="I238" s="1672"/>
      <c r="J238" s="1672"/>
      <c r="K238" s="1673">
        <f>SUM(K232:K237)</f>
        <v>143598</v>
      </c>
      <c r="L238" s="1673">
        <f>SUM(L232:L237)</f>
        <v>130789</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77554</v>
      </c>
      <c r="E240" s="1672"/>
      <c r="F240" s="1672"/>
      <c r="G240" s="1672"/>
      <c r="H240" s="1672"/>
      <c r="I240" s="1672"/>
      <c r="J240" s="1672"/>
      <c r="K240" s="1677">
        <f>D240</f>
        <v>77554</v>
      </c>
      <c r="L240" s="1585">
        <v>52364</v>
      </c>
    </row>
    <row r="241" spans="1:12" x14ac:dyDescent="0.2">
      <c r="A241" s="1273" t="s">
        <v>810</v>
      </c>
      <c r="B241" s="503">
        <v>2220</v>
      </c>
      <c r="C241" s="1672"/>
      <c r="D241" s="1572">
        <v>63096</v>
      </c>
      <c r="E241" s="1672"/>
      <c r="F241" s="1672"/>
      <c r="G241" s="1672"/>
      <c r="H241" s="1672"/>
      <c r="I241" s="1672"/>
      <c r="J241" s="1672"/>
      <c r="K241" s="1677">
        <f>D241</f>
        <v>63096</v>
      </c>
      <c r="L241" s="1572">
        <v>76475</v>
      </c>
    </row>
    <row r="242" spans="1:12" x14ac:dyDescent="0.2">
      <c r="A242" s="1273" t="s">
        <v>811</v>
      </c>
      <c r="B242" s="503">
        <v>2230</v>
      </c>
      <c r="C242" s="1672"/>
      <c r="D242" s="1572"/>
      <c r="E242" s="1672"/>
      <c r="F242" s="1672"/>
      <c r="G242" s="1672"/>
      <c r="H242" s="1672"/>
      <c r="I242" s="1672"/>
      <c r="J242" s="1672"/>
      <c r="K242" s="1677">
        <f>D242</f>
        <v>0</v>
      </c>
      <c r="L242" s="1572">
        <v>0</v>
      </c>
    </row>
    <row r="243" spans="1:12" ht="12.75" customHeight="1" thickBot="1" x14ac:dyDescent="0.25">
      <c r="A243" s="1395" t="s">
        <v>557</v>
      </c>
      <c r="B243" s="1396">
        <v>2200</v>
      </c>
      <c r="C243" s="1672"/>
      <c r="D243" s="1673">
        <f>SUM(D240:D242)</f>
        <v>140650</v>
      </c>
      <c r="E243" s="1672"/>
      <c r="F243" s="1672"/>
      <c r="G243" s="1672"/>
      <c r="H243" s="1672"/>
      <c r="I243" s="1672"/>
      <c r="J243" s="1672"/>
      <c r="K243" s="1673">
        <f>SUM(K240:K242)</f>
        <v>140650</v>
      </c>
      <c r="L243" s="1673">
        <f>SUM(L240:L242)</f>
        <v>128839</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8759</v>
      </c>
      <c r="E245" s="1672"/>
      <c r="F245" s="1672"/>
      <c r="G245" s="1672"/>
      <c r="H245" s="1672"/>
      <c r="I245" s="1672"/>
      <c r="J245" s="1672"/>
      <c r="K245" s="1677">
        <f>D245</f>
        <v>8759</v>
      </c>
      <c r="L245" s="1585">
        <v>8016</v>
      </c>
    </row>
    <row r="246" spans="1:12" x14ac:dyDescent="0.2">
      <c r="A246" s="1273" t="s">
        <v>813</v>
      </c>
      <c r="B246" s="503">
        <v>2320</v>
      </c>
      <c r="C246" s="1672"/>
      <c r="D246" s="1572">
        <v>19362</v>
      </c>
      <c r="E246" s="1672"/>
      <c r="F246" s="1672"/>
      <c r="G246" s="1672"/>
      <c r="H246" s="1672"/>
      <c r="I246" s="1672"/>
      <c r="J246" s="1672"/>
      <c r="K246" s="1677">
        <f t="shared" ref="K246:K256" si="21">D246</f>
        <v>19362</v>
      </c>
      <c r="L246" s="1572">
        <v>25000</v>
      </c>
    </row>
    <row r="247" spans="1:12" x14ac:dyDescent="0.2">
      <c r="A247" s="1273" t="s">
        <v>814</v>
      </c>
      <c r="B247" s="503">
        <v>2330</v>
      </c>
      <c r="C247" s="1672"/>
      <c r="D247" s="1572">
        <v>16357</v>
      </c>
      <c r="E247" s="1672"/>
      <c r="F247" s="1672"/>
      <c r="G247" s="1672"/>
      <c r="H247" s="1672"/>
      <c r="I247" s="1672"/>
      <c r="J247" s="1672"/>
      <c r="K247" s="1677">
        <f t="shared" si="21"/>
        <v>16357</v>
      </c>
      <c r="L247" s="1572">
        <v>16908</v>
      </c>
    </row>
    <row r="248" spans="1:12" x14ac:dyDescent="0.2">
      <c r="A248" s="1274" t="s">
        <v>296</v>
      </c>
      <c r="B248" s="494" t="s">
        <v>279</v>
      </c>
      <c r="C248" s="1672"/>
      <c r="D248" s="1578">
        <v>50825</v>
      </c>
      <c r="E248" s="1672"/>
      <c r="F248" s="1672"/>
      <c r="G248" s="1672"/>
      <c r="H248" s="1672"/>
      <c r="I248" s="1672"/>
      <c r="J248" s="1672"/>
      <c r="K248" s="1677">
        <f t="shared" si="21"/>
        <v>50825</v>
      </c>
      <c r="L248" s="1572">
        <v>0</v>
      </c>
    </row>
    <row r="249" spans="1:12" x14ac:dyDescent="0.2">
      <c r="A249" s="1275" t="s">
        <v>1778</v>
      </c>
      <c r="B249" s="557" t="s">
        <v>280</v>
      </c>
      <c r="C249" s="1672"/>
      <c r="D249" s="1578"/>
      <c r="E249" s="1672"/>
      <c r="F249" s="1672"/>
      <c r="G249" s="1672"/>
      <c r="H249" s="1672"/>
      <c r="I249" s="1672"/>
      <c r="J249" s="1672"/>
      <c r="K249" s="1677">
        <f t="shared" si="21"/>
        <v>0</v>
      </c>
      <c r="L249" s="1572">
        <v>0</v>
      </c>
    </row>
    <row r="250" spans="1:12" x14ac:dyDescent="0.2">
      <c r="A250" s="1274" t="s">
        <v>1779</v>
      </c>
      <c r="B250" s="494" t="s">
        <v>281</v>
      </c>
      <c r="C250" s="1672"/>
      <c r="D250" s="1578"/>
      <c r="E250" s="1672"/>
      <c r="F250" s="1672"/>
      <c r="G250" s="1672"/>
      <c r="H250" s="1672"/>
      <c r="I250" s="1672"/>
      <c r="J250" s="1672"/>
      <c r="K250" s="1677">
        <f t="shared" si="21"/>
        <v>0</v>
      </c>
      <c r="L250" s="1572">
        <v>0</v>
      </c>
    </row>
    <row r="251" spans="1:12" x14ac:dyDescent="0.2">
      <c r="A251" s="1274" t="s">
        <v>236</v>
      </c>
      <c r="B251" s="494" t="s">
        <v>282</v>
      </c>
      <c r="C251" s="1672"/>
      <c r="D251" s="1578"/>
      <c r="E251" s="1672"/>
      <c r="F251" s="1672"/>
      <c r="G251" s="1672"/>
      <c r="H251" s="1672"/>
      <c r="I251" s="1672"/>
      <c r="J251" s="1672"/>
      <c r="K251" s="1677">
        <f t="shared" si="21"/>
        <v>0</v>
      </c>
      <c r="L251" s="1572">
        <v>0</v>
      </c>
    </row>
    <row r="252" spans="1:12" x14ac:dyDescent="0.2">
      <c r="A252" s="1274" t="s">
        <v>697</v>
      </c>
      <c r="B252" s="494" t="s">
        <v>283</v>
      </c>
      <c r="C252" s="1672"/>
      <c r="D252" s="1578"/>
      <c r="E252" s="1672"/>
      <c r="F252" s="1672"/>
      <c r="G252" s="1672"/>
      <c r="H252" s="1672"/>
      <c r="I252" s="1672"/>
      <c r="J252" s="1672"/>
      <c r="K252" s="1677">
        <f t="shared" si="21"/>
        <v>0</v>
      </c>
      <c r="L252" s="1572">
        <v>0</v>
      </c>
    </row>
    <row r="253" spans="1:12" x14ac:dyDescent="0.2">
      <c r="A253" s="1274" t="s">
        <v>237</v>
      </c>
      <c r="B253" s="494" t="s">
        <v>284</v>
      </c>
      <c r="C253" s="1672"/>
      <c r="D253" s="1578"/>
      <c r="E253" s="1672"/>
      <c r="F253" s="1672"/>
      <c r="G253" s="1672"/>
      <c r="H253" s="1672"/>
      <c r="I253" s="1672"/>
      <c r="J253" s="1672"/>
      <c r="K253" s="1677">
        <f t="shared" si="21"/>
        <v>0</v>
      </c>
      <c r="L253" s="1572">
        <v>0</v>
      </c>
    </row>
    <row r="254" spans="1:12" ht="22.5" x14ac:dyDescent="0.2">
      <c r="A254" s="1274" t="s">
        <v>1022</v>
      </c>
      <c r="B254" s="557" t="s">
        <v>285</v>
      </c>
      <c r="C254" s="1672"/>
      <c r="D254" s="1578"/>
      <c r="E254" s="1672"/>
      <c r="F254" s="1672"/>
      <c r="G254" s="1672"/>
      <c r="H254" s="1672"/>
      <c r="I254" s="1672"/>
      <c r="J254" s="1672"/>
      <c r="K254" s="1677">
        <f t="shared" si="21"/>
        <v>0</v>
      </c>
      <c r="L254" s="1572">
        <v>61957</v>
      </c>
    </row>
    <row r="255" spans="1:12" x14ac:dyDescent="0.2">
      <c r="A255" s="1274" t="s">
        <v>1023</v>
      </c>
      <c r="B255" s="494" t="s">
        <v>286</v>
      </c>
      <c r="C255" s="1672"/>
      <c r="D255" s="1578"/>
      <c r="E255" s="1672"/>
      <c r="F255" s="1672"/>
      <c r="G255" s="1672"/>
      <c r="H255" s="1672"/>
      <c r="I255" s="1672"/>
      <c r="J255" s="1672"/>
      <c r="K255" s="1677">
        <f t="shared" si="21"/>
        <v>0</v>
      </c>
      <c r="L255" s="1572">
        <v>0</v>
      </c>
    </row>
    <row r="256" spans="1:12" x14ac:dyDescent="0.2">
      <c r="A256" s="1274" t="s">
        <v>965</v>
      </c>
      <c r="B256" s="503" t="s">
        <v>287</v>
      </c>
      <c r="C256" s="1672"/>
      <c r="D256" s="1578"/>
      <c r="E256" s="1672"/>
      <c r="F256" s="1672"/>
      <c r="G256" s="1672"/>
      <c r="H256" s="1672"/>
      <c r="I256" s="1672"/>
      <c r="J256" s="1672"/>
      <c r="K256" s="1677">
        <f t="shared" si="21"/>
        <v>0</v>
      </c>
      <c r="L256" s="1572">
        <v>0</v>
      </c>
    </row>
    <row r="257" spans="1:14" ht="12.75" customHeight="1" thickBot="1" x14ac:dyDescent="0.25">
      <c r="A257" s="1379" t="s">
        <v>712</v>
      </c>
      <c r="B257" s="1397">
        <v>2300</v>
      </c>
      <c r="C257" s="1672"/>
      <c r="D257" s="1673">
        <f>SUM(D245:D256)</f>
        <v>95303</v>
      </c>
      <c r="E257" s="1672"/>
      <c r="F257" s="1672"/>
      <c r="G257" s="1672"/>
      <c r="H257" s="1672"/>
      <c r="I257" s="1672"/>
      <c r="J257" s="1672"/>
      <c r="K257" s="1673">
        <f>SUM(K245:K256)</f>
        <v>95303</v>
      </c>
      <c r="L257" s="1673">
        <f>SUM(L245:L256)</f>
        <v>111881</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196040</v>
      </c>
      <c r="E259" s="1672"/>
      <c r="F259" s="1672"/>
      <c r="G259" s="1672"/>
      <c r="H259" s="1672"/>
      <c r="I259" s="1672"/>
      <c r="J259" s="1672"/>
      <c r="K259" s="1677">
        <f>D259</f>
        <v>196040</v>
      </c>
      <c r="L259" s="1585">
        <v>257868</v>
      </c>
    </row>
    <row r="260" spans="1:14" s="493" customFormat="1" x14ac:dyDescent="0.2">
      <c r="A260" s="1291" t="s">
        <v>1777</v>
      </c>
      <c r="B260" s="512">
        <v>2490</v>
      </c>
      <c r="C260" s="1672"/>
      <c r="D260" s="1572"/>
      <c r="E260" s="1672"/>
      <c r="F260" s="1672"/>
      <c r="G260" s="1672"/>
      <c r="H260" s="1672"/>
      <c r="I260" s="1672"/>
      <c r="J260" s="1672"/>
      <c r="K260" s="1677">
        <f>D260</f>
        <v>0</v>
      </c>
      <c r="L260" s="1572">
        <v>0</v>
      </c>
      <c r="M260" s="205"/>
      <c r="N260" s="205"/>
    </row>
    <row r="261" spans="1:14" ht="12.75" customHeight="1" thickBot="1" x14ac:dyDescent="0.25">
      <c r="A261" s="1393" t="s">
        <v>261</v>
      </c>
      <c r="B261" s="1398" t="s">
        <v>34</v>
      </c>
      <c r="C261" s="1672"/>
      <c r="D261" s="1673">
        <f>SUM(D259:D260)</f>
        <v>196040</v>
      </c>
      <c r="E261" s="1672"/>
      <c r="F261" s="1672"/>
      <c r="G261" s="1672"/>
      <c r="H261" s="1672"/>
      <c r="I261" s="1672"/>
      <c r="J261" s="1672"/>
      <c r="K261" s="1673">
        <f>SUM(K259:K260)</f>
        <v>196040</v>
      </c>
      <c r="L261" s="1673">
        <f>SUM(L259:L260)</f>
        <v>257868</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v>942</v>
      </c>
      <c r="E263" s="1672"/>
      <c r="F263" s="1672"/>
      <c r="G263" s="1672"/>
      <c r="H263" s="1672"/>
      <c r="I263" s="1672"/>
      <c r="J263" s="1672"/>
      <c r="K263" s="1677">
        <f>D263</f>
        <v>942</v>
      </c>
      <c r="L263" s="1585">
        <v>0</v>
      </c>
    </row>
    <row r="264" spans="1:14" x14ac:dyDescent="0.2">
      <c r="A264" s="1273" t="s">
        <v>460</v>
      </c>
      <c r="B264" s="559">
        <v>2520</v>
      </c>
      <c r="C264" s="1672"/>
      <c r="D264" s="1572">
        <v>65606</v>
      </c>
      <c r="E264" s="1672"/>
      <c r="F264" s="1672"/>
      <c r="G264" s="1672"/>
      <c r="H264" s="1672"/>
      <c r="I264" s="1672"/>
      <c r="J264" s="1672"/>
      <c r="K264" s="1677">
        <f t="shared" ref="K264:K269" si="22">D264</f>
        <v>65606</v>
      </c>
      <c r="L264" s="1572">
        <v>65044</v>
      </c>
    </row>
    <row r="265" spans="1:14" x14ac:dyDescent="0.2">
      <c r="A265" s="1273" t="s">
        <v>4</v>
      </c>
      <c r="B265" s="503">
        <v>2530</v>
      </c>
      <c r="C265" s="1672"/>
      <c r="D265" s="1572"/>
      <c r="E265" s="1672"/>
      <c r="F265" s="1672"/>
      <c r="G265" s="1672"/>
      <c r="H265" s="1672"/>
      <c r="I265" s="1672"/>
      <c r="J265" s="1672"/>
      <c r="K265" s="1677">
        <f t="shared" si="22"/>
        <v>0</v>
      </c>
      <c r="L265" s="1572">
        <v>0</v>
      </c>
    </row>
    <row r="266" spans="1:14" x14ac:dyDescent="0.2">
      <c r="A266" s="1273" t="s">
        <v>195</v>
      </c>
      <c r="B266" s="503">
        <v>2540</v>
      </c>
      <c r="C266" s="1672"/>
      <c r="D266" s="1572">
        <v>379603</v>
      </c>
      <c r="E266" s="1672"/>
      <c r="F266" s="1672"/>
      <c r="G266" s="1672"/>
      <c r="H266" s="1672"/>
      <c r="I266" s="1672"/>
      <c r="J266" s="1672"/>
      <c r="K266" s="1677">
        <f t="shared" si="22"/>
        <v>379603</v>
      </c>
      <c r="L266" s="1572">
        <v>405394</v>
      </c>
    </row>
    <row r="267" spans="1:14" x14ac:dyDescent="0.2">
      <c r="A267" s="1273" t="s">
        <v>947</v>
      </c>
      <c r="B267" s="503">
        <v>2550</v>
      </c>
      <c r="C267" s="1672"/>
      <c r="D267" s="1572">
        <v>640</v>
      </c>
      <c r="E267" s="1672"/>
      <c r="F267" s="1672"/>
      <c r="G267" s="1672"/>
      <c r="H267" s="1672"/>
      <c r="I267" s="1672"/>
      <c r="J267" s="1672"/>
      <c r="K267" s="1677">
        <f t="shared" si="22"/>
        <v>640</v>
      </c>
      <c r="L267" s="1572">
        <v>0</v>
      </c>
    </row>
    <row r="268" spans="1:14" x14ac:dyDescent="0.2">
      <c r="A268" s="1273" t="s">
        <v>100</v>
      </c>
      <c r="B268" s="503">
        <v>2560</v>
      </c>
      <c r="C268" s="1672"/>
      <c r="D268" s="1572">
        <v>239824</v>
      </c>
      <c r="E268" s="1672"/>
      <c r="F268" s="1672"/>
      <c r="G268" s="1672"/>
      <c r="H268" s="1672"/>
      <c r="I268" s="1672"/>
      <c r="J268" s="1672"/>
      <c r="K268" s="1677">
        <f t="shared" si="22"/>
        <v>239824</v>
      </c>
      <c r="L268" s="1572">
        <v>255125</v>
      </c>
    </row>
    <row r="269" spans="1:14" x14ac:dyDescent="0.2">
      <c r="A269" s="1273" t="s">
        <v>101</v>
      </c>
      <c r="B269" s="503">
        <v>2570</v>
      </c>
      <c r="C269" s="1672"/>
      <c r="D269" s="1572">
        <v>2725</v>
      </c>
      <c r="E269" s="1672"/>
      <c r="F269" s="1672"/>
      <c r="G269" s="1672"/>
      <c r="H269" s="1672"/>
      <c r="I269" s="1672"/>
      <c r="J269" s="1672"/>
      <c r="K269" s="1677">
        <f t="shared" si="22"/>
        <v>2725</v>
      </c>
      <c r="L269" s="1572">
        <v>0</v>
      </c>
    </row>
    <row r="270" spans="1:14" ht="12.75" customHeight="1" thickBot="1" x14ac:dyDescent="0.25">
      <c r="A270" s="1379" t="s">
        <v>714</v>
      </c>
      <c r="B270" s="1382" t="s">
        <v>35</v>
      </c>
      <c r="C270" s="1672"/>
      <c r="D270" s="1673">
        <f>SUM(D263:D269)</f>
        <v>689340</v>
      </c>
      <c r="E270" s="1672"/>
      <c r="F270" s="1672"/>
      <c r="G270" s="1672"/>
      <c r="H270" s="1672"/>
      <c r="I270" s="1672"/>
      <c r="J270" s="1672"/>
      <c r="K270" s="1673">
        <f>SUM(K263:K269)</f>
        <v>689340</v>
      </c>
      <c r="L270" s="1673">
        <f>SUM(L263:L269)</f>
        <v>725563</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v>8</v>
      </c>
      <c r="E272" s="1672"/>
      <c r="F272" s="1672"/>
      <c r="G272" s="1672"/>
      <c r="H272" s="1672"/>
      <c r="I272" s="1672"/>
      <c r="J272" s="1672"/>
      <c r="K272" s="1677">
        <f>D272</f>
        <v>8</v>
      </c>
      <c r="L272" s="1585">
        <v>0</v>
      </c>
    </row>
    <row r="273" spans="1:12" x14ac:dyDescent="0.2">
      <c r="A273" s="1273" t="s">
        <v>603</v>
      </c>
      <c r="B273" s="512">
        <v>2620</v>
      </c>
      <c r="C273" s="1672"/>
      <c r="D273" s="1572"/>
      <c r="E273" s="1672"/>
      <c r="F273" s="1672"/>
      <c r="G273" s="1672"/>
      <c r="H273" s="1672"/>
      <c r="I273" s="1672"/>
      <c r="J273" s="1672"/>
      <c r="K273" s="1677">
        <f>D273</f>
        <v>0</v>
      </c>
      <c r="L273" s="1572">
        <v>0</v>
      </c>
    </row>
    <row r="274" spans="1:12" ht="12" customHeight="1" x14ac:dyDescent="0.2">
      <c r="A274" s="1273" t="s">
        <v>1052</v>
      </c>
      <c r="B274" s="503">
        <v>2630</v>
      </c>
      <c r="C274" s="1672"/>
      <c r="D274" s="1572"/>
      <c r="E274" s="1672"/>
      <c r="F274" s="1672"/>
      <c r="G274" s="1672"/>
      <c r="H274" s="1672"/>
      <c r="I274" s="1672"/>
      <c r="J274" s="1672"/>
      <c r="K274" s="1677">
        <f>D274</f>
        <v>0</v>
      </c>
      <c r="L274" s="1572">
        <v>0</v>
      </c>
    </row>
    <row r="275" spans="1:12" x14ac:dyDescent="0.2">
      <c r="A275" s="1273" t="s">
        <v>400</v>
      </c>
      <c r="B275" s="503">
        <v>2640</v>
      </c>
      <c r="C275" s="1672"/>
      <c r="D275" s="1572">
        <v>25206</v>
      </c>
      <c r="E275" s="1672"/>
      <c r="F275" s="1672"/>
      <c r="G275" s="1672"/>
      <c r="H275" s="1672"/>
      <c r="I275" s="1672"/>
      <c r="J275" s="1672"/>
      <c r="K275" s="1677">
        <f>D275</f>
        <v>25206</v>
      </c>
      <c r="L275" s="1572">
        <v>32100</v>
      </c>
    </row>
    <row r="276" spans="1:12" x14ac:dyDescent="0.2">
      <c r="A276" s="1273" t="s">
        <v>401</v>
      </c>
      <c r="B276" s="503">
        <v>2660</v>
      </c>
      <c r="C276" s="1672"/>
      <c r="D276" s="1572">
        <v>92628</v>
      </c>
      <c r="E276" s="1672"/>
      <c r="F276" s="1672"/>
      <c r="G276" s="1672"/>
      <c r="H276" s="1672"/>
      <c r="I276" s="1672"/>
      <c r="J276" s="1672"/>
      <c r="K276" s="1677">
        <f>D276</f>
        <v>92628</v>
      </c>
      <c r="L276" s="1572">
        <v>95200</v>
      </c>
    </row>
    <row r="277" spans="1:12" ht="12.75" customHeight="1" thickBot="1" x14ac:dyDescent="0.25">
      <c r="A277" s="1392" t="s">
        <v>37</v>
      </c>
      <c r="B277" s="1380" t="s">
        <v>36</v>
      </c>
      <c r="C277" s="1672"/>
      <c r="D277" s="1673">
        <f>SUM(D272:D276)</f>
        <v>117842</v>
      </c>
      <c r="E277" s="1672"/>
      <c r="F277" s="1672"/>
      <c r="G277" s="1672"/>
      <c r="H277" s="1672"/>
      <c r="I277" s="1672"/>
      <c r="J277" s="1672"/>
      <c r="K277" s="1673">
        <f>SUM(K272:K276)</f>
        <v>117842</v>
      </c>
      <c r="L277" s="1673">
        <f>SUM(L272:L276)</f>
        <v>127300</v>
      </c>
    </row>
    <row r="278" spans="1:12" ht="13.5" customHeight="1" thickTop="1" x14ac:dyDescent="0.2">
      <c r="A278" s="1279" t="s">
        <v>973</v>
      </c>
      <c r="B278" s="531" t="s">
        <v>570</v>
      </c>
      <c r="C278" s="1672"/>
      <c r="D278" s="1694">
        <v>351</v>
      </c>
      <c r="E278" s="1672"/>
      <c r="F278" s="1672"/>
      <c r="G278" s="1672"/>
      <c r="H278" s="1672"/>
      <c r="I278" s="1672"/>
      <c r="J278" s="1672"/>
      <c r="K278" s="1695">
        <f>D278</f>
        <v>351</v>
      </c>
      <c r="L278" s="1694">
        <v>0</v>
      </c>
    </row>
    <row r="279" spans="1:12" ht="12.75" customHeight="1" thickBot="1" x14ac:dyDescent="0.25">
      <c r="A279" s="1399" t="s">
        <v>806</v>
      </c>
      <c r="B279" s="1386">
        <v>2000</v>
      </c>
      <c r="C279" s="1672"/>
      <c r="D279" s="1680">
        <f>SUM(D238,D243,D257,D261,D270,D277,D278)</f>
        <v>1383124</v>
      </c>
      <c r="E279" s="1672"/>
      <c r="F279" s="1672"/>
      <c r="G279" s="1672"/>
      <c r="H279" s="1672"/>
      <c r="I279" s="1672"/>
      <c r="J279" s="1672"/>
      <c r="K279" s="1680">
        <f>SUM(K238,K243,K257,K261,K270,K277,K278)</f>
        <v>1383124</v>
      </c>
      <c r="L279" s="1680">
        <f>SUM(L238,L243,L257,L261,L270,L277,L278)</f>
        <v>1482240</v>
      </c>
    </row>
    <row r="280" spans="1:12" ht="15.75" customHeight="1" thickTop="1" thickBot="1" x14ac:dyDescent="0.25">
      <c r="A280" s="1361" t="s">
        <v>870</v>
      </c>
      <c r="B280" s="1350">
        <v>3000</v>
      </c>
      <c r="C280" s="1672"/>
      <c r="D280" s="1650">
        <v>194685</v>
      </c>
      <c r="E280" s="1672"/>
      <c r="F280" s="1672"/>
      <c r="G280" s="1672"/>
      <c r="H280" s="1672"/>
      <c r="I280" s="1672"/>
      <c r="J280" s="1672"/>
      <c r="K280" s="1686">
        <f>D280</f>
        <v>194685</v>
      </c>
      <c r="L280" s="1650">
        <v>163456</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1808</v>
      </c>
      <c r="C282" s="1672"/>
      <c r="D282" s="1573"/>
      <c r="E282" s="1672"/>
      <c r="F282" s="1672"/>
      <c r="G282" s="1672"/>
      <c r="H282" s="1672"/>
      <c r="I282" s="1672"/>
      <c r="J282" s="1672"/>
      <c r="K282" s="1671">
        <f>D282</f>
        <v>0</v>
      </c>
      <c r="L282" s="1573">
        <v>0</v>
      </c>
    </row>
    <row r="283" spans="1:12" x14ac:dyDescent="0.2">
      <c r="A283" s="1273" t="s">
        <v>301</v>
      </c>
      <c r="B283" s="503">
        <v>4120</v>
      </c>
      <c r="C283" s="1672"/>
      <c r="D283" s="1572"/>
      <c r="E283" s="1672"/>
      <c r="F283" s="1672"/>
      <c r="G283" s="1672"/>
      <c r="H283" s="1672"/>
      <c r="I283" s="1672"/>
      <c r="J283" s="1672"/>
      <c r="K283" s="1671">
        <f>D283</f>
        <v>0</v>
      </c>
      <c r="L283" s="1572">
        <v>0</v>
      </c>
    </row>
    <row r="284" spans="1:12" x14ac:dyDescent="0.2">
      <c r="A284" s="1273" t="s">
        <v>692</v>
      </c>
      <c r="B284" s="503">
        <v>4140</v>
      </c>
      <c r="C284" s="1672"/>
      <c r="D284" s="1573"/>
      <c r="E284" s="1672"/>
      <c r="F284" s="1672"/>
      <c r="G284" s="1672"/>
      <c r="H284" s="1672"/>
      <c r="I284" s="1672"/>
      <c r="J284" s="1672"/>
      <c r="K284" s="1671">
        <f>D284</f>
        <v>0</v>
      </c>
      <c r="L284" s="1572">
        <v>0</v>
      </c>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v>0</v>
      </c>
    </row>
    <row r="289" spans="1:14" x14ac:dyDescent="0.2">
      <c r="A289" s="1273" t="s">
        <v>88</v>
      </c>
      <c r="B289" s="503">
        <v>5120</v>
      </c>
      <c r="C289" s="1672"/>
      <c r="D289" s="1672"/>
      <c r="E289" s="1672"/>
      <c r="F289" s="1672"/>
      <c r="G289" s="1672"/>
      <c r="H289" s="1572"/>
      <c r="I289" s="1672"/>
      <c r="J289" s="1672"/>
      <c r="K289" s="1671">
        <f>H289</f>
        <v>0</v>
      </c>
      <c r="L289" s="1572">
        <v>0</v>
      </c>
    </row>
    <row r="290" spans="1:14" ht="12.75" customHeight="1" x14ac:dyDescent="0.2">
      <c r="A290" s="1273" t="s">
        <v>1160</v>
      </c>
      <c r="B290" s="512" t="s">
        <v>613</v>
      </c>
      <c r="C290" s="1672"/>
      <c r="D290" s="1672"/>
      <c r="E290" s="1672"/>
      <c r="F290" s="1672"/>
      <c r="G290" s="1672"/>
      <c r="H290" s="1572"/>
      <c r="I290" s="1672"/>
      <c r="J290" s="1672"/>
      <c r="K290" s="1671">
        <f>H290</f>
        <v>0</v>
      </c>
      <c r="L290" s="1572">
        <v>0</v>
      </c>
    </row>
    <row r="291" spans="1:14" x14ac:dyDescent="0.2">
      <c r="A291" s="1273" t="s">
        <v>89</v>
      </c>
      <c r="B291" s="503" t="s">
        <v>585</v>
      </c>
      <c r="C291" s="1672"/>
      <c r="D291" s="1672"/>
      <c r="E291" s="1672"/>
      <c r="F291" s="1672"/>
      <c r="G291" s="1672"/>
      <c r="H291" s="1572"/>
      <c r="I291" s="1672"/>
      <c r="J291" s="1672"/>
      <c r="K291" s="1671">
        <f>H291</f>
        <v>0</v>
      </c>
      <c r="L291" s="1572">
        <v>0</v>
      </c>
    </row>
    <row r="292" spans="1:14" x14ac:dyDescent="0.2">
      <c r="A292" s="1273" t="s">
        <v>757</v>
      </c>
      <c r="B292" s="503" t="s">
        <v>614</v>
      </c>
      <c r="C292" s="1672"/>
      <c r="D292" s="1672"/>
      <c r="E292" s="1672"/>
      <c r="F292" s="1672"/>
      <c r="G292" s="1672"/>
      <c r="H292" s="1572"/>
      <c r="I292" s="1672"/>
      <c r="J292" s="1672"/>
      <c r="K292" s="1671">
        <f>H292</f>
        <v>0</v>
      </c>
      <c r="L292" s="1572">
        <v>0</v>
      </c>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v>0</v>
      </c>
    </row>
    <row r="295" spans="1:14" ht="12.75" customHeight="1" thickTop="1" thickBot="1" x14ac:dyDescent="0.25">
      <c r="A295" s="2372" t="s">
        <v>502</v>
      </c>
      <c r="B295" s="2373"/>
      <c r="C295" s="1672"/>
      <c r="D295" s="1673">
        <f>SUM(D229,D279,D280,D285)</f>
        <v>2670967</v>
      </c>
      <c r="E295" s="1672"/>
      <c r="F295" s="1672"/>
      <c r="G295" s="1672"/>
      <c r="H295" s="1673">
        <f>H293</f>
        <v>0</v>
      </c>
      <c r="I295" s="1672"/>
      <c r="J295" s="1672"/>
      <c r="K295" s="1673">
        <f>SUM(K229,K279,K280,K285,K293,K294)</f>
        <v>2670967</v>
      </c>
      <c r="L295" s="1673">
        <f>SUM(L229,L279,L280,L285,L293,L294)</f>
        <v>2713269</v>
      </c>
    </row>
    <row r="296" spans="1:14" ht="13.5" thickTop="1" x14ac:dyDescent="0.2">
      <c r="A296" s="2354" t="s">
        <v>989</v>
      </c>
      <c r="B296" s="2355"/>
      <c r="C296" s="1672"/>
      <c r="D296" s="1674"/>
      <c r="E296" s="1672"/>
      <c r="F296" s="1672"/>
      <c r="G296" s="1672"/>
      <c r="H296" s="1706"/>
      <c r="I296" s="1672"/>
      <c r="J296" s="1672"/>
      <c r="K296" s="1688">
        <f>'Revenues 9-14'!G268-'Expenditures 15-22'!K295</f>
        <v>-66447</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364" t="s">
        <v>142</v>
      </c>
      <c r="B298" s="2358"/>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c r="F301" s="1572"/>
      <c r="G301" s="1572">
        <v>67676</v>
      </c>
      <c r="H301" s="1572"/>
      <c r="I301" s="1573"/>
      <c r="J301" s="1573"/>
      <c r="K301" s="1671">
        <f>SUM(C301:J301)</f>
        <v>67676</v>
      </c>
      <c r="L301" s="1573">
        <v>21761</v>
      </c>
    </row>
    <row r="302" spans="1:14" ht="13.5" customHeight="1" x14ac:dyDescent="0.2">
      <c r="A302" s="1286" t="s">
        <v>973</v>
      </c>
      <c r="B302" s="503" t="s">
        <v>570</v>
      </c>
      <c r="C302" s="1572"/>
      <c r="D302" s="1572"/>
      <c r="E302" s="1572"/>
      <c r="F302" s="1572"/>
      <c r="G302" s="1572"/>
      <c r="H302" s="1572"/>
      <c r="I302" s="1573"/>
      <c r="J302" s="1573"/>
      <c r="K302" s="1671">
        <f>SUM(C302:J302)</f>
        <v>0</v>
      </c>
      <c r="L302" s="1572">
        <v>0</v>
      </c>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67676</v>
      </c>
      <c r="H303" s="1680">
        <f t="shared" si="23"/>
        <v>0</v>
      </c>
      <c r="I303" s="1680">
        <f t="shared" si="23"/>
        <v>0</v>
      </c>
      <c r="J303" s="1680">
        <f t="shared" si="23"/>
        <v>0</v>
      </c>
      <c r="K303" s="1680">
        <f t="shared" si="23"/>
        <v>67676</v>
      </c>
      <c r="L303" s="1680">
        <f t="shared" si="23"/>
        <v>21761</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1813</v>
      </c>
      <c r="B306" s="562" t="s">
        <v>1808</v>
      </c>
      <c r="C306" s="1672"/>
      <c r="D306" s="1672"/>
      <c r="E306" s="1573"/>
      <c r="F306" s="1672"/>
      <c r="G306" s="1672"/>
      <c r="H306" s="1573"/>
      <c r="I306" s="1672"/>
      <c r="J306" s="1672"/>
      <c r="K306" s="1671">
        <f>SUM(E306,H306)</f>
        <v>0</v>
      </c>
      <c r="L306" s="1573">
        <v>0</v>
      </c>
    </row>
    <row r="307" spans="1:14" x14ac:dyDescent="0.2">
      <c r="A307" s="1273" t="s">
        <v>301</v>
      </c>
      <c r="B307" s="503">
        <v>4120</v>
      </c>
      <c r="C307" s="1672"/>
      <c r="D307" s="1672"/>
      <c r="E307" s="1573"/>
      <c r="F307" s="1672"/>
      <c r="G307" s="1672"/>
      <c r="H307" s="1573"/>
      <c r="I307" s="1581"/>
      <c r="J307" s="1672"/>
      <c r="K307" s="1671">
        <f>SUM(E307,H307)</f>
        <v>0</v>
      </c>
      <c r="L307" s="1572">
        <v>0</v>
      </c>
    </row>
    <row r="308" spans="1:14" x14ac:dyDescent="0.2">
      <c r="A308" s="1273" t="s">
        <v>692</v>
      </c>
      <c r="B308" s="503">
        <v>4140</v>
      </c>
      <c r="C308" s="1672"/>
      <c r="D308" s="1672"/>
      <c r="E308" s="1573"/>
      <c r="F308" s="1672"/>
      <c r="G308" s="1672"/>
      <c r="H308" s="1573"/>
      <c r="I308" s="1581"/>
      <c r="J308" s="1672"/>
      <c r="K308" s="1671">
        <f>SUM(E308,H308)</f>
        <v>0</v>
      </c>
      <c r="L308" s="1572">
        <v>0</v>
      </c>
    </row>
    <row r="309" spans="1:14" ht="12.75" customHeight="1" x14ac:dyDescent="0.2">
      <c r="A309" s="1277" t="s">
        <v>693</v>
      </c>
      <c r="B309" s="512">
        <v>4190</v>
      </c>
      <c r="C309" s="1672"/>
      <c r="D309" s="1672"/>
      <c r="E309" s="1573"/>
      <c r="F309" s="1672"/>
      <c r="G309" s="1672"/>
      <c r="H309" s="1573"/>
      <c r="I309" s="1581"/>
      <c r="J309" s="1672"/>
      <c r="K309" s="1671">
        <f>SUM(E309,H309)</f>
        <v>0</v>
      </c>
      <c r="L309" s="1572">
        <v>0</v>
      </c>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v>0</v>
      </c>
    </row>
    <row r="312" spans="1:14" s="548" customFormat="1" ht="12.75" customHeight="1" thickTop="1" thickBot="1" x14ac:dyDescent="0.25">
      <c r="A312" s="2369" t="s">
        <v>275</v>
      </c>
      <c r="B312" s="2370"/>
      <c r="C312" s="1673">
        <f>SUM(C303)</f>
        <v>0</v>
      </c>
      <c r="D312" s="1673">
        <f>SUM(D303)</f>
        <v>0</v>
      </c>
      <c r="E312" s="1673">
        <f>SUM(E303,E310)</f>
        <v>0</v>
      </c>
      <c r="F312" s="1673">
        <f>SUM(F303)</f>
        <v>0</v>
      </c>
      <c r="G312" s="1673">
        <f>SUM(G303)</f>
        <v>67676</v>
      </c>
      <c r="H312" s="1673">
        <f>SUM(H303,H310)</f>
        <v>0</v>
      </c>
      <c r="I312" s="1673">
        <f>SUM(I303)</f>
        <v>0</v>
      </c>
      <c r="J312" s="1673">
        <f>SUM(J303)</f>
        <v>0</v>
      </c>
      <c r="K312" s="1673">
        <f>SUM(K303,K310,K311)</f>
        <v>67676</v>
      </c>
      <c r="L312" s="1673">
        <f>SUM(L303,L310,L311)</f>
        <v>21761</v>
      </c>
      <c r="M312" s="539"/>
      <c r="N312" s="539"/>
    </row>
    <row r="313" spans="1:14" ht="13.5" thickTop="1" x14ac:dyDescent="0.2">
      <c r="A313" s="2365" t="s">
        <v>989</v>
      </c>
      <c r="B313" s="2366"/>
      <c r="C313" s="1676"/>
      <c r="D313" s="1676"/>
      <c r="E313" s="1676"/>
      <c r="F313" s="1676"/>
      <c r="G313" s="1676"/>
      <c r="H313" s="1676"/>
      <c r="I313" s="1676"/>
      <c r="J313" s="1676"/>
      <c r="K313" s="1695">
        <f>'Revenues 9-14'!H268-'Expenditures 15-22'!K312</f>
        <v>-47607</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378" t="s">
        <v>148</v>
      </c>
      <c r="B315" s="2379"/>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380" t="s">
        <v>892</v>
      </c>
      <c r="B317" s="2379"/>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v>0</v>
      </c>
      <c r="M319" s="539"/>
      <c r="N319" s="539"/>
    </row>
    <row r="320" spans="1:14" s="548" customFormat="1" x14ac:dyDescent="0.2">
      <c r="A320" s="1292" t="s">
        <v>1778</v>
      </c>
      <c r="B320" s="568" t="s">
        <v>280</v>
      </c>
      <c r="C320" s="1573"/>
      <c r="D320" s="1573"/>
      <c r="E320" s="1573">
        <v>306943</v>
      </c>
      <c r="F320" s="1573"/>
      <c r="G320" s="1573"/>
      <c r="H320" s="1573"/>
      <c r="I320" s="1573"/>
      <c r="J320" s="1573"/>
      <c r="K320" s="1671">
        <f t="shared" ref="K320:K327" si="24">SUM(C320:J320)</f>
        <v>306943</v>
      </c>
      <c r="L320" s="1573">
        <v>225000</v>
      </c>
      <c r="M320" s="539"/>
      <c r="N320" s="539"/>
    </row>
    <row r="321" spans="1:14" s="548" customFormat="1" x14ac:dyDescent="0.2">
      <c r="A321" s="1288" t="s">
        <v>297</v>
      </c>
      <c r="B321" s="567" t="s">
        <v>281</v>
      </c>
      <c r="C321" s="1573"/>
      <c r="D321" s="1573"/>
      <c r="E321" s="1573"/>
      <c r="F321" s="1573"/>
      <c r="G321" s="1573"/>
      <c r="H321" s="1573"/>
      <c r="I321" s="1573"/>
      <c r="J321" s="1573"/>
      <c r="K321" s="1671">
        <f t="shared" si="24"/>
        <v>0</v>
      </c>
      <c r="L321" s="1573">
        <v>0</v>
      </c>
      <c r="M321" s="539"/>
      <c r="N321" s="539"/>
    </row>
    <row r="322" spans="1:14" s="548" customFormat="1" x14ac:dyDescent="0.2">
      <c r="A322" s="1288" t="s">
        <v>236</v>
      </c>
      <c r="B322" s="567" t="s">
        <v>282</v>
      </c>
      <c r="C322" s="1573"/>
      <c r="D322" s="1573"/>
      <c r="E322" s="1573">
        <v>200793</v>
      </c>
      <c r="F322" s="1573"/>
      <c r="G322" s="1573"/>
      <c r="H322" s="1573"/>
      <c r="I322" s="1573"/>
      <c r="J322" s="1573"/>
      <c r="K322" s="1671">
        <f t="shared" si="24"/>
        <v>200793</v>
      </c>
      <c r="L322" s="1573">
        <v>0</v>
      </c>
      <c r="M322" s="539"/>
      <c r="N322" s="539"/>
    </row>
    <row r="323" spans="1:14" s="548" customFormat="1" x14ac:dyDescent="0.2">
      <c r="A323" s="1288" t="s">
        <v>697</v>
      </c>
      <c r="B323" s="567" t="s">
        <v>283</v>
      </c>
      <c r="C323" s="1573"/>
      <c r="D323" s="1573"/>
      <c r="E323" s="1573"/>
      <c r="F323" s="1573"/>
      <c r="G323" s="1573"/>
      <c r="H323" s="1573"/>
      <c r="I323" s="1573"/>
      <c r="J323" s="1573"/>
      <c r="K323" s="1671">
        <f t="shared" si="24"/>
        <v>0</v>
      </c>
      <c r="L323" s="1573">
        <v>0</v>
      </c>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v>0</v>
      </c>
      <c r="M324" s="539"/>
      <c r="N324" s="539"/>
    </row>
    <row r="325" spans="1:14" s="548" customFormat="1" ht="22.5" x14ac:dyDescent="0.2">
      <c r="A325" s="1288" t="s">
        <v>1022</v>
      </c>
      <c r="B325" s="568" t="s">
        <v>285</v>
      </c>
      <c r="C325" s="1573">
        <v>632493</v>
      </c>
      <c r="D325" s="1573">
        <v>138836</v>
      </c>
      <c r="E325" s="1573">
        <v>242580</v>
      </c>
      <c r="F325" s="1573"/>
      <c r="G325" s="1573"/>
      <c r="H325" s="1573"/>
      <c r="I325" s="1573"/>
      <c r="J325" s="1573"/>
      <c r="K325" s="1671">
        <f t="shared" si="24"/>
        <v>1013909</v>
      </c>
      <c r="L325" s="1573">
        <v>1347567</v>
      </c>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v>0</v>
      </c>
      <c r="M326" s="539"/>
      <c r="N326" s="539"/>
    </row>
    <row r="327" spans="1:14" s="548" customFormat="1" x14ac:dyDescent="0.2">
      <c r="A327" s="1288" t="s">
        <v>965</v>
      </c>
      <c r="B327" s="567" t="s">
        <v>287</v>
      </c>
      <c r="C327" s="1573"/>
      <c r="D327" s="1573"/>
      <c r="E327" s="1573">
        <v>42238</v>
      </c>
      <c r="F327" s="1573"/>
      <c r="G327" s="1573"/>
      <c r="H327" s="1573"/>
      <c r="I327" s="1573"/>
      <c r="J327" s="1573"/>
      <c r="K327" s="1671">
        <f t="shared" si="24"/>
        <v>42238</v>
      </c>
      <c r="L327" s="1573">
        <v>0</v>
      </c>
      <c r="M327" s="539"/>
      <c r="N327" s="539"/>
    </row>
    <row r="328" spans="1:14" s="548" customFormat="1" x14ac:dyDescent="0.2">
      <c r="A328" s="1289" t="s">
        <v>469</v>
      </c>
      <c r="B328" s="562" t="s">
        <v>1122</v>
      </c>
      <c r="C328" s="1578"/>
      <c r="D328" s="1578"/>
      <c r="E328" s="1578"/>
      <c r="F328" s="1578"/>
      <c r="G328" s="1578"/>
      <c r="H328" s="1578"/>
      <c r="I328" s="1578"/>
      <c r="J328" s="1578"/>
      <c r="K328" s="1712">
        <f>SUM(C328:J328)</f>
        <v>0</v>
      </c>
      <c r="L328" s="1578">
        <v>193000</v>
      </c>
      <c r="M328" s="539"/>
      <c r="N328" s="539"/>
    </row>
    <row r="329" spans="1:14" s="548" customFormat="1" x14ac:dyDescent="0.2">
      <c r="A329" s="1289" t="s">
        <v>1123</v>
      </c>
      <c r="B329" s="562" t="s">
        <v>1124</v>
      </c>
      <c r="C329" s="1578"/>
      <c r="D329" s="1578"/>
      <c r="E329" s="1578"/>
      <c r="F329" s="1578"/>
      <c r="G329" s="1578"/>
      <c r="H329" s="1578"/>
      <c r="I329" s="1578"/>
      <c r="J329" s="1578"/>
      <c r="K329" s="1712">
        <f>SUM(C329:J329)</f>
        <v>0</v>
      </c>
      <c r="L329" s="1578">
        <v>0</v>
      </c>
      <c r="M329" s="539"/>
      <c r="N329" s="539"/>
    </row>
    <row r="330" spans="1:14" s="548" customFormat="1" ht="12.75" customHeight="1" thickBot="1" x14ac:dyDescent="0.25">
      <c r="A330" s="1400" t="s">
        <v>712</v>
      </c>
      <c r="B330" s="1380" t="s">
        <v>565</v>
      </c>
      <c r="C330" s="1673">
        <f>SUM(C319:C329)</f>
        <v>632493</v>
      </c>
      <c r="D330" s="1673">
        <f t="shared" ref="D330:J330" si="25">SUM(D319:D329)</f>
        <v>138836</v>
      </c>
      <c r="E330" s="1673">
        <f t="shared" si="25"/>
        <v>792554</v>
      </c>
      <c r="F330" s="1673">
        <f t="shared" si="25"/>
        <v>0</v>
      </c>
      <c r="G330" s="1673">
        <f t="shared" si="25"/>
        <v>0</v>
      </c>
      <c r="H330" s="1673">
        <f t="shared" si="25"/>
        <v>0</v>
      </c>
      <c r="I330" s="1673">
        <f t="shared" si="25"/>
        <v>0</v>
      </c>
      <c r="J330" s="1673">
        <f t="shared" si="25"/>
        <v>0</v>
      </c>
      <c r="K330" s="1673">
        <f>SUM(K319:K329)</f>
        <v>1563883</v>
      </c>
      <c r="L330" s="1673">
        <f>SUM(L319:L329)</f>
        <v>1765567</v>
      </c>
      <c r="M330" s="539"/>
      <c r="N330" s="539"/>
    </row>
    <row r="331" spans="1:14" s="548" customFormat="1" ht="12.75" customHeight="1" thickTop="1" x14ac:dyDescent="0.2">
      <c r="A331" s="1466" t="s">
        <v>1814</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1808</v>
      </c>
      <c r="C332" s="1713"/>
      <c r="D332" s="1713"/>
      <c r="E332" s="1713"/>
      <c r="F332" s="1713"/>
      <c r="G332" s="1713"/>
      <c r="H332" s="1573"/>
      <c r="I332" s="1713"/>
      <c r="J332" s="1713"/>
      <c r="K332" s="1671">
        <f>H332</f>
        <v>0</v>
      </c>
      <c r="L332" s="1573">
        <v>0</v>
      </c>
      <c r="M332" s="539"/>
      <c r="N332" s="539"/>
    </row>
    <row r="333" spans="1:14" s="548" customFormat="1" ht="12.75" customHeight="1" x14ac:dyDescent="0.2">
      <c r="A333" s="1467" t="s">
        <v>301</v>
      </c>
      <c r="B333" s="1462" t="s">
        <v>1810</v>
      </c>
      <c r="C333" s="1713"/>
      <c r="D333" s="1713"/>
      <c r="E333" s="1713"/>
      <c r="F333" s="1713"/>
      <c r="G333" s="1713"/>
      <c r="H333" s="1573"/>
      <c r="I333" s="1713"/>
      <c r="J333" s="1713"/>
      <c r="K333" s="1671">
        <f>H333</f>
        <v>0</v>
      </c>
      <c r="L333" s="1573">
        <v>0</v>
      </c>
      <c r="M333" s="539"/>
      <c r="N333" s="539"/>
    </row>
    <row r="334" spans="1:14" s="548" customFormat="1" ht="12.75" customHeight="1" thickBot="1" x14ac:dyDescent="0.25">
      <c r="A334" s="1467" t="s">
        <v>1815</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v>0</v>
      </c>
    </row>
    <row r="338" spans="1:14" ht="12.75" customHeight="1" x14ac:dyDescent="0.2">
      <c r="A338" s="1287" t="s">
        <v>1160</v>
      </c>
      <c r="B338" s="562" t="s">
        <v>613</v>
      </c>
      <c r="C338" s="1683"/>
      <c r="D338" s="1683"/>
      <c r="E338" s="1683"/>
      <c r="F338" s="1683"/>
      <c r="G338" s="1683"/>
      <c r="H338" s="1582"/>
      <c r="I338" s="1683"/>
      <c r="J338" s="1683"/>
      <c r="K338" s="1671">
        <f>H338</f>
        <v>0</v>
      </c>
      <c r="L338" s="1582">
        <v>0</v>
      </c>
    </row>
    <row r="339" spans="1:14" x14ac:dyDescent="0.2">
      <c r="A339" s="1273" t="s">
        <v>895</v>
      </c>
      <c r="B339" s="512">
        <v>5150</v>
      </c>
      <c r="C339" s="1683"/>
      <c r="D339" s="1683"/>
      <c r="E339" s="1683"/>
      <c r="F339" s="1683"/>
      <c r="G339" s="1683"/>
      <c r="H339" s="1573"/>
      <c r="I339" s="1683"/>
      <c r="J339" s="1683"/>
      <c r="K339" s="1671">
        <f>H339</f>
        <v>0</v>
      </c>
      <c r="L339" s="1573">
        <v>0</v>
      </c>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v>0</v>
      </c>
    </row>
    <row r="342" spans="1:14" ht="12.75" customHeight="1" thickTop="1" thickBot="1" x14ac:dyDescent="0.25">
      <c r="A342" s="1388" t="s">
        <v>502</v>
      </c>
      <c r="B342" s="1401"/>
      <c r="C342" s="1673">
        <f>SUM(C330)</f>
        <v>632493</v>
      </c>
      <c r="D342" s="1673">
        <f>SUM(D330)</f>
        <v>138836</v>
      </c>
      <c r="E342" s="1673">
        <f>SUM(E330)</f>
        <v>792554</v>
      </c>
      <c r="F342" s="1673">
        <f>SUM(F330)</f>
        <v>0</v>
      </c>
      <c r="G342" s="1673">
        <f>SUM(G330)</f>
        <v>0</v>
      </c>
      <c r="H342" s="1673">
        <f>SUM(H330,H334,H340)</f>
        <v>0</v>
      </c>
      <c r="I342" s="1673">
        <f>SUM(I330)</f>
        <v>0</v>
      </c>
      <c r="J342" s="1673">
        <f>SUM(J330)</f>
        <v>0</v>
      </c>
      <c r="K342" s="1673">
        <f>SUM(K330,K334,K340)</f>
        <v>1563883</v>
      </c>
      <c r="L342" s="1680">
        <f>SUM(L330,L334,L340,L341)</f>
        <v>1765567</v>
      </c>
    </row>
    <row r="343" spans="1:14" ht="12.75" customHeight="1" thickTop="1" x14ac:dyDescent="0.2">
      <c r="A343" s="2367" t="s">
        <v>989</v>
      </c>
      <c r="B343" s="2368"/>
      <c r="C343" s="1672"/>
      <c r="D343" s="1672"/>
      <c r="E343" s="1672"/>
      <c r="F343" s="1672"/>
      <c r="G343" s="1672"/>
      <c r="H343" s="1672"/>
      <c r="I343" s="1672"/>
      <c r="J343" s="1672"/>
      <c r="K343" s="1688">
        <f>'Revenues 9-14'!J268-'Expenditures 15-22'!K342</f>
        <v>72050</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357" t="s">
        <v>960</v>
      </c>
      <c r="B345" s="2358"/>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v>221000</v>
      </c>
    </row>
    <row r="349" spans="1:14" x14ac:dyDescent="0.2">
      <c r="A349" s="1273" t="s">
        <v>195</v>
      </c>
      <c r="B349" s="503">
        <v>2540</v>
      </c>
      <c r="C349" s="1572"/>
      <c r="D349" s="1572"/>
      <c r="E349" s="1572"/>
      <c r="F349" s="1572"/>
      <c r="G349" s="1572"/>
      <c r="H349" s="1572"/>
      <c r="I349" s="1573"/>
      <c r="J349" s="1573"/>
      <c r="K349" s="1671">
        <f>SUM(C349:J349)</f>
        <v>0</v>
      </c>
      <c r="L349" s="1572">
        <v>0</v>
      </c>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221000</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v>0</v>
      </c>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221000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1816</v>
      </c>
      <c r="B354" s="557" t="s">
        <v>1808</v>
      </c>
      <c r="C354" s="1672"/>
      <c r="D354" s="1672"/>
      <c r="E354" s="1672"/>
      <c r="F354" s="1672"/>
      <c r="G354" s="1672"/>
      <c r="H354" s="1578"/>
      <c r="I354" s="1715"/>
      <c r="J354" s="1672"/>
      <c r="K354" s="1712">
        <f>H354</f>
        <v>0</v>
      </c>
      <c r="L354" s="1576">
        <v>0</v>
      </c>
    </row>
    <row r="355" spans="1:14" ht="12.75" customHeight="1" x14ac:dyDescent="0.2">
      <c r="A355" s="1282" t="s">
        <v>1817</v>
      </c>
      <c r="B355" s="562" t="s">
        <v>1810</v>
      </c>
      <c r="C355" s="1672"/>
      <c r="D355" s="1672"/>
      <c r="E355" s="1672"/>
      <c r="F355" s="1672"/>
      <c r="G355" s="1672"/>
      <c r="H355" s="1573"/>
      <c r="I355" s="1715"/>
      <c r="J355" s="1672"/>
      <c r="K355" s="1606">
        <f>H355</f>
        <v>0</v>
      </c>
      <c r="L355" s="1573">
        <v>0</v>
      </c>
    </row>
    <row r="356" spans="1:14" ht="12.75" customHeight="1" x14ac:dyDescent="0.2">
      <c r="A356" s="1468" t="s">
        <v>693</v>
      </c>
      <c r="B356" s="557" t="s">
        <v>554</v>
      </c>
      <c r="C356" s="1672"/>
      <c r="D356" s="1672"/>
      <c r="E356" s="1672"/>
      <c r="F356" s="1672"/>
      <c r="G356" s="1672"/>
      <c r="H356" s="1583"/>
      <c r="I356" s="1715"/>
      <c r="J356" s="1672"/>
      <c r="K356" s="1599">
        <f>H356</f>
        <v>0</v>
      </c>
      <c r="L356" s="1583">
        <v>0</v>
      </c>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v>0</v>
      </c>
    </row>
    <row r="361" spans="1:14" ht="12.75" customHeight="1" x14ac:dyDescent="0.2">
      <c r="A361" s="1274" t="s">
        <v>615</v>
      </c>
      <c r="B361" s="494" t="s">
        <v>614</v>
      </c>
      <c r="C361" s="1672"/>
      <c r="D361" s="1672"/>
      <c r="E361" s="1672"/>
      <c r="F361" s="1672"/>
      <c r="G361" s="1672"/>
      <c r="H361" s="1573"/>
      <c r="I361" s="1672"/>
      <c r="J361" s="1672"/>
      <c r="K361" s="1671">
        <f>SUM(C361:J361)</f>
        <v>0</v>
      </c>
      <c r="L361" s="1572">
        <v>0</v>
      </c>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v>0</v>
      </c>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v>0</v>
      </c>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v>0</v>
      </c>
      <c r="M366" s="501"/>
      <c r="N366" s="501"/>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221000</v>
      </c>
    </row>
    <row r="368" spans="1:14" ht="13.5" thickTop="1" x14ac:dyDescent="0.2">
      <c r="A368" s="2354" t="s">
        <v>989</v>
      </c>
      <c r="B368" s="2355"/>
      <c r="C368" s="1693"/>
      <c r="D368" s="1693"/>
      <c r="E368" s="1676"/>
      <c r="F368" s="1676"/>
      <c r="G368" s="1676"/>
      <c r="H368" s="1676"/>
      <c r="I368" s="1676"/>
      <c r="J368" s="1675"/>
      <c r="K368" s="1671">
        <f>'Revenues 9-14'!K268-'Expenditures 15-22'!K367</f>
        <v>170990</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pageOrder="overThenDown"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4d435f69-8686-490b-bd6d-b153bf22ab50"/>
    <ds:schemaRef ds:uri="d21dc803-237d-4c68-8692-8d731fd29118"/>
    <ds:schemaRef ds:uri="http://purl.org/dc/terms/"/>
    <ds:schemaRef ds:uri="6ce3111e-7420-4802-b50a-75d4e9a0b980"/>
    <ds:schemaRef ds:uri="http://schemas.microsoft.com/sharepoint/v3"/>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Short-Term Long-Term Debt 2 (2)</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SEFA(2)</vt:lpstr>
      <vt:lpstr>SEFA(3)</vt:lpstr>
      <vt:lpstr>SEFA(4)</vt:lpstr>
      <vt:lpstr>SEFA(5)</vt:lpstr>
      <vt:lpstr>SEFA(6)</vt:lpstr>
      <vt:lpstr>SEFA NOTES</vt:lpstr>
      <vt:lpstr>SF&amp;QC Sec-1</vt:lpstr>
      <vt:lpstr>SF&amp;QC Sec-2</vt:lpstr>
      <vt:lpstr>SF&amp;QC Sec-2 (2)</vt:lpstr>
      <vt:lpstr>SF&amp;QC Sec-2 (3)</vt:lpstr>
      <vt:lpstr>SF&amp;QC Sec-3</vt:lpstr>
      <vt:lpstr>SSPAF</vt:lpstr>
      <vt:lpstr>' SEFA'!Print_Area</vt:lpstr>
      <vt:lpstr>'Itemization 34'!Print_Area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2020-12-15T17:38:43Z</cp:lastPrinted>
  <dcterms:created xsi:type="dcterms:W3CDTF">2003-10-29T19:06:34Z</dcterms:created>
  <dcterms:modified xsi:type="dcterms:W3CDTF">2020-12-17T01:58:16Z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Reports - Separately issue SI (AFR)</vt:lpwstr>
  </property>
  <property fmtid="{D5CDD505-2E9C-101B-9397-08002B2CF9AE}" pid="5" name="tabIndex">
    <vt:lpwstr>0105</vt:lpwstr>
  </property>
  <property fmtid="{D5CDD505-2E9C-101B-9397-08002B2CF9AE}" pid="6" name="workpaperIndex">
    <vt:lpwstr>0105.12</vt:lpwstr>
  </property>
</Properties>
</file>