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92BD203-0AEE-485D-8014-E82E0BC4B0D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3)" sheetId="186"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9">' SEFA'!$B$1:$M$46</definedName>
    <definedName name="_xlnm.Print_Area" localSheetId="27">' SEFA (2)'!$B$1:$M$46</definedName>
    <definedName name="_xlnm.Print_Area" localSheetId="28">'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27">#REF!</definedName>
    <definedName name="SCHADDRS" localSheetId="28">#REF!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27">#REF!</definedName>
    <definedName name="SCHCTY" localSheetId="28">#REF!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27">#REF!</definedName>
    <definedName name="SCHNMBR" localSheetId="28">#REF!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27">#REF!</definedName>
    <definedName name="SCHNME" localSheetId="28">#REF!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27">#REF!</definedName>
    <definedName name="SUPT" localSheetId="28">#REF!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7" i="186" l="1"/>
  <c r="L26" i="186"/>
  <c r="L25" i="186"/>
  <c r="L24" i="186"/>
  <c r="L23" i="186"/>
  <c r="L22" i="186"/>
  <c r="L21" i="186"/>
  <c r="L20" i="186"/>
  <c r="L19" i="186"/>
  <c r="L18" i="186"/>
  <c r="L17" i="186"/>
  <c r="L16" i="186"/>
  <c r="L15" i="186"/>
  <c r="L14" i="186"/>
  <c r="L13" i="186"/>
  <c r="L12" i="186"/>
  <c r="L11" i="186"/>
  <c r="I9" i="186"/>
  <c r="G9" i="186"/>
  <c r="F9" i="186"/>
  <c r="E9" i="186"/>
  <c r="J8" i="186"/>
  <c r="H8" i="186"/>
  <c r="B4" i="186"/>
  <c r="B2" i="186"/>
  <c r="B1" i="186"/>
  <c r="L27" i="185"/>
  <c r="L26" i="185"/>
  <c r="L25" i="185"/>
  <c r="L24" i="185"/>
  <c r="L23" i="185"/>
  <c r="L22" i="185"/>
  <c r="L21" i="185"/>
  <c r="L20" i="185"/>
  <c r="L19" i="185"/>
  <c r="L18" i="185"/>
  <c r="L17" i="185"/>
  <c r="L16" i="185"/>
  <c r="L15" i="185"/>
  <c r="L14" i="185"/>
  <c r="L13" i="185"/>
  <c r="L12" i="185"/>
  <c r="L11" i="185"/>
  <c r="I9" i="185"/>
  <c r="G9" i="185"/>
  <c r="F9" i="185"/>
  <c r="E9" i="185"/>
  <c r="J8" i="185"/>
  <c r="H8" i="185"/>
  <c r="B4" i="185"/>
  <c r="B2" i="185"/>
  <c r="B1"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10" i="29" l="1"/>
  <c r="B7072" i="106" s="1"/>
  <c r="D7072" i="106" s="1"/>
  <c r="F36" i="34"/>
  <c r="B7828" i="106" s="1"/>
  <c r="D7828" i="106" s="1"/>
  <c r="F67" i="34"/>
  <c r="B6289" i="106"/>
  <c r="D6289" i="106" s="1"/>
  <c r="J129" i="29"/>
  <c r="B7038" i="106" s="1"/>
  <c r="D7038" i="106" s="1"/>
  <c r="D69" i="36"/>
  <c r="F64" i="34"/>
  <c r="G30" i="108"/>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B1225" i="106" s="1"/>
  <c r="D1225" i="106" s="1"/>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1328" i="106" l="1"/>
  <c r="D1328" i="106" s="1"/>
  <c r="K365" i="29"/>
  <c r="L16" i="11"/>
  <c r="B2061" i="106" s="1"/>
  <c r="D2061" i="106" s="1"/>
  <c r="N23" i="3"/>
  <c r="B284" i="106" s="1"/>
  <c r="D284" i="106" s="1"/>
  <c r="K342" i="29"/>
  <c r="F13" i="34" s="1"/>
  <c r="B6216" i="106"/>
  <c r="D6216" i="106" s="1"/>
  <c r="B1381" i="106"/>
  <c r="D1381" i="106" s="1"/>
  <c r="F41" i="108"/>
  <c r="G43" i="108" s="1"/>
  <c r="D44" i="36"/>
  <c r="B7220" i="106"/>
  <c r="D7220" i="106" s="1"/>
  <c r="F75" i="34"/>
  <c r="B7886" i="106" s="1"/>
  <c r="D7886" i="106" s="1"/>
  <c r="L114" i="29"/>
  <c r="E367" i="29"/>
  <c r="B3636" i="106" s="1"/>
  <c r="D3636" i="106" s="1"/>
  <c r="B3635" i="106"/>
  <c r="D3635" i="106" s="1"/>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F8" i="4"/>
  <c r="F10" i="4" s="1"/>
  <c r="B4125" i="106" s="1"/>
  <c r="D41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<sst xmlns="http://schemas.openxmlformats.org/spreadsheetml/2006/main" count="5326" uniqueCount="2145">
  <si>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</si>
  <si>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</si>
  <si>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</si>
  <si>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</si>
  <si>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</si>
  <si>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</si>
  <si>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</si>
  <si>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</si>
  <si>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</si>
  <si>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</si>
  <si>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</si>
  <si>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</si>
  <si>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</si>
  <si>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</si>
  <si>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</si>
  <si>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</si>
  <si>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</si>
  <si>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</si>
  <si>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</si>
  <si>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</si>
  <si>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</si>
  <si>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</si>
  <si>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</si>
  <si>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</si>
  <si>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</si>
  <si>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</si>
  <si>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</si>
  <si>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</si>
  <si>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</si>
  <si>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</si>
  <si>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</si>
  <si>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</si>
  <si>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</si>
  <si>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</si>
  <si>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</si>
  <si>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</si>
  <si>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</si>
  <si>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</si>
  <si>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</si>
  <si>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</si>
  <si>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</si>
  <si>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</si>
  <si>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</si>
  <si>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</si>
  <si>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</si>
  <si>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</si>
  <si>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</si>
  <si>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</si>
  <si>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</si>
  <si>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</si>
  <si>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</si>
  <si>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</si>
  <si>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</si>
  <si>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</si>
  <si>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</si>
  <si>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</si>
  <si>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</si>
  <si>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</si>
  <si>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</si>
  <si>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</si>
  <si>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</si>
  <si>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</si>
  <si>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</si>
  <si>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</si>
  <si>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</si>
  <si>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</si>
  <si>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</si>
  <si>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</si>
  <si>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</si>
  <si>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</si>
  <si>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</si>
  <si>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</si>
  <si>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</si>
  <si>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</si>
  <si>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</si>
  <si>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</si>
  <si>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</si>
  <si>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</si>
  <si>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</si>
  <si>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</si>
  <si>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</si>
  <si>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</si>
  <si>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</si>
  <si>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</si>
  <si>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</si>
  <si>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</si>
  <si>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</si>
  <si>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</si>
  <si>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</si>
  <si>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</si>
  <si>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</si>
  <si>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</si>
  <si>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</si>
  <si>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</si>
  <si>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</si>
  <si>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</si>
  <si>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</si>
  <si>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</si>
  <si>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</si>
  <si>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</si>
  <si>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</si>
  <si>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</si>
  <si>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</si>
  <si>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</si>
  <si>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</si>
  <si>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</si>
  <si>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</si>
  <si>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</si>
  <si>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</si>
  <si>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</si>
  <si>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</si>
  <si>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</si>
  <si>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</si>
  <si>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</si>
  <si>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</si>
  <si>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</si>
  <si>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</si>
  <si>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</si>
  <si>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</si>
  <si>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</si>
  <si>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</si>
  <si>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</si>
  <si>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</si>
  <si>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</si>
  <si>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</si>
  <si>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</si>
  <si>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</si>
  <si>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</si>
  <si>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</si>
  <si>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</si>
  <si>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</si>
  <si>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</si>
  <si>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</si>
  <si>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</si>
  <si>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</si>
  <si>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</si>
  <si>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</si>
  <si>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</si>
  <si>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</si>
  <si>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</si>
  <si>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</si>
  <si>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</si>
  <si>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</si>
  <si>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</si>
  <si>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</si>
  <si>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</si>
  <si>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</si>
  <si>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</si>
  <si>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</si>
  <si>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</si>
  <si>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</si>
  <si>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</si>
  <si>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</si>
  <si>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</si>
  <si>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</si>
  <si>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</si>
  <si>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</si>
  <si>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</si>
  <si>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</si>
  <si>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</si>
  <si>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</si>
  <si>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</si>
  <si>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</si>
  <si>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</si>
  <si>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</si>
  <si>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</si>
  <si>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</si>
  <si>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</si>
  <si>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</si>
  <si>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</si>
  <si>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</si>
  <si>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</si>
  <si>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</si>
  <si>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</si>
  <si>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</si>
  <si>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</si>
  <si>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</si>
  <si>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</si>
  <si>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</si>
  <si>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</si>
  <si>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</si>
  <si>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</si>
  <si>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</si>
  <si>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</si>
  <si>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</si>
  <si>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</si>
  <si>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</si>
  <si>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</si>
  <si>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</si>
  <si>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</si>
  <si>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</si>
  <si>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</si>
  <si>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</si>
  <si>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</si>
  <si>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</si>
  <si>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</si>
  <si>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</si>
  <si>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</si>
  <si>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</si>
  <si>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</si>
  <si>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</si>
  <si>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</si>
  <si>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</si>
  <si>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</si>
  <si>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</si>
  <si>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</si>
  <si>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</si>
  <si>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</si>
  <si>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</si>
  <si>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</si>
  <si>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</si>
  <si>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</si>
  <si>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</si>
  <si>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</si>
  <si>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</si>
  <si>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</si>
  <si>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</si>
  <si>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</si>
  <si>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</si>
  <si>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</si>
  <si>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</si>
  <si>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</si>
  <si>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</si>
  <si>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</si>
  <si>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</si>
  <si>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</si>
  <si>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</si>
  <si>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</si>
  <si>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</si>
  <si>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</si>
  <si>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</si>
  <si>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</si>
  <si>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</si>
  <si>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</si>
  <si>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</si>
  <si>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</si>
  <si>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</si>
  <si>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</si>
  <si>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</si>
  <si>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</si>
  <si>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</si>
  <si>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</si>
  <si>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</si>
  <si>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</si>
  <si>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</si>
  <si>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</si>
  <si>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</si>
  <si>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</si>
  <si>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</si>
  <si>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</si>
  <si>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</si>
  <si>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</si>
  <si>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</si>
  <si>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</si>
  <si>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</si>
  <si>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</si>
  <si>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</si>
  <si>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</si>
  <si>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</si>
  <si>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</si>
  <si>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</si>
  <si>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</si>
  <si>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</si>
  <si>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</si>
  <si>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</si>
  <si>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</si>
  <si>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</si>
  <si>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</si>
  <si>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</si>
  <si>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</si>
  <si>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</si>
  <si>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</si>
  <si>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</si>
  <si>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</si>
  <si>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</si>
  <si>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</si>
  <si>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</si>
  <si>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</si>
  <si>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</si>
  <si>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</si>
  <si>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</si>
  <si>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</si>
  <si>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</si>
  <si>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</si>
  <si>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</si>
  <si>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</si>
  <si>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</si>
  <si>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</si>
  <si>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</si>
  <si>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</si>
  <si>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</si>
  <si>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</si>
  <si>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</si>
  <si>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</si>
  <si>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</si>
  <si>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</si>
  <si>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</si>
  <si>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</si>
  <si>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</si>
  <si>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</si>
  <si>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</si>
  <si>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</si>
  <si>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</si>
  <si>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</si>
  <si>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</si>
  <si>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</si>
  <si>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</si>
  <si>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</si>
  <si>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</si>
  <si>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</si>
  <si>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</si>
  <si>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</si>
  <si>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</si>
  <si>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</si>
  <si>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</si>
  <si>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</si>
  <si>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</si>
  <si>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</si>
  <si>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</si>
  <si>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</si>
  <si>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</si>
  <si>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</si>
  <si>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</si>
  <si>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</si>
  <si>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</si>
  <si>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</si>
  <si>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</si>
  <si>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</si>
  <si>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</si>
  <si>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</si>
  <si>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</si>
  <si>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</si>
  <si>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</si>
  <si>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</si>
  <si>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</si>
  <si>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</si>
  <si>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</si>
  <si>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</si>
  <si>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</si>
  <si>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</si>
  <si>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</si>
  <si>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</si>
  <si>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</si>
  <si>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</si>
  <si>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</si>
  <si>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</si>
  <si>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</si>
  <si>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</si>
  <si>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</si>
  <si>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</si>
  <si>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</si>
  <si>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</si>
  <si>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</si>
  <si>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</si>
  <si>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</si>
  <si>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</si>
  <si>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</si>
  <si>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</si>
  <si>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</si>
  <si>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</si>
  <si>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</si>
  <si>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</si>
  <si>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</si>
  <si>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</si>
  <si>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</si>
  <si>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</si>
  <si>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</si>
  <si>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</si>
  <si>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</si>
  <si>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</si>
  <si>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</si>
  <si>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</si>
  <si>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</si>
  <si>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</si>
  <si>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</si>
  <si>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</si>
  <si>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</si>
  <si>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</si>
  <si>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</si>
  <si>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</si>
  <si>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</si>
  <si>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</si>
  <si>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</si>
  <si>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</si>
  <si>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</si>
  <si>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</si>
  <si>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</si>
  <si>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</si>
  <si>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</si>
  <si>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</si>
  <si>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</si>
  <si>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</si>
  <si>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</si>
  <si>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</si>
  <si>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</si>
  <si>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</si>
  <si>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</si>
  <si>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</si>
  <si>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</si>
  <si>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</si>
  <si>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</si>
  <si>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</si>
  <si>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</si>
  <si>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</si>
  <si>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</si>
  <si>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</si>
  <si>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</si>
  <si>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</si>
  <si>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</si>
  <si>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</si>
  <si>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</si>
  <si>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</si>
  <si>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</si>
  <si>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</si>
  <si>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</si>
  <si>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</si>
  <si>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</si>
  <si>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</si>
  <si>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</si>
  <si>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</si>
  <si>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</si>
  <si>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</si>
  <si>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</si>
  <si>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</si>
  <si>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</si>
  <si>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</si>
  <si>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</si>
  <si>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</si>
  <si>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</si>
  <si>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</si>
  <si>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</si>
  <si>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</si>
  <si>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</si>
  <si>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</si>
  <si>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</si>
  <si>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</si>
  <si>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</si>
  <si>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</si>
  <si>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</si>
  <si>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</si>
  <si>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</si>
  <si>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</si>
  <si>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</si>
  <si>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</si>
  <si>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</si>
  <si>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</si>
  <si>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</si>
  <si>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</si>
  <si>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</si>
  <si>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</si>
  <si>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</si>
  <si>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</si>
  <si>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</si>
  <si>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</si>
  <si>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</si>
  <si>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</si>
  <si>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</si>
  <si>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</si>
  <si>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</si>
  <si>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</si>
  <si>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</si>
  <si>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</si>
  <si>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</si>
  <si>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</si>
  <si>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</si>
  <si>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</si>
  <si>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</si>
  <si>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</si>
  <si>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</si>
  <si>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</si>
  <si>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</si>
  <si>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</si>
  <si>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</si>
  <si>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</si>
  <si>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</si>
  <si>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</si>
  <si>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</si>
  <si>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</si>
  <si>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</si>
  <si>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</si>
  <si>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</si>
  <si>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</si>
  <si>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</si>
  <si>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</si>
  <si>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</si>
  <si>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</si>
  <si>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</si>
  <si>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</si>
  <si>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</si>
  <si>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</si>
  <si>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</si>
  <si>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</si>
  <si>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</si>
  <si>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</si>
  <si>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</si>
  <si>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</si>
  <si>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</si>
  <si>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</si>
  <si>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</si>
  <si>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</si>
  <si>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</si>
  <si>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</si>
  <si>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</si>
  <si>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</si>
  <si>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</si>
  <si>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</si>
  <si>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</si>
  <si>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</si>
  <si>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</si>
  <si>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</si>
  <si>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</si>
  <si>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</si>
  <si>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</si>
  <si>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</si>
  <si>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</si>
  <si>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</si>
  <si>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</si>
  <si>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</si>
  <si>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</si>
  <si>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</si>
  <si>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</si>
  <si>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</si>
  <si>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</si>
  <si>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</si>
  <si>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</si>
  <si>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</si>
  <si>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</si>
  <si>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</si>
  <si>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</si>
  <si>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</si>
  <si>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</si>
  <si>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</si>
  <si>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</si>
  <si>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</si>
  <si>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</si>
  <si>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</si>
  <si>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</si>
  <si>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</si>
  <si>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</si>
  <si>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</si>
  <si>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</si>
  <si>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</si>
  <si>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</si>
  <si>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</si>
  <si>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</si>
  <si>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</si>
  <si>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</si>
  <si>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</si>
  <si>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</si>
  <si>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</si>
  <si>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</si>
  <si>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</si>
  <si>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</si>
  <si>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</si>
  <si>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</si>
  <si>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</si>
  <si>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</si>
  <si>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</si>
  <si>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</si>
  <si>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</si>
  <si>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</si>
  <si>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</si>
  <si>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</si>
  <si>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</si>
  <si>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</si>
  <si>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</si>
  <si>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</si>
  <si>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</si>
  <si>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</si>
  <si>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</si>
  <si>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</si>
  <si>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</si>
  <si>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</si>
  <si>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</si>
  <si>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</si>
  <si>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</si>
  <si>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</si>
  <si>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</si>
  <si>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</si>
  <si>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</si>
  <si>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</si>
  <si>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</si>
  <si>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</si>
  <si>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</si>
  <si>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</si>
  <si>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</si>
  <si>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</si>
  <si>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</si>
  <si>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</si>
  <si>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</si>
  <si>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</si>
  <si>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</si>
  <si>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</si>
  <si>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</si>
  <si>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</si>
  <si>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</si>
  <si>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</si>
  <si>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</si>
  <si>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</si>
  <si>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</si>
  <si>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</si>
  <si>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</si>
  <si>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</si>
  <si>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</si>
  <si>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</si>
  <si>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</si>
  <si>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</si>
  <si>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</si>
  <si>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</si>
  <si>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</si>
  <si>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</si>
  <si>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</si>
  <si>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</si>
  <si>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</si>
  <si>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</si>
  <si>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</si>
  <si>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</si>
  <si>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</si>
  <si>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</si>
  <si>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</si>
  <si>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</si>
  <si>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</si>
  <si>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</si>
  <si>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</si>
  <si>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</si>
  <si>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</si>
  <si>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</si>
  <si>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</si>
  <si>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</si>
  <si>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</si>
  <si>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</si>
  <si>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</si>
  <si>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</si>
  <si>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</si>
  <si>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</si>
  <si>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</si>
  <si>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</si>
  <si>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</si>
  <si>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</si>
  <si>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</si>
  <si>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</si>
  <si>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</si>
  <si>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</si>
  <si>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</si>
  <si>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</si>
  <si>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</si>
  <si>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</si>
  <si>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</si>
  <si>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</si>
  <si>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</si>
  <si>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</si>
  <si>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</si>
  <si>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</si>
  <si>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</si>
  <si>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</si>
  <si>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</si>
  <si>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</si>
  <si>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</si>
  <si>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</si>
  <si>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</si>
  <si>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</si>
  <si>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</si>
  <si>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</si>
  <si>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</si>
  <si>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</si>
  <si>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</si>
  <si>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</si>
  <si>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</si>
  <si>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</si>
  <si>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</si>
  <si>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</si>
  <si>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</si>
  <si>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</si>
  <si>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</si>
  <si>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</si>
  <si>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</si>
  <si>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</si>
  <si>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</si>
  <si>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</si>
  <si>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</si>
  <si>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</si>
  <si>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</si>
  <si>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</si>
  <si>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</si>
  <si>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</si>
  <si>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</si>
  <si>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</si>
  <si>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</si>
  <si>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</si>
  <si>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</si>
  <si>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</si>
  <si>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</si>
  <si>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</si>
  <si>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</si>
  <si>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</si>
  <si>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</si>
  <si>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</si>
  <si>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</si>
  <si>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</si>
  <si>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</si>
  <si>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</si>
  <si>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</si>
  <si>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</si>
  <si>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</si>
  <si>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</si>
  <si>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</si>
  <si>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</si>
  <si>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</si>
  <si>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</si>
  <si>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</si>
  <si>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</si>
  <si>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</si>
  <si>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</si>
  <si>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</si>
  <si>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</si>
  <si>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</si>
  <si>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</si>
  <si>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</si>
  <si>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</si>
  <si>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</si>
  <si>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</si>
  <si>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</si>
  <si>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</si>
  <si>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</si>
  <si>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</si>
  <si>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</si>
  <si>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</si>
  <si>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</si>
  <si>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</si>
  <si>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</si>
  <si>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</si>
  <si>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</si>
  <si>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</si>
  <si>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</si>
  <si>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</si>
  <si>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</si>
  <si>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</si>
  <si>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</si>
  <si>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</si>
  <si>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</si>
  <si>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</si>
  <si>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</si>
  <si>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</si>
  <si>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</si>
  <si>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</si>
  <si>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</si>
  <si>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</si>
  <si>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</si>
  <si>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</si>
  <si>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</si>
  <si>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</si>
  <si>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</si>
  <si>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</si>
  <si>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</si>
  <si>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</si>
  <si>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</si>
  <si>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</si>
  <si>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</si>
  <si>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</si>
  <si>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</si>
  <si>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</si>
  <si>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</si>
  <si>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</si>
  <si>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</si>
  <si>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</si>
  <si>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</si>
  <si>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</si>
  <si>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</si>
  <si>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</si>
  <si>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</si>
  <si>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</si>
  <si>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</si>
  <si>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</si>
  <si>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</si>
  <si>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</si>
  <si>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</si>
  <si>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</si>
  <si>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</si>
  <si>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</si>
  <si>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</si>
  <si>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</si>
  <si>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</si>
  <si>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</si>
  <si>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</si>
  <si>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</si>
  <si>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</si>
  <si>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</si>
  <si>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</si>
  <si>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</si>
  <si>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</si>
  <si>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</si>
  <si>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</si>
  <si>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</si>
  <si>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</si>
  <si>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</si>
  <si>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</si>
  <si>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</si>
  <si>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</si>
  <si>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</si>
  <si>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</si>
  <si>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</si>
  <si>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</si>
  <si>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</si>
  <si>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</si>
  <si>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</si>
  <si>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</si>
  <si>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</si>
  <si>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</si>
  <si>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</si>
  <si>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</si>
  <si>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</si>
  <si>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</si>
  <si>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</si>
  <si>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</si>
  <si>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</si>
  <si>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</si>
  <si>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</si>
  <si>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</si>
  <si>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</si>
  <si>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</si>
  <si>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</si>
  <si>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</si>
  <si>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</si>
  <si>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</si>
  <si>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</si>
  <si>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</si>
  <si>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</si>
  <si>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</si>
  <si>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</si>
  <si>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</si>
  <si>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</si>
  <si>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</si>
  <si>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</si>
  <si>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</si>
  <si>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</si>
  <si>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</si>
  <si>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</si>
  <si>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</si>
  <si>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</si>
  <si>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</si>
  <si>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</si>
  <si>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</si>
  <si>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</si>
  <si>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</si>
  <si>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</si>
  <si>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</si>
  <si>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</si>
  <si>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</si>
  <si>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</si>
  <si>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</si>
  <si>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</si>
  <si>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</si>
  <si>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</si>
  <si>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</si>
  <si>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</si>
  <si>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</si>
  <si>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</si>
  <si>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</si>
  <si>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</si>
  <si>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</si>
  <si>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</si>
  <si>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</si>
  <si>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</si>
  <si>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</si>
  <si>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</si>
  <si>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</si>
  <si>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</si>
  <si>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</si>
  <si>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</si>
  <si>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</si>
  <si>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</si>
  <si>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</si>
  <si>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</si>
  <si>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</si>
  <si>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</si>
  <si>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</si>
  <si>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</si>
  <si>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</si>
  <si>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</si>
  <si>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</si>
  <si>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</si>
  <si>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</si>
  <si>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</si>
  <si>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</si>
  <si>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</si>
  <si>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</si>
  <si>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</si>
  <si>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</si>
  <si>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</si>
  <si>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</si>
  <si>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</si>
  <si>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</si>
  <si>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</si>
  <si>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</si>
  <si>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</si>
  <si>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</si>
  <si>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</si>
  <si>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</si>
  <si>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</si>
  <si>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</si>
  <si>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</si>
  <si>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</si>
  <si>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</si>
  <si>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</si>
  <si>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</si>
  <si>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</si>
  <si>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</si>
  <si>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</si>
  <si>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</si>
  <si>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</si>
  <si>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</si>
  <si>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</si>
  <si>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</si>
  <si>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</si>
  <si>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</si>
  <si>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</si>
  <si>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</si>
  <si>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</si>
  <si>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</si>
  <si>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</si>
  <si>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</si>
  <si>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</si>
  <si>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</si>
  <si>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</si>
  <si>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</si>
  <si>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</si>
  <si>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</si>
  <si>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</si>
  <si>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</si>
  <si>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</si>
  <si>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</si>
  <si>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</si>
  <si>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</si>
  <si>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</si>
  <si>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</si>
  <si>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</si>
  <si>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</si>
  <si>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</si>
  <si>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</si>
  <si>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</si>
  <si>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</si>
  <si>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</si>
  <si>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</si>
  <si>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</si>
  <si>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</si>
  <si>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</si>
  <si>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</si>
  <si>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</si>
  <si>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</si>
  <si>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</si>
  <si>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</si>
  <si>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</si>
  <si>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</si>
  <si>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</si>
  <si>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</si>
  <si>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</si>
  <si>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</si>
  <si>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</si>
  <si>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</si>
  <si>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</si>
  <si>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</si>
  <si>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</si>
  <si>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</si>
  <si>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</si>
  <si>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</si>
  <si>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</si>
  <si>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</si>
  <si>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</si>
  <si>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</si>
  <si>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</si>
  <si>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</si>
  <si>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</si>
  <si>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</si>
  <si>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</si>
  <si>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</si>
  <si>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</si>
  <si>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</si>
  <si>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</si>
  <si>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</si>
  <si>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</si>
  <si>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</si>
  <si>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</si>
  <si>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</si>
  <si>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</si>
  <si>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</si>
  <si>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</si>
  <si>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</si>
  <si>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</si>
  <si>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</si>
  <si>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</si>
  <si>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</si>
  <si>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</si>
  <si>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</si>
  <si>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</si>
  <si>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</si>
  <si>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</si>
  <si>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</si>
  <si>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</si>
  <si>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</si>
  <si>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</si>
  <si>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</si>
  <si>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</si>
  <si>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</si>
  <si>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</si>
  <si>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</si>
  <si>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</si>
  <si>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</si>
  <si>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</si>
  <si>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</si>
  <si>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</si>
  <si>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</si>
  <si>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</si>
  <si>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</si>
  <si>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</si>
  <si>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</si>
  <si>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</si>
  <si>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</si>
  <si>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</si>
  <si>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</si>
  <si>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</si>
  <si>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</si>
  <si>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</si>
  <si>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</si>
  <si>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</si>
  <si>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</si>
  <si>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</si>
  <si>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</si>
  <si>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</si>
  <si>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</si>
  <si>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</si>
  <si>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</si>
  <si>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</si>
  <si>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</si>
  <si>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</si>
  <si>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</si>
  <si>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</si>
  <si>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</si>
  <si>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</si>
  <si>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</si>
  <si>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</si>
  <si>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</si>
  <si>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</si>
  <si>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</si>
  <si>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</si>
  <si>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</si>
  <si>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</si>
  <si>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</si>
  <si>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</si>
  <si>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</si>
  <si>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</si>
  <si>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</si>
  <si>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</si>
  <si>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</si>
  <si>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</si>
  <si>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</si>
  <si>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</si>
  <si>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</si>
  <si>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</si>
  <si>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</si>
  <si>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</si>
  <si>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</si>
  <si>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</si>
  <si>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</si>
  <si>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</si>
  <si>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</si>
  <si>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</si>
  <si>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</si>
  <si>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</si>
  <si>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</si>
  <si>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</si>
  <si>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</si>
  <si>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</si>
  <si>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</si>
  <si>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</si>
  <si>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</si>
  <si>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</si>
  <si>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</si>
  <si>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</si>
  <si>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</si>
  <si>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</si>
  <si>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</si>
  <si>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</si>
  <si>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</si>
  <si>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</si>
  <si>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</si>
  <si>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</si>
  <si>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</si>
  <si>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</si>
  <si>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</si>
  <si>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</si>
  <si>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</si>
  <si>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</si>
  <si>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</si>
  <si>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</si>
  <si>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</si>
  <si>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</si>
  <si>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</si>
  <si>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</si>
  <si>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</si>
  <si>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</si>
  <si>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</si>
  <si>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</si>
  <si>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</si>
  <si>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</si>
  <si>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</si>
  <si>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</si>
  <si>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</si>
  <si>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</si>
  <si>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</si>
  <si>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</si>
  <si>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</si>
  <si>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</si>
  <si>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</si>
  <si>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</si>
  <si>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</si>
  <si>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</si>
  <si>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</si>
  <si>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</si>
  <si>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</si>
  <si>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</si>
  <si>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</si>
  <si>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</si>
  <si>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</si>
  <si>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</si>
  <si>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</si>
  <si>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</si>
  <si>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</si>
  <si>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</si>
  <si>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</si>
  <si>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</si>
  <si>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</si>
  <si>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</si>
  <si>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</si>
  <si>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</si>
  <si>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</si>
  <si>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</si>
  <si>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</si>
  <si>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</si>
  <si>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</si>
  <si>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</si>
  <si>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</si>
  <si>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</si>
  <si>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</si>
  <si>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</si>
  <si>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</si>
  <si>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</si>
  <si>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</si>
  <si>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</si>
  <si>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</si>
  <si>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</si>
  <si>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</si>
  <si>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</si>
  <si>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</si>
  <si>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</si>
  <si>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</si>
  <si>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</si>
  <si>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</si>
  <si>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</si>
  <si>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</si>
  <si>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</si>
  <si>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</si>
  <si>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</si>
  <si>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</si>
  <si>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</si>
  <si>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</si>
  <si>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</si>
  <si>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</si>
  <si>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</si>
  <si>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</si>
  <si>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</si>
  <si>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</si>
  <si>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</si>
  <si>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</si>
  <si>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</si>
  <si>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</si>
  <si>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</si>
  <si>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</si>
  <si>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</si>
  <si>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</si>
  <si>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</si>
  <si>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</si>
  <si>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</si>
  <si>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</si>
  <si>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</si>
  <si>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</si>
  <si>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</si>
  <si>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</si>
  <si>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</si>
  <si>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</si>
  <si>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</si>
  <si>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</si>
  <si>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</si>
  <si>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</si>
  <si>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</si>
  <si>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</si>
  <si>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</si>
  <si>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</si>
  <si>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</si>
  <si>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</si>
  <si>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</si>
  <si>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</si>
  <si>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</si>
  <si>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</si>
  <si>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</si>
  <si>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</si>
  <si>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</si>
  <si>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</si>
  <si>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</si>
  <si>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</si>
  <si>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</si>
  <si>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</si>
  <si>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</si>
  <si>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</si>
  <si>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</si>
  <si>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</si>
  <si>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</si>
  <si>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</si>
  <si>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</si>
  <si>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</si>
  <si>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</si>
  <si>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</si>
  <si>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</si>
  <si>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</si>
  <si>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</si>
  <si>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</si>
  <si>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</si>
  <si>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</si>
  <si>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</si>
  <si>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</si>
  <si>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</si>
  <si>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</si>
  <si>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</si>
  <si>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</si>
  <si>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</si>
  <si>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</si>
  <si>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</si>
  <si>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</si>
  <si>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</si>
  <si>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</si>
  <si>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</si>
  <si>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</si>
  <si>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</si>
  <si>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</si>
  <si>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</si>
  <si>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</si>
  <si>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</si>
  <si>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</si>
  <si>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</si>
  <si>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</si>
  <si>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</si>
  <si>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</si>
  <si>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</si>
  <si>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</si>
  <si>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</si>
  <si>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</si>
  <si>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</si>
  <si>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</si>
  <si>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</si>
  <si>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</si>
  <si>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</si>
  <si>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</si>
  <si>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</si>
  <si>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</si>
  <si>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</si>
  <si>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</si>
  <si>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</si>
  <si>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</si>
  <si>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</si>
  <si>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</si>
  <si>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</si>
  <si>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</si>
  <si>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</si>
  <si>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</si>
  <si>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</si>
  <si>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</si>
  <si>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</si>
  <si>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</si>
  <si>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</si>
  <si>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</si>
  <si>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</si>
  <si>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</si>
  <si>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</si>
  <si>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</si>
  <si>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</si>
  <si>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</si>
  <si>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</si>
  <si>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</si>
  <si>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</si>
  <si>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</si>
  <si>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</si>
  <si>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</si>
  <si>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</si>
  <si>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</si>
  <si>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</si>
  <si>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</si>
  <si>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</si>
  <si>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</si>
  <si>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</si>
  <si>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</si>
  <si>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</si>
  <si>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</si>
  <si>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</si>
  <si>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</si>
  <si>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</si>
  <si>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</si>
  <si>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</si>
  <si>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</si>
  <si>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</si>
  <si>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</si>
  <si>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</si>
  <si>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</si>
  <si>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</si>
  <si>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</si>
  <si>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</si>
  <si>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</si>
  <si>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</si>
  <si>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</si>
  <si>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</si>
  <si>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</si>
  <si>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</si>
  <si>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</si>
  <si>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</si>
  <si>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</si>
  <si>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</si>
  <si>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</si>
  <si>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</si>
  <si>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</si>
  <si>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</si>
  <si>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</si>
  <si>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</si>
  <si>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</si>
  <si>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</si>
  <si>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</si>
  <si>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</si>
  <si>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</si>
  <si>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</si>
  <si>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</si>
  <si>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</si>
  <si>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</si>
  <si>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</si>
  <si>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</si>
  <si>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</si>
  <si>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</si>
  <si>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</si>
  <si>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</si>
  <si>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</si>
  <si>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</si>
  <si>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</si>
  <si>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</si>
  <si>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</si>
  <si>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</si>
  <si>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</si>
  <si>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</si>
  <si>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</si>
  <si>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</si>
  <si>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</si>
  <si>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</si>
  <si>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</si>
  <si>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</si>
  <si>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</si>
  <si>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</si>
  <si>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</si>
  <si>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</si>
  <si>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</si>
  <si>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</si>
  <si>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</si>
  <si>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</si>
  <si>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</si>
  <si>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</si>
  <si>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</si>
  <si>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</si>
  <si>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</si>
  <si>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</si>
  <si>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</si>
  <si>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</si>
  <si>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</si>
  <si>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</si>
  <si>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</si>
  <si>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</si>
  <si>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</si>
  <si>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</si>
  <si>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</si>
  <si>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</si>
  <si>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</si>
  <si>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</si>
  <si>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</si>
  <si>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</si>
  <si>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</si>
  <si>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</si>
  <si>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</si>
  <si>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</si>
  <si>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</si>
  <si>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</si>
  <si>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</si>
  <si>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</si>
  <si>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</si>
  <si>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</si>
  <si>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</si>
  <si>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</si>
  <si>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</si>
  <si>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</si>
  <si>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</si>
  <si>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</si>
  <si>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</si>
  <si>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</si>
  <si>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</si>
  <si>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</si>
  <si>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</si>
  <si>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</si>
  <si>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</si>
  <si>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</si>
  <si>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</si>
  <si>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</si>
  <si>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</si>
  <si>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</si>
  <si>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</si>
  <si>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</si>
  <si>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</si>
  <si>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</si>
  <si>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</si>
  <si>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</si>
  <si>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</si>
  <si>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</si>
  <si>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</si>
  <si>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</si>
  <si>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</si>
  <si>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</si>
  <si>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</si>
  <si>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</si>
  <si>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</si>
  <si>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</si>
  <si>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</si>
  <si>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</si>
  <si>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</si>
  <si>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</si>
  <si>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</si>
  <si>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</si>
  <si>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</si>
  <si>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</si>
  <si>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</si>
  <si>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</si>
  <si>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</si>
  <si>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</si>
  <si>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</si>
  <si>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</si>
  <si>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</si>
  <si>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</si>
  <si>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</si>
  <si>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</si>
  <si>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</si>
  <si>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</si>
  <si>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</si>
  <si>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</si>
  <si>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</si>
  <si>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</si>
  <si>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</si>
  <si>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</si>
  <si>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</si>
  <si>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</si>
  <si>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</si>
  <si>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</si>
  <si>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</si>
  <si>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</si>
  <si>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</si>
  <si>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</si>
  <si>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</si>
  <si>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</si>
  <si>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</si>
  <si>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</si>
  <si>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</si>
  <si>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</si>
  <si>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</si>
  <si>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</si>
  <si>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</si>
  <si>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</si>
  <si>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</si>
  <si>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</si>
  <si>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</si>
  <si>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</si>
  <si>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</si>
  <si>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</si>
  <si>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</si>
  <si>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</si>
  <si>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</si>
  <si>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</si>
  <si>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</si>
  <si>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</si>
  <si>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</si>
  <si>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</si>
  <si>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</si>
  <si>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</si>
  <si>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</si>
  <si>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</si>
  <si>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</si>
  <si>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</si>
  <si>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</si>
  <si>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</si>
  <si>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</si>
  <si>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</si>
  <si>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</si>
  <si>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</si>
  <si>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</si>
  <si>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</si>
  <si>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</si>
  <si>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</si>
  <si>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</si>
  <si>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</si>
  <si>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</si>
  <si>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</si>
  <si>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</si>
  <si>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</si>
  <si>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</si>
  <si>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</si>
  <si>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</si>
  <si>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</si>
  <si>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</si>
  <si>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</si>
  <si>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</si>
  <si>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</si>
  <si>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</si>
  <si>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</si>
  <si>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</si>
  <si>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</si>
  <si>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</si>
  <si>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</si>
  <si>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</si>
  <si>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</si>
  <si>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</si>
  <si>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</si>
  <si>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</si>
  <si>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</si>
  <si>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</si>
  <si>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</si>
  <si>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</si>
  <si>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</si>
  <si>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</si>
  <si>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</si>
  <si>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</si>
  <si>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</si>
  <si>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</si>
  <si>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</si>
  <si>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</si>
  <si>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</si>
  <si>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</si>
  <si>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</si>
  <si>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</si>
  <si>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</si>
  <si>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</si>
  <si>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</si>
  <si>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</si>
  <si>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</si>
  <si>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</si>
  <si>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</si>
  <si>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</si>
  <si>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</si>
  <si>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</si>
  <si>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</si>
  <si>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</si>
  <si>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</si>
  <si>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</si>
  <si>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</si>
  <si>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</si>
  <si>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</si>
  <si>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</si>
  <si>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</si>
  <si>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</si>
  <si>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</si>
  <si>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</si>
  <si>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</si>
  <si>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</si>
  <si>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</si>
  <si>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</si>
  <si>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</si>
  <si>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</si>
  <si>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</si>
  <si>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</si>
  <si>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</si>
  <si>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</si>
  <si>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</si>
  <si>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</si>
  <si>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</si>
  <si>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</si>
  <si>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</si>
  <si>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</si>
  <si>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</si>
  <si>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</si>
  <si>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</si>
  <si>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</si>
  <si>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</si>
  <si>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</si>
  <si>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</si>
  <si>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</si>
  <si>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</si>
  <si>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</si>
  <si>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</si>
  <si>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</si>
  <si>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</si>
  <si>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</si>
  <si>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</si>
  <si>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</si>
  <si>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</si>
  <si>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</si>
  <si>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</si>
  <si>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</si>
  <si>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</si>
  <si>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</si>
  <si>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</si>
  <si>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</si>
  <si>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</si>
  <si>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</si>
  <si>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</si>
  <si>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</si>
  <si>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</si>
  <si>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</si>
  <si>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</si>
  <si>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</si>
  <si>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</si>
  <si>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</si>
  <si>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</si>
  <si>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</si>
  <si>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</si>
  <si>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</si>
  <si>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</si>
  <si>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</si>
  <si>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</si>
  <si>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</si>
  <si>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</si>
  <si>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</si>
  <si>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</si>
  <si>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</si>
  <si>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</si>
  <si>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</si>
  <si>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</si>
  <si>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</si>
  <si>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</si>
  <si>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</si>
  <si>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</si>
  <si>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</si>
  <si>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</si>
  <si>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</si>
  <si>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</si>
  <si>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</si>
  <si>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</si>
  <si>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</si>
  <si>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</si>
  <si>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</si>
  <si>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</si>
  <si>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</si>
  <si>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</si>
  <si>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</si>
  <si>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</si>
  <si>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</si>
  <si>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</si>
  <si>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</si>
  <si>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</si>
  <si>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</si>
  <si>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</si>
  <si>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</si>
  <si>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</si>
  <si>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</si>
  <si>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</si>
  <si>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</si>
  <si>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</si>
  <si>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</si>
  <si>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</si>
  <si>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</si>
  <si>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</si>
  <si>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</si>
  <si>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</si>
  <si>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</si>
  <si>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</si>
  <si>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</si>
  <si>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</si>
  <si>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</si>
  <si>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</si>
  <si>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</si>
  <si>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</si>
  <si>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</si>
  <si>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</si>
  <si>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</si>
  <si>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</si>
  <si>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</si>
  <si>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</si>
  <si>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</si>
  <si>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</si>
  <si>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</si>
  <si>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</si>
  <si>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</si>
  <si>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</si>
  <si>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</si>
  <si>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</si>
  <si>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</si>
  <si>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</si>
  <si>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</si>
  <si>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</si>
  <si>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</si>
  <si>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</si>
  <si>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</si>
  <si>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</si>
  <si>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</si>
  <si>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</si>
  <si>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</si>
  <si>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</si>
  <si>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</si>
  <si>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</si>
  <si>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</si>
  <si>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</si>
  <si>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</si>
  <si>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</si>
  <si>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</si>
  <si>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</si>
  <si>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</si>
  <si>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</si>
  <si>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</si>
  <si>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</si>
  <si>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</si>
  <si>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</si>
  <si>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</si>
  <si>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</si>
  <si>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</si>
  <si>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</si>
  <si>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</si>
  <si>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</si>
  <si>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</si>
  <si>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</si>
  <si>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</si>
  <si>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</si>
  <si>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</si>
  <si>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</si>
  <si>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</si>
  <si>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</si>
  <si>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</si>
  <si>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</si>
  <si>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</si>
  <si>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</si>
  <si>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</si>
  <si>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</si>
  <si>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</si>
  <si>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</si>
  <si>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</si>
  <si>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</si>
  <si>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</si>
  <si>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</si>
  <si>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</si>
  <si>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</si>
  <si>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</si>
  <si>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</si>
  <si>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</si>
  <si>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</si>
  <si>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</si>
  <si>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</si>
  <si>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</si>
  <si>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</si>
  <si>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</si>
  <si>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</si>
  <si>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</si>
  <si>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</si>
  <si>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</si>
  <si>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</si>
  <si>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</si>
  <si>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</si>
  <si>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</si>
  <si>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</si>
  <si>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</si>
  <si>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</si>
  <si>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</si>
  <si>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</si>
  <si>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</si>
  <si>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</si>
  <si>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</si>
  <si>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</si>
  <si>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</si>
  <si>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</si>
  <si>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</si>
  <si>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</si>
  <si>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</si>
  <si>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</si>
  <si>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</si>
  <si>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</si>
  <si>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</si>
  <si>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</si>
  <si>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</si>
  <si>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</si>
  <si>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</si>
  <si>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</si>
  <si>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</si>
  <si>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</si>
  <si>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</si>
  <si>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</si>
  <si>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</si>
  <si>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</si>
  <si>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</si>
  <si>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</si>
  <si>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</si>
  <si>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</si>
  <si>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</si>
  <si>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</si>
  <si>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</si>
  <si>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</si>
  <si>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</si>
  <si>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</si>
  <si>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</si>
  <si>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</si>
  <si>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</si>
  <si>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</si>
  <si>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</si>
  <si>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</si>
  <si>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</si>
  <si>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</si>
  <si>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</si>
  <si>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</si>
  <si>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</si>
  <si>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</si>
  <si>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</si>
  <si>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</si>
  <si>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</si>
  <si>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</si>
  <si>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</si>
  <si>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</si>
  <si>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</si>
  <si>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</si>
  <si>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</si>
  <si>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</si>
  <si>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</si>
  <si>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</si>
  <si>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</si>
  <si>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</si>
  <si>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</si>
  <si>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</si>
  <si>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</si>
  <si>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</si>
  <si>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</si>
  <si>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</si>
  <si>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</si>
  <si>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</si>
  <si>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</si>
  <si>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</si>
  <si>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</si>
  <si>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</si>
  <si>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</si>
  <si>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</si>
  <si>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</si>
  <si>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</si>
  <si>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</si>
  <si>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</si>
  <si>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</si>
  <si>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</si>
  <si>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</si>
  <si>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</si>
  <si>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</si>
  <si>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</si>
  <si>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</si>
  <si>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</si>
  <si>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</si>
  <si>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</si>
  <si>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</si>
  <si>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</si>
  <si>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</si>
  <si>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</si>
  <si>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</si>
  <si>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</si>
  <si>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</si>
  <si>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</si>
  <si>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</si>
  <si>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</si>
  <si>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</si>
  <si>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</si>
  <si>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</si>
  <si>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</si>
  <si>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</si>
  <si>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</si>
  <si>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</si>
  <si>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</si>
  <si>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</si>
  <si>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</si>
  <si>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</si>
  <si>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</si>
  <si>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</si>
  <si>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</si>
  <si>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</si>
  <si>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</si>
  <si>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</si>
  <si>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</si>
  <si>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</si>
  <si>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</si>
  <si>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</si>
  <si>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</si>
  <si>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</si>
  <si>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</si>
  <si>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</si>
  <si>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</si>
  <si>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</si>
  <si>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</si>
  <si>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</si>
  <si>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</si>
  <si>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</si>
  <si>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</si>
  <si>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</si>
  <si>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</si>
  <si>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</si>
  <si>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</si>
  <si>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</si>
  <si>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</si>
  <si>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</si>
  <si>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</si>
  <si>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</si>
  <si>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</si>
  <si>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</si>
  <si>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</si>
  <si>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</si>
  <si>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</si>
  <si>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</si>
  <si>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</si>
  <si>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</si>
  <si>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</si>
  <si>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</si>
  <si>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</si>
  <si>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</si>
  <si>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</si>
  <si>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</si>
  <si>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</si>
  <si>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</si>
  <si>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</si>
  <si>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</si>
  <si>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</si>
  <si>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</si>
  <si>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</si>
  <si>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</si>
  <si>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</si>
  <si>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</si>
  <si>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</si>
  <si>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</si>
  <si>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</si>
  <si>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</si>
  <si>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</si>
  <si>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</si>
  <si>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</si>
  <si>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</si>
  <si>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</si>
  <si>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</si>
  <si>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</si>
  <si>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</si>
  <si>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</si>
  <si>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</si>
  <si>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</si>
  <si>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</si>
  <si>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</si>
  <si>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</si>
  <si>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</si>
  <si>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</si>
  <si>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</si>
  <si>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</si>
  <si>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</si>
  <si>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</si>
  <si>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</si>
  <si>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</si>
  <si>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</si>
  <si>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</si>
  <si>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</si>
  <si>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</si>
  <si>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</si>
  <si>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</si>
  <si>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</si>
  <si>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</si>
  <si>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</si>
  <si>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</si>
  <si>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</si>
  <si>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</si>
  <si>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</si>
  <si>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</si>
  <si>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</si>
  <si>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</si>
  <si>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</si>
  <si>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</si>
  <si>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</si>
  <si>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</si>
  <si>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</si>
  <si>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</si>
  <si>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</si>
  <si>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</si>
  <si>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</si>
  <si>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</si>
  <si>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</si>
  <si>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</si>
  <si>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</si>
  <si>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</si>
  <si>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</si>
  <si>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</si>
  <si>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</si>
  <si>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</si>
  <si>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</si>
  <si>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</si>
  <si>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</si>
  <si>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</si>
  <si>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</si>
  <si>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</si>
  <si>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</si>
  <si>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</si>
  <si>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</si>
  <si>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</si>
  <si>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</si>
  <si>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</si>
  <si>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</si>
  <si>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</si>
  <si>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</si>
  <si>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</si>
  <si>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</si>
  <si>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</si>
  <si>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</si>
  <si>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</si>
  <si>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</si>
  <si>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</si>
  <si>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</si>
  <si>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</si>
  <si>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</si>
  <si>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</si>
  <si>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</si>
  <si>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</si>
  <si>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</si>
  <si>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</si>
  <si>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</si>
  <si>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</si>
  <si>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</si>
  <si>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</si>
  <si>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</si>
  <si>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</si>
  <si>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</si>
  <si>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</si>
  <si>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</si>
  <si>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</si>
  <si>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</si>
  <si>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</si>
  <si>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</si>
  <si>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</si>
  <si>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</si>
  <si>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</si>
  <si>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</si>
  <si>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</si>
  <si>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</si>
  <si>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</si>
  <si>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</si>
  <si>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</si>
  <si>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</si>
  <si>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</si>
  <si>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</si>
  <si>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</si>
  <si>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</si>
  <si>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</si>
  <si>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</si>
  <si>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54-092-0110-26</t>
  </si>
  <si>
    <t>VERMILION</t>
  </si>
  <si>
    <t>HOOPESTON AREA CUSD #11</t>
  </si>
  <si>
    <t>615 E ORANGE</t>
  </si>
  <si>
    <t>HOOPESTON</t>
  </si>
  <si>
    <t>Robert Richardson</t>
  </si>
  <si>
    <t>richarre@hoopeston.k12.il.us</t>
  </si>
  <si>
    <t>217-283-6668</t>
  </si>
  <si>
    <t>217-283-5431</t>
  </si>
  <si>
    <t>RUSSELL LEIGH &amp; ASSOCIATES LLC</t>
  </si>
  <si>
    <t>RUSS LEIGH</t>
  </si>
  <si>
    <t>228 E MAIN ST</t>
  </si>
  <si>
    <t>IL</t>
  </si>
  <si>
    <t>217-283-9336</t>
  </si>
  <si>
    <t>217-283-9736</t>
  </si>
  <si>
    <t>065.018319</t>
  </si>
  <si>
    <t>admin@russleigh.com</t>
  </si>
  <si>
    <t>Russell Leigh &amp; Associates LLC</t>
  </si>
  <si>
    <t>2019 GO Working Cash Bonds</t>
  </si>
  <si>
    <t>Capital Lease - Buses</t>
  </si>
  <si>
    <t>Capital Lease</t>
  </si>
  <si>
    <t>No applicable contracts paid in current year.</t>
  </si>
  <si>
    <t>Vermilion Association for Special Education</t>
  </si>
  <si>
    <t>Page 2 - Auditor's Questionnaire</t>
  </si>
  <si>
    <t>Part C - Other Issues - #20 -Other Findings</t>
  </si>
  <si>
    <t>Various revenues were misposted requiring numerous adjustments.</t>
  </si>
  <si>
    <t>THIS benefits were posted to -400 supplies accounts.</t>
  </si>
  <si>
    <t>Did not budget for Debt Service Fund expenditures.</t>
  </si>
  <si>
    <t>No claimes were submitted for summer food service program funds.</t>
  </si>
  <si>
    <t>Page 10 - Acct 1690 - Other Food Service Revenue</t>
  </si>
  <si>
    <t>Col 10 - Educational</t>
  </si>
  <si>
    <t>Misc Reimbursements &amp; Rebates - $2,042</t>
  </si>
  <si>
    <t>Page 10 - Acct 1790 - Other District/Activity Revenue</t>
  </si>
  <si>
    <t>Misc Fees - $1,420</t>
  </si>
  <si>
    <t>Page 10 - Acct 1990 - Other Local Revenues</t>
  </si>
  <si>
    <t>E-Rate Proceeds - $42,884</t>
  </si>
  <si>
    <t>Refunds &amp; Reimbursements - $92,578</t>
  </si>
  <si>
    <t>Col 20 - Operations &amp; Maintenance</t>
  </si>
  <si>
    <t>Refunds &amp; Reimbursements - $11,125</t>
  </si>
  <si>
    <t>Col 40 - Transportation</t>
  </si>
  <si>
    <t>Refunds &amp; Reimbursements - $3,908</t>
  </si>
  <si>
    <t>Page 11 - Acct 2300 - Other Flow Through</t>
  </si>
  <si>
    <t>Local Flow Through - VVEDS - $7,500</t>
  </si>
  <si>
    <t>Page 12 - Acct 3999 - Other Restricted Revenue from State Sources</t>
  </si>
  <si>
    <t>Gear Up Grant - $185,976</t>
  </si>
  <si>
    <t>Other State Programs - $20,554</t>
  </si>
  <si>
    <t>Page 13 - Acct 4399 - Title I - Other</t>
  </si>
  <si>
    <t>Title I - School Improvement &amp; Accountability - $143,864</t>
  </si>
  <si>
    <t>Pages 15 &amp; 19 - Acct 2190 - Other Support Services - Pupils</t>
  </si>
  <si>
    <t>Homebound Tutoring - Salaries &amp; Benefits</t>
  </si>
  <si>
    <t>AUDITCHECK Tab</t>
  </si>
  <si>
    <t>#8 Long Term Debt Retired Error</t>
  </si>
  <si>
    <t>Long term debt retired in the transportation fund as principal on capital leases.</t>
  </si>
  <si>
    <t>#15 Contracts Paid Error</t>
  </si>
  <si>
    <t>No applicable contracts paid in the current year.</t>
  </si>
  <si>
    <t>U.S Department of Agriculture</t>
  </si>
  <si>
    <t xml:space="preserve">     Passed through Illinois State Board of Education</t>
  </si>
  <si>
    <t xml:space="preserve">         School Milk-19</t>
  </si>
  <si>
    <t xml:space="preserve">         School Milk-20</t>
  </si>
  <si>
    <t xml:space="preserve">         School Breakfast-19</t>
  </si>
  <si>
    <t xml:space="preserve">         School Breakfast-20</t>
  </si>
  <si>
    <t>(M ) School Lunch 19</t>
  </si>
  <si>
    <t>(M) School Lunch-20</t>
  </si>
  <si>
    <t xml:space="preserve">         School  Commodities</t>
  </si>
  <si>
    <t xml:space="preserve">         Fresh Fruit and Vegtables</t>
  </si>
  <si>
    <t xml:space="preserve">          Total U.S. Department of Agriculture</t>
  </si>
  <si>
    <t>U.S Department of Education</t>
  </si>
  <si>
    <t xml:space="preserve">     Passed Through the Illinois State Board of Education</t>
  </si>
  <si>
    <t xml:space="preserve">       Title IV-Rural Ed Intiative</t>
  </si>
  <si>
    <t>84.358b</t>
  </si>
  <si>
    <t>(M)Title 1-Low Income</t>
  </si>
  <si>
    <t>(M)Title 1-Low income</t>
  </si>
  <si>
    <t xml:space="preserve">       Tilte 1 -School Improvement</t>
  </si>
  <si>
    <t xml:space="preserve">       IDEA-Pre School</t>
  </si>
  <si>
    <t>84.027a</t>
  </si>
  <si>
    <t>(M)IDEA-Flow Thru</t>
  </si>
  <si>
    <t xml:space="preserve">       IDEA-Rm &amp; Board</t>
  </si>
  <si>
    <t>84.367a</t>
  </si>
  <si>
    <t xml:space="preserve">       Title II-Teacher Quality-19</t>
  </si>
  <si>
    <t xml:space="preserve">       Title II-Teacher Quality-20</t>
  </si>
  <si>
    <t xml:space="preserve">           Total U.S. Department of Education</t>
  </si>
  <si>
    <t>U.S Department of Family &amp; Human Services</t>
  </si>
  <si>
    <t xml:space="preserve">     Passed Through Illinois Department of Helathcare &amp; Family Services</t>
  </si>
  <si>
    <t xml:space="preserve">       Medicaid Matching-Admin Outreach</t>
  </si>
  <si>
    <t>Total U.S. Department of Family and Human Services</t>
  </si>
  <si>
    <t xml:space="preserve">          Total Federal Financial Assistance</t>
  </si>
  <si>
    <t>The accompanying Schedule of Expenditures of Federal Awards includes the federal grant activity of Hoopeston Area Community Unit No 11and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</si>
  <si>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</si>
  <si>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Hoopeston Area Comminity Unit No 11 provided federal awards to subrecipients as follows:</t>
  </si>
  <si>
    <t>none</t>
  </si>
  <si>
    <r>
      <t xml:space="preserve">The following amounts were expended in the form of non-cash assistance by Hoopeston Area Community Unit No 11 and </t>
    </r>
    <r>
      <rPr>
        <b/>
        <sz val="9"/>
        <rFont val="Calibri"/>
        <family val="2"/>
        <scheme val="minor"/>
      </rPr>
      <t>should be</t>
    </r>
    <r>
      <rPr>
        <sz val="9"/>
        <rFont val="Calibri"/>
        <family val="2"/>
        <scheme val="minor"/>
      </rPr>
      <t xml:space="preserve"> included in the Schedule of Expenditures of Federal Awards:</t>
    </r>
  </si>
  <si>
    <t>no</t>
  </si>
  <si>
    <t>Adverse-Gaap/Qualified-Regulatory</t>
  </si>
  <si>
    <t>Unmodified</t>
  </si>
  <si>
    <t>School Lunch Program</t>
  </si>
  <si>
    <t>Title 1-Low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</si>
</sst>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9" t="s">
        <v>402</v>
      </c>
      <c r="J1" s="2120"/>
      <c r="K1" s="2120"/>
      <c r="L1" s="2120"/>
      <c r="M1" s="2120"/>
      <c r="N1" s="2120"/>
      <c r="O1" s="2120"/>
      <c r="P1" s="2120"/>
      <c r="Q1" s="2120"/>
      <c r="R1" s="2120"/>
      <c r="S1" s="2120"/>
    </row>
    <row r="2" spans="1:32" ht="12" customHeight="1" x14ac:dyDescent="0.2">
      <c r="A2" s="1831" t="str">
        <f>"Due to ISBE on "</f>
        <v xml:space="preserve">Due to ISBE on </v>
      </c>
      <c r="B2" s="2041">
        <f>+'AFR20'!F4</f>
        <v>44151</v>
      </c>
      <c r="C2" s="2041"/>
      <c r="D2" s="2042"/>
      <c r="I2" s="2121" t="s">
        <v>2000</v>
      </c>
      <c r="J2" s="2120"/>
      <c r="K2" s="2120"/>
      <c r="L2" s="2120"/>
      <c r="M2" s="2120"/>
      <c r="N2" s="2120"/>
      <c r="O2" s="2120"/>
      <c r="P2" s="2120"/>
      <c r="Q2" s="2120"/>
      <c r="R2" s="2120"/>
      <c r="S2" s="2120"/>
    </row>
    <row r="3" spans="1:32" ht="12" customHeight="1" x14ac:dyDescent="0.2">
      <c r="A3" s="1834"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2048</v>
      </c>
      <c r="C5" s="26" t="s">
        <v>904</v>
      </c>
      <c r="D5" s="81"/>
      <c r="E5" s="81"/>
      <c r="H5" s="38"/>
      <c r="I5" s="2128" t="s">
        <v>675</v>
      </c>
      <c r="J5" s="2072"/>
      <c r="K5" s="2072"/>
      <c r="L5" s="2072"/>
      <c r="M5" s="2072"/>
      <c r="N5" s="2072"/>
      <c r="O5" s="2072"/>
      <c r="P5" s="2072"/>
      <c r="Q5" s="2072"/>
      <c r="R5" s="2072"/>
      <c r="S5" s="2072"/>
      <c r="AF5" s="1827"/>
    </row>
    <row r="6" spans="1:32" ht="14.1" customHeight="1" x14ac:dyDescent="0.2">
      <c r="B6" s="101"/>
      <c r="C6" s="26" t="s">
        <v>905</v>
      </c>
      <c r="D6" s="81"/>
      <c r="E6" s="81"/>
      <c r="I6" s="2127" t="s">
        <v>877</v>
      </c>
      <c r="J6" s="2072"/>
      <c r="K6" s="2072"/>
      <c r="L6" s="2072"/>
      <c r="M6" s="2072"/>
      <c r="N6" s="2072"/>
      <c r="O6" s="2072"/>
      <c r="P6" s="2072"/>
      <c r="Q6" s="2072"/>
      <c r="R6" s="2072"/>
      <c r="S6" s="2072"/>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2048</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t="s">
        <v>2049</v>
      </c>
      <c r="B13" s="2089"/>
      <c r="C13" s="2089"/>
      <c r="D13" s="2089"/>
      <c r="E13" s="2089"/>
      <c r="F13" s="2089"/>
      <c r="G13" s="2089"/>
      <c r="H13" s="2090"/>
      <c r="I13" s="31"/>
      <c r="J13" s="30"/>
      <c r="K13" s="28"/>
      <c r="L13" s="30"/>
      <c r="M13" s="30"/>
      <c r="N13" s="30"/>
      <c r="O13" s="30"/>
      <c r="P13" s="30"/>
      <c r="Q13" s="30"/>
      <c r="R13" s="30"/>
      <c r="S13" s="30"/>
      <c r="T13" s="2093" t="s">
        <v>2058</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2050</v>
      </c>
      <c r="B15" s="2091"/>
      <c r="C15" s="2091"/>
      <c r="D15" s="2091"/>
      <c r="E15" s="2091"/>
      <c r="F15" s="2091"/>
      <c r="G15" s="2091"/>
      <c r="H15" s="2092"/>
      <c r="T15" s="2054" t="s">
        <v>2059</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6" t="s">
        <v>2051</v>
      </c>
      <c r="B17" s="2117"/>
      <c r="C17" s="2117"/>
      <c r="D17" s="2117"/>
      <c r="E17" s="2117"/>
      <c r="F17" s="2117"/>
      <c r="G17" s="2117"/>
      <c r="H17" s="2118"/>
      <c r="T17" s="2103" t="s">
        <v>2060</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2052</v>
      </c>
      <c r="B19" s="2087"/>
      <c r="C19" s="2087"/>
      <c r="D19" s="2087"/>
      <c r="E19" s="2087"/>
      <c r="F19" s="2087"/>
      <c r="G19" s="2087"/>
      <c r="H19" s="2085"/>
      <c r="I19" s="30"/>
      <c r="J19" s="96"/>
      <c r="K19" s="40"/>
      <c r="L19" s="38"/>
      <c r="M19" s="109" t="s">
        <v>312</v>
      </c>
      <c r="P19" s="27"/>
      <c r="Q19" s="27"/>
      <c r="R19" s="27"/>
      <c r="S19" s="31"/>
      <c r="T19" s="2086" t="s">
        <v>2053</v>
      </c>
      <c r="U19" s="2084"/>
      <c r="V19" s="2084"/>
      <c r="W19" s="2085"/>
      <c r="X19" s="2101" t="s">
        <v>2061</v>
      </c>
      <c r="Y19" s="2102"/>
      <c r="Z19" s="2099">
        <v>60942</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2053</v>
      </c>
      <c r="B21" s="2084"/>
      <c r="C21" s="2084"/>
      <c r="D21" s="2084"/>
      <c r="E21" s="2084"/>
      <c r="F21" s="2084"/>
      <c r="G21" s="2084"/>
      <c r="H21" s="2085"/>
      <c r="I21" s="2109" t="s">
        <v>673</v>
      </c>
      <c r="J21" s="2072"/>
      <c r="K21" s="2072"/>
      <c r="L21" s="2072"/>
      <c r="M21" s="2072"/>
      <c r="N21" s="2072"/>
      <c r="O21" s="2072"/>
      <c r="P21" s="2072"/>
      <c r="Q21" s="2072"/>
      <c r="R21" s="2072"/>
      <c r="S21" s="2073"/>
      <c r="T21" s="2051" t="s">
        <v>2062</v>
      </c>
      <c r="U21" s="2052"/>
      <c r="V21" s="2052"/>
      <c r="W21" s="2052"/>
      <c r="X21" s="2065" t="s">
        <v>2063</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2064</v>
      </c>
      <c r="U23" s="2047"/>
      <c r="V23" s="2047"/>
      <c r="W23" s="2047"/>
      <c r="X23" s="2062">
        <v>44469</v>
      </c>
      <c r="Y23" s="2063"/>
      <c r="Z23" s="2063"/>
      <c r="AA23" s="2064"/>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3">
        <v>60942</v>
      </c>
      <c r="B25" s="2084"/>
      <c r="C25" s="2084"/>
      <c r="D25" s="2084"/>
      <c r="E25" s="2084"/>
      <c r="F25" s="2084"/>
      <c r="G25" s="2084"/>
      <c r="H25" s="2085"/>
      <c r="I25" s="110"/>
      <c r="J25" s="2151"/>
      <c r="K25" s="2151"/>
      <c r="L25" s="2151"/>
      <c r="M25" s="2151"/>
      <c r="N25" s="2151"/>
      <c r="O25" s="2151"/>
      <c r="P25" s="2151"/>
      <c r="Q25" s="2151"/>
      <c r="R25" s="2151"/>
      <c r="S25" s="2152"/>
      <c r="T25" s="2043" t="s">
        <v>2065</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2"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6" t="s">
        <v>2054</v>
      </c>
      <c r="B38" s="2117"/>
      <c r="C38" s="2117"/>
      <c r="D38" s="2117"/>
      <c r="E38" s="2117"/>
      <c r="F38" s="2084"/>
      <c r="G38" s="2084"/>
      <c r="H38" s="2085"/>
      <c r="I38" s="2136"/>
      <c r="J38" s="2055"/>
      <c r="K38" s="2055"/>
      <c r="L38" s="2055"/>
      <c r="M38" s="2055"/>
      <c r="N38" s="2055"/>
      <c r="O38" s="2055"/>
      <c r="P38" s="2056"/>
      <c r="Q38" s="2056"/>
      <c r="R38" s="2056"/>
      <c r="S38" s="2057"/>
      <c r="T38" s="2054"/>
      <c r="U38" s="2055"/>
      <c r="V38" s="2055"/>
      <c r="W38" s="2055"/>
      <c r="X38" s="2056"/>
      <c r="Y38" s="2056"/>
      <c r="Z38" s="2056"/>
      <c r="AA38" s="2057"/>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2055</v>
      </c>
      <c r="B40" s="2144"/>
      <c r="C40" s="2145"/>
      <c r="D40" s="2145"/>
      <c r="E40" s="2145"/>
      <c r="F40" s="2146"/>
      <c r="G40" s="2146"/>
      <c r="H40" s="2147"/>
      <c r="I40" s="2058"/>
      <c r="J40" s="2060"/>
      <c r="K40" s="2060"/>
      <c r="L40" s="2060"/>
      <c r="M40" s="2060"/>
      <c r="N40" s="2060"/>
      <c r="O40" s="2060"/>
      <c r="P40" s="2060"/>
      <c r="Q40" s="2060"/>
      <c r="R40" s="2060"/>
      <c r="S40" s="2061"/>
      <c r="T40" s="2058"/>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t="s">
        <v>2056</v>
      </c>
      <c r="B42" s="2134"/>
      <c r="C42" s="2135"/>
      <c r="D42" s="2148" t="s">
        <v>2057</v>
      </c>
      <c r="E42" s="2134"/>
      <c r="F42" s="2134"/>
      <c r="G42" s="2134"/>
      <c r="H42" s="2135"/>
      <c r="I42" s="2053"/>
      <c r="J42" s="2049"/>
      <c r="K42" s="2049"/>
      <c r="L42" s="2049"/>
      <c r="M42" s="2049"/>
      <c r="N42" s="2049"/>
      <c r="O42" s="2050"/>
      <c r="P42" s="2048"/>
      <c r="Q42" s="2049"/>
      <c r="R42" s="2049"/>
      <c r="S42" s="2050"/>
      <c r="T42" s="2053"/>
      <c r="U42" s="2049"/>
      <c r="V42" s="2049"/>
      <c r="W42" s="2050"/>
      <c r="X42" s="2048"/>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2367899</v>
      </c>
      <c r="C4" s="1722"/>
      <c r="D4" s="1723">
        <f>B4-C4</f>
        <v>2367899</v>
      </c>
      <c r="E4" s="1722">
        <v>2506100</v>
      </c>
      <c r="F4" s="1723">
        <f>E4-C4</f>
        <v>2506100</v>
      </c>
    </row>
    <row r="5" spans="1:8" ht="13.7" customHeight="1" x14ac:dyDescent="0.2">
      <c r="A5" s="579" t="s">
        <v>865</v>
      </c>
      <c r="B5" s="1724">
        <f>'Revenues 9-14'!D5</f>
        <v>399970</v>
      </c>
      <c r="C5" s="1664"/>
      <c r="D5" s="1725">
        <f t="shared" ref="D5:D18" si="0">B5-C5</f>
        <v>399970</v>
      </c>
      <c r="E5" s="1664">
        <v>423328</v>
      </c>
      <c r="F5" s="1725">
        <f>E5-C5</f>
        <v>423328</v>
      </c>
    </row>
    <row r="6" spans="1:8" ht="13.7" customHeight="1" x14ac:dyDescent="0.2">
      <c r="A6" s="579" t="s">
        <v>408</v>
      </c>
      <c r="B6" s="1724">
        <f>'Revenues 9-14'!E5</f>
        <v>314689</v>
      </c>
      <c r="C6" s="1664"/>
      <c r="D6" s="1725">
        <f t="shared" si="0"/>
        <v>314689</v>
      </c>
      <c r="E6" s="1664">
        <v>314304</v>
      </c>
      <c r="F6" s="1725">
        <f t="shared" ref="F6:F18" si="1">E6-C6</f>
        <v>314304</v>
      </c>
    </row>
    <row r="7" spans="1:8" ht="13.7" customHeight="1" x14ac:dyDescent="0.2">
      <c r="A7" s="579" t="s">
        <v>154</v>
      </c>
      <c r="B7" s="1724">
        <f>'Revenues 9-14'!F5</f>
        <v>159987</v>
      </c>
      <c r="C7" s="1664"/>
      <c r="D7" s="1725">
        <f t="shared" si="0"/>
        <v>159987</v>
      </c>
      <c r="E7" s="1664">
        <v>169331</v>
      </c>
      <c r="F7" s="1725">
        <f t="shared" si="1"/>
        <v>169331</v>
      </c>
    </row>
    <row r="8" spans="1:8" ht="13.7" customHeight="1" x14ac:dyDescent="0.2">
      <c r="A8" s="579" t="s">
        <v>1169</v>
      </c>
      <c r="B8" s="1724">
        <f>'Revenues 9-14'!G5</f>
        <v>209839</v>
      </c>
      <c r="C8" s="1664"/>
      <c r="D8" s="1725">
        <f t="shared" si="0"/>
        <v>209839</v>
      </c>
      <c r="E8" s="1664">
        <v>215855</v>
      </c>
      <c r="F8" s="1725">
        <f t="shared" si="1"/>
        <v>215855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39998</v>
      </c>
      <c r="C10" s="1664"/>
      <c r="D10" s="1725">
        <f t="shared" si="0"/>
        <v>39998</v>
      </c>
      <c r="E10" s="1664">
        <v>42333</v>
      </c>
      <c r="F10" s="1725">
        <f t="shared" si="1"/>
        <v>42333</v>
      </c>
    </row>
    <row r="11" spans="1:8" x14ac:dyDescent="0.2">
      <c r="A11" s="579" t="s">
        <v>406</v>
      </c>
      <c r="B11" s="1724">
        <f>'Revenues 9-14'!J5</f>
        <v>234811</v>
      </c>
      <c r="C11" s="1664"/>
      <c r="D11" s="1725">
        <f t="shared" si="0"/>
        <v>234811</v>
      </c>
      <c r="E11" s="1664">
        <v>241940</v>
      </c>
      <c r="F11" s="1725">
        <f t="shared" si="1"/>
        <v>241940</v>
      </c>
    </row>
    <row r="12" spans="1:8" ht="13.7" customHeight="1" x14ac:dyDescent="0.2">
      <c r="A12" s="579" t="s">
        <v>156</v>
      </c>
      <c r="B12" s="1724">
        <f>'Revenues 9-14'!K5</f>
        <v>39998</v>
      </c>
      <c r="C12" s="1664"/>
      <c r="D12" s="1725">
        <f t="shared" si="0"/>
        <v>39998</v>
      </c>
      <c r="E12" s="1664">
        <v>42333</v>
      </c>
      <c r="F12" s="1725">
        <f t="shared" si="1"/>
        <v>42333</v>
      </c>
    </row>
    <row r="13" spans="1:8" ht="13.7" customHeight="1" x14ac:dyDescent="0.2">
      <c r="A13" s="579" t="s">
        <v>930</v>
      </c>
      <c r="B13" s="1724">
        <f>SUM('Revenues 9-14'!C6:D6)</f>
        <v>40056</v>
      </c>
      <c r="C13" s="1664"/>
      <c r="D13" s="1725">
        <f t="shared" si="0"/>
        <v>40056</v>
      </c>
      <c r="E13" s="1664">
        <v>42333</v>
      </c>
      <c r="F13" s="1725">
        <f t="shared" si="1"/>
        <v>42333</v>
      </c>
    </row>
    <row r="14" spans="1:8" ht="13.7" customHeight="1" x14ac:dyDescent="0.2">
      <c r="A14" s="579" t="s">
        <v>407</v>
      </c>
      <c r="B14" s="1724">
        <f>SUM('Revenues 9-14'!C7:D7,'Revenues 9-14'!F7:H7)</f>
        <v>32037</v>
      </c>
      <c r="C14" s="1664"/>
      <c r="D14" s="1725">
        <f t="shared" si="0"/>
        <v>32037</v>
      </c>
      <c r="E14" s="1664">
        <v>33866</v>
      </c>
      <c r="F14" s="1725">
        <f t="shared" si="1"/>
        <v>33866</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209839</v>
      </c>
      <c r="C16" s="1664"/>
      <c r="D16" s="1725">
        <f t="shared" si="0"/>
        <v>209839</v>
      </c>
      <c r="E16" s="1664">
        <v>215855</v>
      </c>
      <c r="F16" s="1725">
        <f t="shared" si="1"/>
        <v>215855</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4049123</v>
      </c>
      <c r="C19" s="1726">
        <f>SUM(C4:C18)</f>
        <v>0</v>
      </c>
      <c r="D19" s="1726">
        <f>SUM(D4:D18)</f>
        <v>4049123</v>
      </c>
      <c r="E19" s="1726">
        <f>SUM(E4:E18)</f>
        <v>4247578</v>
      </c>
      <c r="F19" s="1726">
        <f>SUM(F4:F18)</f>
        <v>4247578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I33" sqref="I32:I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1776</v>
      </c>
      <c r="B2" s="230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0" t="s">
        <v>1104</v>
      </c>
      <c r="B3" s="2311"/>
      <c r="C3" s="2299"/>
      <c r="D3" s="2300"/>
      <c r="E3" s="2300"/>
      <c r="F3" s="2301"/>
    </row>
    <row r="4" spans="1:7" ht="12.75" customHeight="1" thickBot="1" x14ac:dyDescent="0.25">
      <c r="A4" s="2308" t="s">
        <v>626</v>
      </c>
      <c r="B4" s="2309"/>
      <c r="C4" s="1656"/>
      <c r="D4" s="1656"/>
      <c r="E4" s="1656"/>
      <c r="F4" s="1732">
        <f>SUM(C4+D4)-E4</f>
        <v>0</v>
      </c>
    </row>
    <row r="5" spans="1:7" ht="15.75" customHeight="1" thickTop="1" x14ac:dyDescent="0.2">
      <c r="A5" s="2293" t="s">
        <v>1101</v>
      </c>
      <c r="B5" s="2294"/>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5" t="s">
        <v>627</v>
      </c>
      <c r="B15" s="2296"/>
      <c r="C15" s="1732">
        <f>SUM(C6:C14)</f>
        <v>0</v>
      </c>
      <c r="D15" s="1732">
        <f>SUM(D6:D14)</f>
        <v>0</v>
      </c>
      <c r="E15" s="1732">
        <f>SUM(E6:E14)</f>
        <v>0</v>
      </c>
      <c r="F15" s="1732">
        <f>SUM(F6:F14)</f>
        <v>0</v>
      </c>
      <c r="G15" s="473"/>
    </row>
    <row r="16" spans="1:7" s="197" customFormat="1" ht="15.75" customHeight="1" thickTop="1" x14ac:dyDescent="0.2">
      <c r="A16" s="2305" t="s">
        <v>1102</v>
      </c>
      <c r="B16" s="2294"/>
      <c r="C16" s="2302"/>
      <c r="D16" s="2303"/>
      <c r="E16" s="2303"/>
      <c r="F16" s="2304"/>
    </row>
    <row r="17" spans="1:11" ht="12.75" customHeight="1" thickBot="1" x14ac:dyDescent="0.25">
      <c r="A17" s="2318" t="s">
        <v>64</v>
      </c>
      <c r="B17" s="2319"/>
      <c r="C17" s="1733"/>
      <c r="D17" s="1664"/>
      <c r="E17" s="1733"/>
      <c r="F17" s="1732">
        <f>SUM(C17+D17)-E17</f>
        <v>0</v>
      </c>
    </row>
    <row r="18" spans="1:11" ht="12.75" customHeight="1" thickTop="1" thickBot="1" x14ac:dyDescent="0.25">
      <c r="A18" s="2318" t="s">
        <v>6</v>
      </c>
      <c r="B18" s="2319"/>
      <c r="C18" s="1733"/>
      <c r="D18" s="1664"/>
      <c r="E18" s="1733"/>
      <c r="F18" s="1732">
        <f>SUM(C18+D18)-E18</f>
        <v>0</v>
      </c>
    </row>
    <row r="19" spans="1:11" ht="12.75" customHeight="1" thickTop="1" thickBot="1" x14ac:dyDescent="0.25">
      <c r="A19" s="2318" t="s">
        <v>385</v>
      </c>
      <c r="B19" s="2319"/>
      <c r="C19" s="1733"/>
      <c r="D19" s="1664"/>
      <c r="E19" s="1733"/>
      <c r="F19" s="1732">
        <f>SUM(C19+D19)-E19</f>
        <v>0</v>
      </c>
    </row>
    <row r="20" spans="1:11" ht="12.75" customHeight="1" thickTop="1" thickBot="1" x14ac:dyDescent="0.25">
      <c r="A20" s="2318" t="s">
        <v>445</v>
      </c>
      <c r="B20" s="2319"/>
      <c r="C20" s="1733"/>
      <c r="D20" s="1664"/>
      <c r="E20" s="1733"/>
      <c r="F20" s="1732">
        <f>SUM(C20+D20)-E20</f>
        <v>0</v>
      </c>
    </row>
    <row r="21" spans="1:11" ht="14.25" thickTop="1" thickBot="1" x14ac:dyDescent="0.25">
      <c r="A21" s="2295" t="s">
        <v>628</v>
      </c>
      <c r="B21" s="2296"/>
      <c r="C21" s="1732">
        <f>SUM(C17:C20)</f>
        <v>0</v>
      </c>
      <c r="D21" s="1732">
        <f>SUM(D17:D20)</f>
        <v>0</v>
      </c>
      <c r="E21" s="1732">
        <f>SUM(E17:E20)</f>
        <v>0</v>
      </c>
      <c r="F21" s="1732">
        <f>SUM(F17:F20)</f>
        <v>0</v>
      </c>
      <c r="G21" s="473"/>
    </row>
    <row r="22" spans="1:11" ht="15.75" customHeight="1" thickTop="1" x14ac:dyDescent="0.2">
      <c r="A22" s="2320" t="s">
        <v>1103</v>
      </c>
      <c r="B22" s="2294"/>
      <c r="C22" s="2302"/>
      <c r="D22" s="2303"/>
      <c r="E22" s="2303"/>
      <c r="F22" s="2304"/>
    </row>
    <row r="23" spans="1:11" ht="13.5" thickBot="1" x14ac:dyDescent="0.25">
      <c r="A23" s="2308" t="s">
        <v>629</v>
      </c>
      <c r="B23" s="2309"/>
      <c r="C23" s="1656"/>
      <c r="D23" s="1656"/>
      <c r="E23" s="1656"/>
      <c r="F23" s="1732">
        <f>SUM(C23+D23)-E23</f>
        <v>0</v>
      </c>
      <c r="G23" s="473"/>
    </row>
    <row r="24" spans="1:11" ht="15.75" customHeight="1" thickTop="1" x14ac:dyDescent="0.2">
      <c r="A24" s="2320" t="s">
        <v>2003</v>
      </c>
      <c r="B24" s="2294"/>
      <c r="C24" s="2302"/>
      <c r="D24" s="2303"/>
      <c r="E24" s="2303"/>
      <c r="F24" s="2304"/>
    </row>
    <row r="25" spans="1:11" ht="13.5" thickBot="1" x14ac:dyDescent="0.25">
      <c r="A25" s="2308" t="s">
        <v>2004</v>
      </c>
      <c r="B25" s="2309"/>
      <c r="C25" s="1656"/>
      <c r="D25" s="1656"/>
      <c r="E25" s="1656"/>
      <c r="F25" s="1732">
        <f>SUM(C25+D25)-E25</f>
        <v>0</v>
      </c>
      <c r="G25" s="473"/>
    </row>
    <row r="26" spans="1:11" ht="15.75" customHeight="1" thickTop="1" x14ac:dyDescent="0.2">
      <c r="A26" s="2293" t="s">
        <v>652</v>
      </c>
      <c r="B26" s="2294"/>
      <c r="C26" s="589"/>
      <c r="D26" s="589"/>
      <c r="E26" s="589"/>
      <c r="F26" s="590"/>
    </row>
    <row r="27" spans="1:11" ht="13.5" thickBot="1" x14ac:dyDescent="0.25">
      <c r="A27" s="2295" t="s">
        <v>1061</v>
      </c>
      <c r="B27" s="2296"/>
      <c r="C27" s="1664"/>
      <c r="D27" s="1664"/>
      <c r="E27" s="1664"/>
      <c r="F27" s="1732">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2067</v>
      </c>
      <c r="B31" s="595">
        <v>43536</v>
      </c>
      <c r="C31" s="1734">
        <v>900000</v>
      </c>
      <c r="D31" s="1735">
        <v>1</v>
      </c>
      <c r="E31" s="1734">
        <v>900000</v>
      </c>
      <c r="F31" s="1734"/>
      <c r="G31" s="1734"/>
      <c r="H31" s="1734">
        <v>296500</v>
      </c>
      <c r="I31" s="1736">
        <f>((E31+F31)-H31)+G31</f>
        <v>603500</v>
      </c>
      <c r="J31" s="1734">
        <v>592650</v>
      </c>
      <c r="K31" s="596"/>
    </row>
    <row r="32" spans="1:11" ht="12" customHeight="1" x14ac:dyDescent="0.2">
      <c r="A32" s="594" t="s">
        <v>2068</v>
      </c>
      <c r="B32" s="595">
        <v>42985</v>
      </c>
      <c r="C32" s="1734">
        <v>139800</v>
      </c>
      <c r="D32" s="1735">
        <v>7</v>
      </c>
      <c r="E32" s="1734">
        <v>83779</v>
      </c>
      <c r="F32" s="1734"/>
      <c r="G32" s="1734"/>
      <c r="H32" s="1734">
        <v>26747</v>
      </c>
      <c r="I32" s="1736">
        <f>((E32+F32)-H32)+G32</f>
        <v>57032</v>
      </c>
      <c r="J32" s="1734">
        <v>57032</v>
      </c>
      <c r="K32" s="596"/>
    </row>
    <row r="33" spans="1:11" ht="12" customHeight="1" x14ac:dyDescent="0.2">
      <c r="A33" s="594" t="s">
        <v>2068</v>
      </c>
      <c r="B33" s="595">
        <v>43490</v>
      </c>
      <c r="C33" s="1734">
        <v>60997</v>
      </c>
      <c r="D33" s="1735">
        <v>7</v>
      </c>
      <c r="E33" s="1734">
        <v>47462</v>
      </c>
      <c r="F33" s="1734"/>
      <c r="G33" s="1734"/>
      <c r="H33" s="1734">
        <v>10933</v>
      </c>
      <c r="I33" s="1736">
        <f t="shared" ref="I33:I48" si="1">((E33+F33)-H33)+G33</f>
        <v>36529</v>
      </c>
      <c r="J33" s="1734">
        <v>36529</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1100797</v>
      </c>
      <c r="D49" s="1742"/>
      <c r="E49" s="1736">
        <f t="shared" ref="E49:J49" si="2">SUM(E31:E48)</f>
        <v>1031241</v>
      </c>
      <c r="F49" s="1736">
        <f t="shared" si="2"/>
        <v>0</v>
      </c>
      <c r="G49" s="1736">
        <f t="shared" si="2"/>
        <v>0</v>
      </c>
      <c r="H49" s="1736">
        <f t="shared" si="2"/>
        <v>334180</v>
      </c>
      <c r="I49" s="1736">
        <f t="shared" si="2"/>
        <v>697061</v>
      </c>
      <c r="J49" s="1736">
        <f t="shared" si="2"/>
        <v>686211</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t="s">
        <v>2069</v>
      </c>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1658</v>
      </c>
      <c r="B2" s="2326"/>
      <c r="C2" s="2326"/>
      <c r="D2" s="2326"/>
      <c r="E2" s="2327"/>
      <c r="F2" s="615" t="s">
        <v>898</v>
      </c>
      <c r="G2" s="616" t="s">
        <v>1655</v>
      </c>
      <c r="H2" s="616" t="s">
        <v>407</v>
      </c>
      <c r="I2" s="616" t="s">
        <v>1148</v>
      </c>
      <c r="J2" s="616" t="s">
        <v>1786</v>
      </c>
      <c r="K2" s="616" t="s">
        <v>137</v>
      </c>
    </row>
    <row r="3" spans="1:11" x14ac:dyDescent="0.2">
      <c r="A3" s="2328" t="str">
        <f>"Cash Basis Fund Balance as of July 1, "&amp;'AFR20'!E2-1</f>
        <v>Cash Basis Fund Balance as of July 1, 2019</v>
      </c>
      <c r="B3" s="2329"/>
      <c r="C3" s="2329"/>
      <c r="D3" s="2329"/>
      <c r="E3" s="2330"/>
      <c r="F3" s="617"/>
      <c r="G3" s="1744"/>
      <c r="H3" s="1744"/>
      <c r="I3" s="1744"/>
      <c r="J3" s="1745"/>
      <c r="K3" s="1745"/>
    </row>
    <row r="4" spans="1:11" x14ac:dyDescent="0.2">
      <c r="A4" s="2331" t="s">
        <v>366</v>
      </c>
      <c r="B4" s="2332"/>
      <c r="C4" s="2332"/>
      <c r="D4" s="2332"/>
      <c r="E4" s="2313"/>
      <c r="F4" s="620"/>
      <c r="G4" s="1746"/>
      <c r="H4" s="1747"/>
      <c r="I4" s="1746"/>
      <c r="J4" s="1748"/>
      <c r="K4" s="1748"/>
    </row>
    <row r="5" spans="1:11" x14ac:dyDescent="0.2">
      <c r="A5" s="2351" t="s">
        <v>1060</v>
      </c>
      <c r="B5" s="2322"/>
      <c r="C5" s="2322"/>
      <c r="D5" s="2322"/>
      <c r="E5" s="2352"/>
      <c r="F5" s="622" t="s">
        <v>843</v>
      </c>
      <c r="G5" s="1749"/>
      <c r="H5" s="1744">
        <v>32037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3600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7868</v>
      </c>
    </row>
    <row r="10" spans="1:11" x14ac:dyDescent="0.2">
      <c r="A10" s="2351" t="s">
        <v>1787</v>
      </c>
      <c r="B10" s="2322"/>
      <c r="C10" s="2322"/>
      <c r="D10" s="2322"/>
      <c r="E10" s="2353"/>
      <c r="F10" s="633" t="s">
        <v>857</v>
      </c>
      <c r="G10" s="1753"/>
      <c r="H10" s="1754"/>
      <c r="I10" s="1744"/>
      <c r="J10" s="1745"/>
      <c r="K10" s="1745"/>
    </row>
    <row r="11" spans="1:11" x14ac:dyDescent="0.2">
      <c r="A11" s="2351" t="s">
        <v>159</v>
      </c>
      <c r="B11" s="2322"/>
      <c r="C11" s="2322"/>
      <c r="D11" s="2322"/>
      <c r="E11" s="2352"/>
      <c r="F11" s="622" t="s">
        <v>847</v>
      </c>
      <c r="G11" s="1749"/>
      <c r="H11" s="1744"/>
      <c r="I11" s="1744"/>
      <c r="J11" s="1745"/>
      <c r="K11" s="1751"/>
    </row>
    <row r="12" spans="1:11" ht="13.5" thickBot="1" x14ac:dyDescent="0.25">
      <c r="A12" s="2339" t="s">
        <v>899</v>
      </c>
      <c r="B12" s="2340"/>
      <c r="C12" s="2340"/>
      <c r="D12" s="2340"/>
      <c r="E12" s="2341"/>
      <c r="F12" s="1433"/>
      <c r="G12" s="1755">
        <f>SUM(G5:G11)</f>
        <v>0</v>
      </c>
      <c r="H12" s="1755">
        <f>SUM(H5:H11)</f>
        <v>32037</v>
      </c>
      <c r="I12" s="1755">
        <f>SUM(I5:I11)</f>
        <v>0</v>
      </c>
      <c r="J12" s="1755">
        <f>SUM(J5:J11)</f>
        <v>0</v>
      </c>
      <c r="K12" s="1755">
        <f>SUM(K5:K11)</f>
        <v>11468</v>
      </c>
    </row>
    <row r="13" spans="1:11" ht="13.5" thickTop="1" x14ac:dyDescent="0.2">
      <c r="A13" s="2333" t="s">
        <v>367</v>
      </c>
      <c r="B13" s="2334"/>
      <c r="C13" s="2334"/>
      <c r="D13" s="2334"/>
      <c r="E13" s="2335"/>
      <c r="F13" s="634"/>
      <c r="G13" s="1756"/>
      <c r="H13" s="1757"/>
      <c r="I13" s="1758"/>
      <c r="J13" s="1758"/>
      <c r="K13" s="1758"/>
    </row>
    <row r="14" spans="1:11" x14ac:dyDescent="0.2">
      <c r="A14" s="2357" t="s">
        <v>453</v>
      </c>
      <c r="B14" s="2357"/>
      <c r="C14" s="2357"/>
      <c r="D14" s="2357"/>
      <c r="E14" s="2358"/>
      <c r="F14" s="635" t="s">
        <v>849</v>
      </c>
      <c r="G14" s="1753"/>
      <c r="H14" s="1744">
        <v>32037</v>
      </c>
      <c r="I14" s="1749"/>
      <c r="J14" s="1751"/>
      <c r="K14" s="1745">
        <v>11468</v>
      </c>
    </row>
    <row r="15" spans="1:11" x14ac:dyDescent="0.2">
      <c r="A15" s="2322" t="s">
        <v>4</v>
      </c>
      <c r="B15" s="2322"/>
      <c r="C15" s="2322"/>
      <c r="D15" s="2322"/>
      <c r="E15" s="2352"/>
      <c r="F15" s="635" t="s">
        <v>850</v>
      </c>
      <c r="G15" s="1749"/>
      <c r="H15" s="1744"/>
      <c r="I15" s="1744"/>
      <c r="J15" s="1745"/>
      <c r="K15" s="1745"/>
    </row>
    <row r="16" spans="1:11" x14ac:dyDescent="0.2">
      <c r="A16" s="2322" t="s">
        <v>295</v>
      </c>
      <c r="B16" s="2322"/>
      <c r="C16" s="2322"/>
      <c r="D16" s="2322"/>
      <c r="E16" s="2352"/>
      <c r="F16" s="635" t="s">
        <v>917</v>
      </c>
      <c r="G16" s="1750"/>
      <c r="H16" s="1746"/>
      <c r="I16" s="1746"/>
      <c r="J16" s="1748"/>
      <c r="K16" s="1748"/>
    </row>
    <row r="17" spans="1:15" x14ac:dyDescent="0.2">
      <c r="A17" s="2346" t="s">
        <v>929</v>
      </c>
      <c r="B17" s="2346"/>
      <c r="C17" s="2346"/>
      <c r="D17" s="2346"/>
      <c r="E17" s="2347"/>
      <c r="F17" s="636"/>
      <c r="G17" s="1759"/>
      <c r="H17" s="1760"/>
      <c r="I17" s="1760"/>
      <c r="J17" s="1761"/>
      <c r="K17" s="1762"/>
    </row>
    <row r="18" spans="1:15" x14ac:dyDescent="0.2">
      <c r="A18" s="2336" t="s">
        <v>365</v>
      </c>
      <c r="B18" s="2337"/>
      <c r="C18" s="2337"/>
      <c r="D18" s="2337"/>
      <c r="E18" s="2338"/>
      <c r="F18" s="635" t="s">
        <v>926</v>
      </c>
      <c r="G18" s="1753"/>
      <c r="H18" s="1753"/>
      <c r="I18" s="1753"/>
      <c r="J18" s="1745"/>
      <c r="K18" s="1763"/>
    </row>
    <row r="19" spans="1:15" ht="21.75" customHeight="1" x14ac:dyDescent="0.2">
      <c r="A19" s="2359" t="s">
        <v>1783</v>
      </c>
      <c r="B19" s="2359"/>
      <c r="C19" s="2359"/>
      <c r="D19" s="2359"/>
      <c r="E19" s="2360"/>
      <c r="F19" s="635" t="s">
        <v>927</v>
      </c>
      <c r="G19" s="1753"/>
      <c r="H19" s="1753"/>
      <c r="I19" s="1753"/>
      <c r="J19" s="1745"/>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42" t="s">
        <v>633</v>
      </c>
      <c r="B21" s="2342"/>
      <c r="C21" s="2342"/>
      <c r="D21" s="2342"/>
      <c r="E21" s="2342"/>
      <c r="F21" s="1434"/>
      <c r="G21" s="1760"/>
      <c r="H21" s="1764"/>
      <c r="I21" s="1764"/>
      <c r="J21" s="1765">
        <f>SUM(J18:J20)</f>
        <v>0</v>
      </c>
      <c r="K21" s="1761"/>
    </row>
    <row r="22" spans="1:15" ht="13.5" thickTop="1" x14ac:dyDescent="0.2">
      <c r="A22" s="2322" t="s">
        <v>1789</v>
      </c>
      <c r="B22" s="2322"/>
      <c r="C22" s="2322"/>
      <c r="D22" s="2322"/>
      <c r="E22" s="2352"/>
      <c r="F22" s="635" t="s">
        <v>857</v>
      </c>
      <c r="G22" s="1753"/>
      <c r="H22" s="1744"/>
      <c r="I22" s="1744"/>
      <c r="J22" s="1766"/>
      <c r="K22" s="1745"/>
    </row>
    <row r="23" spans="1:15" ht="13.5" thickBot="1" x14ac:dyDescent="0.25">
      <c r="A23" s="2343" t="s">
        <v>900</v>
      </c>
      <c r="B23" s="2342"/>
      <c r="C23" s="2342"/>
      <c r="D23" s="2342"/>
      <c r="E23" s="2342"/>
      <c r="F23" s="1436"/>
      <c r="G23" s="1755">
        <f>SUM(G14:G16,G21,G22)</f>
        <v>0</v>
      </c>
      <c r="H23" s="1755">
        <f>SUM(H14:H16,H21,H22)</f>
        <v>32037</v>
      </c>
      <c r="I23" s="1755">
        <f>SUM(I14:I16,I21,I22)</f>
        <v>0</v>
      </c>
      <c r="J23" s="1755">
        <f>SUM(J14:J16,J21,J22)</f>
        <v>0</v>
      </c>
      <c r="K23" s="1755">
        <f>SUM(K14:K16,K21,K22)</f>
        <v>11468</v>
      </c>
      <c r="M23" s="1846"/>
      <c r="N23" s="1846"/>
      <c r="O23" s="1846"/>
    </row>
    <row r="24" spans="1:15" ht="14.25" thickTop="1" thickBot="1" x14ac:dyDescent="0.25">
      <c r="A24" s="2344" t="str">
        <f>"Ending Cash Basis Fund Balance as of June 30, "&amp;'AFR20'!E2</f>
        <v>Ending Cash Basis Fund Balance as of June 30, 2020</v>
      </c>
      <c r="B24" s="2345"/>
      <c r="C24" s="2345"/>
      <c r="D24" s="2345"/>
      <c r="E24" s="234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1159</v>
      </c>
      <c r="B33" s="341"/>
      <c r="C33" s="341"/>
      <c r="D33" s="341"/>
      <c r="E33" s="341"/>
      <c r="F33" s="341"/>
      <c r="G33" s="653"/>
      <c r="H33" s="2356"/>
      <c r="I33" s="2355"/>
      <c r="J33" s="2355"/>
      <c r="K33" s="235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10" sqref="C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218431</v>
      </c>
      <c r="D5" s="1770"/>
      <c r="E5" s="1770"/>
      <c r="F5" s="1765">
        <f>(C5+D5)-E5</f>
        <v>218431</v>
      </c>
      <c r="G5" s="676"/>
      <c r="H5" s="680"/>
      <c r="I5" s="680"/>
      <c r="J5" s="680"/>
      <c r="K5" s="637"/>
      <c r="L5" s="1442">
        <f>F5-K5</f>
        <v>218431</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6854157</v>
      </c>
      <c r="D8" s="1771"/>
      <c r="E8" s="1771"/>
      <c r="F8" s="1765">
        <f>(C8+D8)-E8</f>
        <v>6854157</v>
      </c>
      <c r="G8" s="681">
        <v>50</v>
      </c>
      <c r="H8" s="619">
        <v>3254400</v>
      </c>
      <c r="I8" s="619">
        <v>137083</v>
      </c>
      <c r="J8" s="619"/>
      <c r="K8" s="1442">
        <f>(H8+I8)-J8</f>
        <v>3391483</v>
      </c>
      <c r="L8" s="1442">
        <f>F8-K8</f>
        <v>3462674</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2805327</v>
      </c>
      <c r="D10" s="1772">
        <v>681267</v>
      </c>
      <c r="E10" s="1772"/>
      <c r="F10" s="1773">
        <f>(C10+D10)-E10</f>
        <v>3486594</v>
      </c>
      <c r="G10" s="681">
        <v>20</v>
      </c>
      <c r="H10" s="683">
        <v>1632172</v>
      </c>
      <c r="I10" s="683">
        <v>115922</v>
      </c>
      <c r="J10" s="683"/>
      <c r="K10" s="1442">
        <f>(H10+I10)-J10</f>
        <v>1748094</v>
      </c>
      <c r="L10" s="1442">
        <f>F10-K10</f>
        <v>1738500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4766381</v>
      </c>
      <c r="D12" s="1771">
        <v>197558</v>
      </c>
      <c r="E12" s="1771"/>
      <c r="F12" s="1765">
        <f>(C12+D12)-E12</f>
        <v>4963939</v>
      </c>
      <c r="G12" s="681">
        <v>10</v>
      </c>
      <c r="H12" s="619">
        <v>4288545</v>
      </c>
      <c r="I12" s="619">
        <v>143348</v>
      </c>
      <c r="J12" s="619"/>
      <c r="K12" s="1442">
        <f>(H12+I12)-J12</f>
        <v>4431893</v>
      </c>
      <c r="L12" s="1442">
        <f>F12-K12</f>
        <v>532046</v>
      </c>
    </row>
    <row r="13" spans="1:14" ht="14.25" thickTop="1" thickBot="1" x14ac:dyDescent="0.25">
      <c r="A13" s="684" t="s">
        <v>1112</v>
      </c>
      <c r="B13" s="679">
        <v>252</v>
      </c>
      <c r="C13" s="1771">
        <v>1567936</v>
      </c>
      <c r="D13" s="1771">
        <v>37050</v>
      </c>
      <c r="E13" s="1771"/>
      <c r="F13" s="1765">
        <f>(C13+D13)-E13</f>
        <v>1604986</v>
      </c>
      <c r="G13" s="681">
        <v>5</v>
      </c>
      <c r="H13" s="619">
        <v>1312346</v>
      </c>
      <c r="I13" s="619">
        <v>76255</v>
      </c>
      <c r="J13" s="619"/>
      <c r="K13" s="1442">
        <f>(H13+I13)-J13</f>
        <v>1388601</v>
      </c>
      <c r="L13" s="1442">
        <f>F13-K13</f>
        <v>216385</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16212232</v>
      </c>
      <c r="D16" s="1765">
        <f>SUM(D3,D5:D6,D8:D10,D12:D15)</f>
        <v>915875</v>
      </c>
      <c r="E16" s="1765">
        <f>SUM(E3,E5:E6,E8:E10,E12:E15)</f>
        <v>0</v>
      </c>
      <c r="F16" s="1765">
        <f>SUM(F3,F5:F6,F8:F10,F12:F15)</f>
        <v>17128107</v>
      </c>
      <c r="G16" s="681"/>
      <c r="H16" s="1435">
        <f>SUM(H3,H6,H8:H10,H12:H14,)</f>
        <v>10487463</v>
      </c>
      <c r="I16" s="1435">
        <f>SUM(I3,I6,I8:I10,I12:I14,)</f>
        <v>472608</v>
      </c>
      <c r="J16" s="1435">
        <f>SUM(J3,J6,J8:J10,J12:J14,)</f>
        <v>0</v>
      </c>
      <c r="K16" s="1435">
        <f>(H16+I16)-J16</f>
        <v>10960071</v>
      </c>
      <c r="L16" s="1435">
        <f>F16-K16</f>
        <v>6168036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472608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13510422</v>
      </c>
      <c r="G8" s="701"/>
    </row>
    <row r="9" spans="1:9" x14ac:dyDescent="0.2">
      <c r="A9" s="705" t="s">
        <v>457</v>
      </c>
      <c r="B9" s="706" t="s">
        <v>1845</v>
      </c>
      <c r="C9" s="707"/>
      <c r="D9" s="705" t="s">
        <v>498</v>
      </c>
      <c r="E9" s="704"/>
      <c r="F9" s="1775">
        <f>'Expenditures 15-22'!K151</f>
        <v>361854</v>
      </c>
      <c r="G9" s="708"/>
    </row>
    <row r="10" spans="1:9" x14ac:dyDescent="0.2">
      <c r="A10" s="705" t="s">
        <v>496</v>
      </c>
      <c r="B10" s="706" t="s">
        <v>1846</v>
      </c>
      <c r="C10" s="707"/>
      <c r="D10" s="705" t="s">
        <v>498</v>
      </c>
      <c r="E10" s="704"/>
      <c r="F10" s="1775">
        <f>'Expenditures 15-22'!K174</f>
        <v>314306</v>
      </c>
      <c r="G10" s="708"/>
    </row>
    <row r="11" spans="1:9" x14ac:dyDescent="0.2">
      <c r="A11" s="705" t="s">
        <v>458</v>
      </c>
      <c r="B11" s="706" t="s">
        <v>1847</v>
      </c>
      <c r="C11" s="707"/>
      <c r="D11" s="705" t="s">
        <v>498</v>
      </c>
      <c r="E11" s="704"/>
      <c r="F11" s="1775">
        <f>'Expenditures 15-22'!K210</f>
        <v>577896</v>
      </c>
      <c r="G11" s="708"/>
    </row>
    <row r="12" spans="1:9" x14ac:dyDescent="0.2">
      <c r="A12" s="705" t="s">
        <v>459</v>
      </c>
      <c r="B12" s="706" t="s">
        <v>1848</v>
      </c>
      <c r="C12" s="707"/>
      <c r="D12" s="705" t="s">
        <v>498</v>
      </c>
      <c r="E12" s="704"/>
      <c r="F12" s="1775">
        <f>'Expenditures 15-22'!K295</f>
        <v>429903</v>
      </c>
      <c r="G12" s="708"/>
    </row>
    <row r="13" spans="1:9" x14ac:dyDescent="0.2">
      <c r="A13" s="705" t="s">
        <v>106</v>
      </c>
      <c r="B13" s="706" t="s">
        <v>1849</v>
      </c>
      <c r="C13" s="707"/>
      <c r="D13" s="705" t="s">
        <v>498</v>
      </c>
      <c r="E13" s="704"/>
      <c r="F13" s="1775">
        <f>'Expenditures 15-22'!K342</f>
        <v>233565</v>
      </c>
      <c r="G13" s="709"/>
    </row>
    <row r="14" spans="1:9" ht="12" customHeight="1" thickBot="1" x14ac:dyDescent="0.25">
      <c r="A14" s="1443"/>
      <c r="B14" s="1444"/>
      <c r="C14" s="1445"/>
      <c r="D14" s="1446" t="s">
        <v>498</v>
      </c>
      <c r="E14" s="1447" t="s">
        <v>952</v>
      </c>
      <c r="F14" s="1776">
        <f>SUM(F8:F13)</f>
        <v>15427946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448481</v>
      </c>
      <c r="G53" s="701"/>
    </row>
    <row r="54" spans="1:7" x14ac:dyDescent="0.2">
      <c r="A54" s="705" t="s">
        <v>456</v>
      </c>
      <c r="B54" s="705" t="s">
        <v>1459</v>
      </c>
      <c r="C54" s="724" t="s">
        <v>975</v>
      </c>
      <c r="D54" s="720" t="s">
        <v>1086</v>
      </c>
      <c r="E54" s="704"/>
      <c r="F54" s="1782">
        <f>'Expenditures 15-22'!G114</f>
        <v>852174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26651</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296500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37680</v>
      </c>
      <c r="G64" s="701"/>
    </row>
    <row r="65" spans="1:9" x14ac:dyDescent="0.2">
      <c r="A65" s="705" t="s">
        <v>458</v>
      </c>
      <c r="B65" s="705" t="s">
        <v>1858</v>
      </c>
      <c r="C65" s="721" t="s">
        <v>975</v>
      </c>
      <c r="D65" s="720" t="s">
        <v>1086</v>
      </c>
      <c r="E65" s="704"/>
      <c r="F65" s="1782">
        <f>'Expenditures 15-22'!G210</f>
        <v>37050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1698536</v>
      </c>
      <c r="G77" s="701"/>
    </row>
    <row r="78" spans="1:9" s="728" customFormat="1" ht="12" customHeight="1" thickTop="1" thickBot="1" x14ac:dyDescent="0.25">
      <c r="A78" s="1450"/>
      <c r="B78" s="1448"/>
      <c r="C78" s="1445"/>
      <c r="D78" s="1449" t="s">
        <v>2009</v>
      </c>
      <c r="E78" s="1447"/>
      <c r="F78" s="1788">
        <f>(F14-F77)</f>
        <v>13729410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1085.3</v>
      </c>
      <c r="G79" s="733"/>
      <c r="H79" s="705"/>
      <c r="I79" s="705"/>
    </row>
    <row r="80" spans="1:9" s="728" customFormat="1" ht="12" customHeight="1" thickBot="1" x14ac:dyDescent="0.25">
      <c r="A80" s="1452"/>
      <c r="B80" s="1448"/>
      <c r="C80" s="1445"/>
      <c r="D80" s="1449" t="s">
        <v>2010</v>
      </c>
      <c r="E80" s="1447" t="s">
        <v>952</v>
      </c>
      <c r="F80" s="1790">
        <f>IF(F79&gt;0,F78/F79," Complete Line 79")</f>
        <v>12650.336312540312</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10196</v>
      </c>
      <c r="G95" s="745"/>
    </row>
    <row r="96" spans="1:7" x14ac:dyDescent="0.2">
      <c r="A96" s="741" t="s">
        <v>139</v>
      </c>
      <c r="B96" s="741" t="s">
        <v>174</v>
      </c>
      <c r="C96" s="743">
        <v>1700</v>
      </c>
      <c r="D96" s="751" t="str">
        <f>'Revenues 9-14'!A82</f>
        <v>Total District/School Activity Income</v>
      </c>
      <c r="E96" s="739"/>
      <c r="F96" s="1793">
        <f>SUM('Revenues 9-14'!C82,'Revenues 9-14'!D82)</f>
        <v>68300</v>
      </c>
      <c r="G96" s="745"/>
    </row>
    <row r="97" spans="1:7" x14ac:dyDescent="0.2">
      <c r="A97" s="741" t="s">
        <v>456</v>
      </c>
      <c r="B97" s="741" t="s">
        <v>175</v>
      </c>
      <c r="C97" s="743">
        <f>'Revenues 9-14'!B84</f>
        <v>1811</v>
      </c>
      <c r="D97" s="744" t="str">
        <f>'Revenues 9-14'!A84</f>
        <v>Rentals - Regular Textbooks</v>
      </c>
      <c r="E97" s="739"/>
      <c r="F97" s="1793">
        <f>'Revenues 9-14'!C84</f>
        <v>24738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5886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432915</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6141</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8489</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7868</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353408</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206530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22615</v>
      </c>
      <c r="G125" s="763"/>
    </row>
    <row r="126" spans="1:7" x14ac:dyDescent="0.2">
      <c r="A126" s="760" t="s">
        <v>659</v>
      </c>
      <c r="B126" s="760" t="s">
        <v>1927</v>
      </c>
      <c r="C126" s="765">
        <v>4200</v>
      </c>
      <c r="D126" s="762" t="str">
        <f>'Revenues 9-14'!A198</f>
        <v>Total Food Service</v>
      </c>
      <c r="E126" s="739"/>
      <c r="F126" s="1793">
        <f>SUM('Revenues 9-14'!C198,'Revenues 9-14'!G198)</f>
        <v>509498</v>
      </c>
      <c r="G126" s="763"/>
    </row>
    <row r="127" spans="1:7" x14ac:dyDescent="0.2">
      <c r="A127" s="760" t="s">
        <v>663</v>
      </c>
      <c r="B127" s="760" t="s">
        <v>1928</v>
      </c>
      <c r="C127" s="765">
        <v>4300</v>
      </c>
      <c r="D127" s="766" t="str">
        <f>'Revenues 9-14'!A204</f>
        <v>Total Title I</v>
      </c>
      <c r="E127" s="739"/>
      <c r="F127" s="1793">
        <f>SUM('Revenues 9-14'!C204,'Revenues 9-14'!D204,'Revenues 9-14'!F204,'Revenues 9-14'!G204)</f>
        <v>892907</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232253</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3832</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74145</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19487</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95804</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500262</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3475274</v>
      </c>
    </row>
    <row r="176" spans="1:7" ht="12" customHeight="1" x14ac:dyDescent="0.2">
      <c r="A176" s="1443"/>
      <c r="B176" s="1453"/>
      <c r="C176" s="1454"/>
      <c r="D176" s="1455" t="s">
        <v>2011</v>
      </c>
      <c r="E176" s="1456"/>
      <c r="F176" s="1793">
        <f>'PCTC-OEPP 27-28'!F78-F175</f>
        <v>10254136</v>
      </c>
    </row>
    <row r="177" spans="1:9" ht="12" customHeight="1" x14ac:dyDescent="0.2">
      <c r="A177" s="1443"/>
      <c r="B177" s="1453"/>
      <c r="C177" s="1454"/>
      <c r="D177" s="1455" t="s">
        <v>1791</v>
      </c>
      <c r="E177" s="1456"/>
      <c r="F177" s="1793">
        <f>'Cap Outlay Deprec 26'!I18</f>
        <v>472608</v>
      </c>
    </row>
    <row r="178" spans="1:9" ht="12" customHeight="1" x14ac:dyDescent="0.2">
      <c r="A178" s="1443"/>
      <c r="B178" s="1453"/>
      <c r="C178" s="1454"/>
      <c r="D178" s="1455" t="s">
        <v>2012</v>
      </c>
      <c r="E178" s="1456"/>
      <c r="F178" s="1793">
        <f>F176+F177</f>
        <v>10726744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1085.3</v>
      </c>
      <c r="G179" s="763"/>
      <c r="I179" s="701"/>
    </row>
    <row r="180" spans="1:9" ht="12" customHeight="1" thickBot="1" x14ac:dyDescent="0.25">
      <c r="A180" s="1443"/>
      <c r="B180" s="1457"/>
      <c r="C180" s="1454"/>
      <c r="D180" s="1455" t="s">
        <v>2014</v>
      </c>
      <c r="E180" s="1456" t="s">
        <v>1528</v>
      </c>
      <c r="F180" s="1798">
        <f>F178/F179</f>
        <v>9883.6671887957255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2070</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251725</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69003</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8653370</v>
      </c>
      <c r="F19" s="1802"/>
      <c r="G19" s="1804">
        <f>'Expenditures 15-22'!K33-SUM('Expenditures 15-22'!G33,'Expenditures 15-22'!I33)+'Expenditures 15-22'!D229</f>
        <v>8653370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529873</v>
      </c>
      <c r="F21" s="1805"/>
      <c r="G21" s="1808">
        <f>'Expenditures 15-22'!K42-SUM('Expenditures 15-22'!G42,'Expenditures 15-22'!I42)+'Expenditures 15-22'!K120-SUM('Expenditures 15-22'!G120,'Expenditures 15-22'!I120)+'Expenditures 15-22'!K180-SUM('Expenditures 15-22'!G180,'Expenditures 15-22'!I180)+'Expenditures 15-22'!D238</f>
        <v>529873</v>
      </c>
      <c r="H21" s="817"/>
      <c r="I21" s="157"/>
    </row>
    <row r="22" spans="1:9" s="542" customFormat="1" ht="12" customHeight="1" x14ac:dyDescent="0.2">
      <c r="A22" s="824" t="s">
        <v>560</v>
      </c>
      <c r="B22" s="825"/>
      <c r="C22" s="823">
        <v>2200</v>
      </c>
      <c r="D22" s="1805"/>
      <c r="E22" s="1807">
        <f>'Expenditures 15-22'!K47-SUM('Expenditures 15-22'!G47,'Expenditures 15-22'!I47)+'Expenditures 15-22'!D243</f>
        <v>611531</v>
      </c>
      <c r="F22" s="1805"/>
      <c r="G22" s="1808">
        <f>'Expenditures 15-22'!K47-SUM('Expenditures 15-22'!G47,'Expenditures 15-22'!I47)+'Expenditures 15-22'!D243</f>
        <v>611531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534394</v>
      </c>
      <c r="F23" s="1805"/>
      <c r="G23" s="1807">
        <f>'Expenditures 15-22'!K53-SUM('Expenditures 15-22'!G53,'Expenditures 15-22'!I53)+'Expenditures 15-22'!D257+'Expenditures 15-22'!K330-SUM('Expenditures 15-22'!G330,'Expenditures 15-22'!I330)</f>
        <v>534394</v>
      </c>
      <c r="H23" s="817"/>
      <c r="I23" s="157"/>
    </row>
    <row r="24" spans="1:9" s="542" customFormat="1" ht="12" customHeight="1" x14ac:dyDescent="0.2">
      <c r="A24" s="824" t="s">
        <v>562</v>
      </c>
      <c r="B24" s="825"/>
      <c r="C24" s="823">
        <v>2400</v>
      </c>
      <c r="D24" s="1805"/>
      <c r="E24" s="1807">
        <f>'Expenditures 15-22'!K57-SUM('Expenditures 15-22'!G57,'Expenditures 15-22'!I57)+'Expenditures 15-22'!D261</f>
        <v>1067384</v>
      </c>
      <c r="F24" s="1805"/>
      <c r="G24" s="1808">
        <f>'Expenditures 15-22'!K57-SUM('Expenditures 15-22'!G57,'Expenditures 15-22'!I57)+'Expenditures 15-22'!D261</f>
        <v>1067384</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252905</v>
      </c>
      <c r="E27" s="1807">
        <f>E8</f>
        <v>0</v>
      </c>
      <c r="F27" s="1807">
        <f>'Expenditures 15-22'!K60-SUM('Expenditures 15-22'!G60,'Expenditures 15-22'!I60)+'Expenditures 15-22'!D264-E8</f>
        <v>252905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977632</v>
      </c>
      <c r="F28" s="1809">
        <f>'Expenditures 15-22'!K61-SUM('Expenditures 15-22'!G61,'Expenditures 15-22'!I61)+'Expenditures 15-22'!K124-SUM('Expenditures 15-22'!G124,'Expenditures 15-22'!I124)+'Expenditures 15-22'!D266-E9</f>
        <v>977632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571500</v>
      </c>
      <c r="F29" s="1805"/>
      <c r="G29" s="1808">
        <f>'Expenditures 15-22'!K62-SUM('Expenditures 15-22'!G62,'Expenditures 15-22'!I62)+'Expenditures 15-22'!K125-SUM('Expenditures 15-22'!G125,'Expenditures 15-22'!I125)+'Expenditures 15-22'!K182-SUM('Expenditures 15-22'!G182,'Expenditures 15-22'!I182)+'Expenditures 15-22'!D267</f>
        <v>571500</v>
      </c>
      <c r="H29" s="815"/>
    </row>
    <row r="30" spans="1:9" ht="12" customHeight="1" x14ac:dyDescent="0.2">
      <c r="A30" s="824" t="s">
        <v>100</v>
      </c>
      <c r="B30" s="827"/>
      <c r="C30" s="823">
        <v>2560</v>
      </c>
      <c r="D30" s="1805"/>
      <c r="E30" s="1807">
        <f>'Expenditures 15-22'!K63-SUM('Expenditures 15-22'!G63,'Expenditures 15-22'!I63)+'Expenditures 15-22'!D268-E10</f>
        <v>255048</v>
      </c>
      <c r="F30" s="1805"/>
      <c r="G30" s="1807">
        <f>'Expenditures 15-22'!K63-SUM('Expenditures 15-22'!G63,'Expenditures 15-22'!I63)+'Expenditures 15-22'!D268-E10</f>
        <v>255048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252905</v>
      </c>
      <c r="E41" s="1809">
        <f>SUM(E19:E40)</f>
        <v>13200732</v>
      </c>
      <c r="F41" s="1809">
        <f>SUM(F19:F39)</f>
        <v>1230537</v>
      </c>
      <c r="G41" s="1809">
        <f>SUM(G19:G40)</f>
        <v>12223100</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252905</v>
      </c>
      <c r="F43" s="1458" t="s">
        <v>470</v>
      </c>
      <c r="G43" s="1810">
        <f>F41</f>
        <v>1230537</v>
      </c>
    </row>
    <row r="44" spans="1:7" ht="12" customHeight="1" x14ac:dyDescent="0.2">
      <c r="A44" s="817"/>
      <c r="B44" s="157"/>
      <c r="C44" s="831"/>
      <c r="D44" s="1458" t="s">
        <v>471</v>
      </c>
      <c r="E44" s="1810">
        <f>E41</f>
        <v>13200732</v>
      </c>
      <c r="F44" s="1458" t="s">
        <v>471</v>
      </c>
      <c r="G44" s="1810">
        <f>G41</f>
        <v>12223100</v>
      </c>
    </row>
    <row r="45" spans="1:7" ht="12" customHeight="1" x14ac:dyDescent="0.2">
      <c r="A45" s="817"/>
      <c r="B45" s="157"/>
      <c r="C45" s="157"/>
      <c r="D45" s="1459" t="s">
        <v>999</v>
      </c>
      <c r="E45" s="1811">
        <f>(E43/E44)</f>
        <v>1.9158407276202563E-2</v>
      </c>
      <c r="F45" s="1459" t="s">
        <v>999</v>
      </c>
      <c r="G45" s="1811">
        <f>(G43/G44)</f>
        <v>0.1006730698431658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3" t="s">
        <v>1363</v>
      </c>
      <c r="B1" s="2403"/>
      <c r="C1" s="2403"/>
      <c r="D1" s="2403"/>
      <c r="E1" s="2403"/>
      <c r="F1" s="2403"/>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4" t="s">
        <v>1529</v>
      </c>
      <c r="B5" s="2405"/>
      <c r="C5" s="2406"/>
      <c r="D5" s="2406"/>
      <c r="E5" s="2406"/>
      <c r="F5" s="2406"/>
      <c r="G5" s="1507"/>
      <c r="L5" s="1507"/>
      <c r="M5" s="1855"/>
      <c r="N5" s="1855"/>
      <c r="O5" s="1855"/>
    </row>
    <row r="6" spans="1:15" ht="12" customHeight="1" x14ac:dyDescent="0.25">
      <c r="A6" s="1480"/>
      <c r="B6" s="1481"/>
      <c r="C6" s="2407" t="str">
        <f>COVER!A17</f>
        <v>HOOPESTON AREA CUSD #11</v>
      </c>
      <c r="D6" s="2407"/>
      <c r="E6" s="2407"/>
      <c r="F6" s="1482"/>
      <c r="G6" s="1507"/>
      <c r="L6" s="1507"/>
      <c r="M6" s="1855"/>
      <c r="N6" s="1855"/>
      <c r="O6" s="1855"/>
    </row>
    <row r="7" spans="1:15" ht="11.25" customHeight="1" thickBot="1" x14ac:dyDescent="0.3">
      <c r="A7" s="1480"/>
      <c r="B7" s="1481"/>
      <c r="C7" s="2408" t="str">
        <f>COVER!A13</f>
        <v>54-092-0110-26</v>
      </c>
      <c r="D7" s="2408"/>
      <c r="E7" s="2408"/>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2071</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c r="B41" s="2420"/>
      <c r="C41" s="2420"/>
      <c r="D41" s="2420"/>
      <c r="E41" s="2420"/>
      <c r="F41" s="2421"/>
      <c r="H41" s="1508"/>
      <c r="I41" s="1508"/>
      <c r="J41" s="1508"/>
      <c r="K41" s="1508"/>
    </row>
    <row r="42" spans="1:15" s="1499" customFormat="1" ht="12" customHeight="1" x14ac:dyDescent="0.25">
      <c r="A42" s="2419"/>
      <c r="B42" s="2420"/>
      <c r="C42" s="2420"/>
      <c r="D42" s="2420"/>
      <c r="E42" s="2420"/>
      <c r="F42" s="2421"/>
      <c r="H42" s="1508"/>
      <c r="I42" s="1508"/>
      <c r="J42" s="1508"/>
      <c r="K42" s="1508"/>
    </row>
    <row r="43" spans="1:15" s="1499" customFormat="1" ht="15" x14ac:dyDescent="0.25">
      <c r="A43" s="2411"/>
      <c r="B43" s="2412"/>
      <c r="C43" s="2412"/>
      <c r="D43" s="2412"/>
      <c r="E43" s="2412"/>
      <c r="F43" s="2413"/>
      <c r="H43" s="1508"/>
      <c r="I43" s="1508"/>
      <c r="J43" s="1508"/>
      <c r="K43" s="1508"/>
    </row>
    <row r="44" spans="1:15" s="1499" customFormat="1" ht="12" hidden="1" customHeight="1" x14ac:dyDescent="0.25">
      <c r="A44" s="2411"/>
      <c r="B44" s="2412"/>
      <c r="C44" s="2412"/>
      <c r="D44" s="2412"/>
      <c r="E44" s="2412"/>
      <c r="F44" s="241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23" t="str">
        <f>COVER!A17</f>
        <v>HOOPESTON AREA CUSD #11</v>
      </c>
      <c r="K6" s="2423"/>
      <c r="L6" s="2424"/>
      <c r="M6" s="838"/>
      <c r="N6" s="1999"/>
    </row>
    <row r="7" spans="1:14" x14ac:dyDescent="0.2">
      <c r="A7" s="2425" t="s">
        <v>864</v>
      </c>
      <c r="B7" s="2426"/>
      <c r="C7" s="2426"/>
      <c r="D7" s="2426"/>
      <c r="E7" s="2427"/>
      <c r="F7" s="839"/>
      <c r="G7" s="838"/>
      <c r="H7" s="838"/>
      <c r="I7" s="1925" t="s">
        <v>369</v>
      </c>
      <c r="J7" s="2428" t="str">
        <f>COVER!A13</f>
        <v>54-092-0110-26</v>
      </c>
      <c r="K7" s="2428"/>
      <c r="L7" s="2428"/>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29" t="s">
        <v>478</v>
      </c>
      <c r="B11" s="2430"/>
      <c r="C11" s="2431"/>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227684</v>
      </c>
      <c r="F12" s="1943"/>
      <c r="G12" s="1969">
        <f>G68</f>
        <v>0</v>
      </c>
      <c r="H12" s="1945">
        <f t="shared" ref="H12:H18" si="0">SUM(E12:G12)</f>
        <v>227684</v>
      </c>
      <c r="I12" s="1944">
        <v>208968</v>
      </c>
      <c r="J12" s="1943"/>
      <c r="K12" s="1944"/>
      <c r="L12" s="1945">
        <f t="shared" ref="L12:L18" si="1">SUM(I12:K12)</f>
        <v>208968</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32" t="s">
        <v>7</v>
      </c>
      <c r="C18" s="2433"/>
      <c r="D18" s="243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227684</v>
      </c>
      <c r="F19" s="1951">
        <f t="shared" si="2"/>
        <v>0</v>
      </c>
      <c r="G19" s="1951">
        <f t="shared" ref="G19" si="3">SUM(G12:G17)-G18</f>
        <v>0</v>
      </c>
      <c r="H19" s="1951">
        <f t="shared" si="2"/>
        <v>227684</v>
      </c>
      <c r="I19" s="1951">
        <f t="shared" si="2"/>
        <v>208968</v>
      </c>
      <c r="J19" s="1951">
        <f t="shared" si="2"/>
        <v>0</v>
      </c>
      <c r="K19" s="1951">
        <f t="shared" si="2"/>
        <v>0</v>
      </c>
      <c r="L19" s="1951">
        <f t="shared" si="2"/>
        <v>208968</v>
      </c>
      <c r="M19" s="838"/>
      <c r="N19" s="1999"/>
    </row>
    <row r="20" spans="1:14" ht="13.5" thickTop="1" x14ac:dyDescent="0.2">
      <c r="A20" s="2004">
        <v>9</v>
      </c>
      <c r="B20" s="2435" t="s">
        <v>2018</v>
      </c>
      <c r="C20" s="2435"/>
      <c r="D20" s="2436"/>
      <c r="E20" s="1952"/>
      <c r="F20" s="1952"/>
      <c r="G20" s="1952"/>
      <c r="H20" s="1952"/>
      <c r="I20" s="1952"/>
      <c r="J20" s="1952"/>
      <c r="K20" s="1952"/>
      <c r="L20" s="1953">
        <f>IF(AND(H19&gt;0,L19&gt;0),(((L19-H19)/H19)),"Enter Budget Data")</f>
        <v>-8.2201647897963845E-2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37"/>
      <c r="D27" s="2437"/>
      <c r="E27" s="843"/>
      <c r="F27" s="2438"/>
      <c r="G27" s="2438"/>
      <c r="H27" s="2438"/>
      <c r="I27" s="838"/>
      <c r="J27" s="838"/>
      <c r="K27" s="838"/>
      <c r="L27" s="838"/>
      <c r="M27" s="838"/>
      <c r="N27" s="1999"/>
    </row>
    <row r="28" spans="1:14" x14ac:dyDescent="0.2">
      <c r="A28" s="1998"/>
      <c r="B28" s="2008"/>
      <c r="C28" s="1958" t="s">
        <v>1026</v>
      </c>
      <c r="D28" s="844"/>
      <c r="E28" s="1959"/>
      <c r="F28" s="2439" t="s">
        <v>1492</v>
      </c>
      <c r="G28" s="2439"/>
      <c r="H28" s="2439"/>
      <c r="I28" s="838"/>
      <c r="J28" s="838"/>
      <c r="K28" s="838"/>
      <c r="L28" s="838"/>
      <c r="M28" s="838"/>
      <c r="N28" s="1999"/>
    </row>
    <row r="29" spans="1:14" x14ac:dyDescent="0.2">
      <c r="A29" s="1998"/>
      <c r="B29" s="2008"/>
      <c r="C29" s="2440"/>
      <c r="D29" s="2440"/>
      <c r="E29" s="845"/>
      <c r="F29" s="2440"/>
      <c r="G29" s="2440"/>
      <c r="H29" s="2440"/>
      <c r="I29" s="838"/>
      <c r="J29" s="838"/>
      <c r="K29" s="838"/>
      <c r="L29" s="838"/>
      <c r="M29" s="838"/>
      <c r="N29" s="1999"/>
    </row>
    <row r="30" spans="1:14" x14ac:dyDescent="0.2">
      <c r="A30" s="1998"/>
      <c r="B30" s="2008"/>
      <c r="C30" s="1961" t="s">
        <v>1544</v>
      </c>
      <c r="D30" s="838"/>
      <c r="E30" s="1960"/>
      <c r="F30" s="2422" t="s">
        <v>1493</v>
      </c>
      <c r="G30" s="2422"/>
      <c r="H30" s="242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43" t="s">
        <v>2021</v>
      </c>
      <c r="D34" s="2444"/>
      <c r="E34" s="2444"/>
      <c r="F34" s="2444"/>
      <c r="G34" s="2444"/>
      <c r="H34" s="2444"/>
      <c r="I34" s="2444"/>
      <c r="J34" s="2444"/>
      <c r="K34" s="2017"/>
      <c r="L34" s="838"/>
      <c r="M34" s="838"/>
      <c r="N34" s="1999"/>
    </row>
    <row r="35" spans="1:14" x14ac:dyDescent="0.2">
      <c r="A35" s="1998"/>
      <c r="B35" s="838"/>
      <c r="C35" s="2444"/>
      <c r="D35" s="2444"/>
      <c r="E35" s="2444"/>
      <c r="F35" s="2444"/>
      <c r="G35" s="2444"/>
      <c r="H35" s="2444"/>
      <c r="I35" s="2444"/>
      <c r="J35" s="2444"/>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43" t="s">
        <v>2022</v>
      </c>
      <c r="D37" s="2444"/>
      <c r="E37" s="2444"/>
      <c r="F37" s="2444"/>
      <c r="G37" s="2444"/>
      <c r="H37" s="2444"/>
      <c r="I37" s="2444"/>
      <c r="J37" s="2444"/>
      <c r="K37" s="2017"/>
      <c r="L37" s="2019"/>
      <c r="M37" s="838"/>
      <c r="N37" s="1999"/>
    </row>
    <row r="38" spans="1:14" x14ac:dyDescent="0.2">
      <c r="A38" s="1998"/>
      <c r="B38" s="838"/>
      <c r="C38" s="2444"/>
      <c r="D38" s="2444"/>
      <c r="E38" s="2444"/>
      <c r="F38" s="2444"/>
      <c r="G38" s="2444"/>
      <c r="H38" s="2444"/>
      <c r="I38" s="2444"/>
      <c r="J38" s="2444"/>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45" t="s">
        <v>2023</v>
      </c>
      <c r="D40" s="2446"/>
      <c r="E40" s="2446"/>
      <c r="F40" s="2446"/>
      <c r="G40" s="2446"/>
      <c r="H40" s="2446"/>
      <c r="I40" s="2446"/>
      <c r="J40" s="2446"/>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47" t="s">
        <v>2024</v>
      </c>
      <c r="B43" s="2448"/>
      <c r="C43" s="2448"/>
      <c r="D43" s="2448"/>
      <c r="E43" s="2448"/>
      <c r="F43" s="2448"/>
      <c r="G43" s="2448"/>
      <c r="H43" s="2448"/>
      <c r="I43" s="2448"/>
      <c r="J43" s="2448"/>
      <c r="K43" s="2448"/>
      <c r="L43" s="2448"/>
      <c r="M43" s="2448"/>
      <c r="N43" s="2449"/>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50" t="s">
        <v>2026</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23" t="str">
        <f>J6</f>
        <v>HOOPESTON AREA CUSD #11</v>
      </c>
      <c r="M52" s="2423"/>
      <c r="N52" s="2453"/>
    </row>
    <row r="53" spans="1:14" x14ac:dyDescent="0.2">
      <c r="A53" s="1983"/>
      <c r="B53" s="1984"/>
      <c r="C53" s="1984"/>
      <c r="D53" s="1984"/>
      <c r="E53" s="1984"/>
      <c r="F53" s="1984"/>
      <c r="G53" s="1984"/>
      <c r="H53" s="1984"/>
      <c r="I53" s="1984"/>
      <c r="J53" s="1984"/>
      <c r="K53" s="1925" t="s">
        <v>369</v>
      </c>
      <c r="L53" s="2428" t="str">
        <f>J7</f>
        <v>54-092-0110-26</v>
      </c>
      <c r="M53" s="2428"/>
      <c r="N53" s="245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55"/>
      <c r="B55" s="2456"/>
      <c r="C55" s="2456"/>
      <c r="D55" s="1971"/>
      <c r="E55" s="1971"/>
      <c r="F55" s="1971"/>
      <c r="G55" s="2457" t="s">
        <v>2027</v>
      </c>
      <c r="H55" s="2457"/>
      <c r="I55" s="2457"/>
      <c r="J55" s="2457"/>
      <c r="K55" s="2457"/>
      <c r="L55" s="2457"/>
      <c r="M55" s="2457"/>
      <c r="N55" s="2458"/>
    </row>
    <row r="56" spans="1:14" ht="63.75" x14ac:dyDescent="0.2">
      <c r="A56" s="2459" t="s">
        <v>2028</v>
      </c>
      <c r="B56" s="2460"/>
      <c r="C56" s="2461"/>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62" t="s">
        <v>296</v>
      </c>
      <c r="B57" s="2463"/>
      <c r="C57" s="246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41" t="s">
        <v>2038</v>
      </c>
      <c r="B58" s="2442"/>
      <c r="C58" s="2442"/>
      <c r="D58" s="1968">
        <v>2362</v>
      </c>
      <c r="E58" s="1978">
        <f>'Expenditures 15-22'!K320</f>
        <v>41590</v>
      </c>
      <c r="F58" s="1973"/>
      <c r="G58" s="2032"/>
      <c r="H58" s="2033"/>
      <c r="I58" s="2033"/>
      <c r="J58" s="2033"/>
      <c r="K58" s="2033"/>
      <c r="L58" s="2033"/>
      <c r="M58" s="2033">
        <v>41590</v>
      </c>
      <c r="N58" s="1976">
        <f>IF((SUM(G58:M58))=E58,SUM(G58:M58),"Column N does not agree with Column E")</f>
        <v>41590</v>
      </c>
    </row>
    <row r="59" spans="1:14" ht="24.75" customHeight="1" x14ac:dyDescent="0.2">
      <c r="A59" s="2464" t="s">
        <v>297</v>
      </c>
      <c r="B59" s="2465"/>
      <c r="C59" s="2465"/>
      <c r="D59" s="1968">
        <v>2363</v>
      </c>
      <c r="E59" s="1978">
        <f>'Expenditures 15-22'!K321</f>
        <v>18868</v>
      </c>
      <c r="F59" s="1973"/>
      <c r="G59" s="2032"/>
      <c r="H59" s="2033"/>
      <c r="I59" s="2033"/>
      <c r="J59" s="2033"/>
      <c r="K59" s="2033"/>
      <c r="L59" s="2033"/>
      <c r="M59" s="2033">
        <v>18868</v>
      </c>
      <c r="N59" s="1976">
        <f>IF((SUM(G59:M59))=E59,SUM(G59:M59),"Column N does not agree with Column E")</f>
        <v>18868</v>
      </c>
    </row>
    <row r="60" spans="1:14" ht="24" customHeight="1" x14ac:dyDescent="0.2">
      <c r="A60" s="2464" t="s">
        <v>236</v>
      </c>
      <c r="B60" s="2465"/>
      <c r="C60" s="2465"/>
      <c r="D60" s="1968">
        <v>2364</v>
      </c>
      <c r="E60" s="1978">
        <f>'Expenditures 15-22'!K322</f>
        <v>139989</v>
      </c>
      <c r="F60" s="1973"/>
      <c r="G60" s="2032"/>
      <c r="H60" s="2033"/>
      <c r="I60" s="2033"/>
      <c r="J60" s="2033"/>
      <c r="K60" s="2033"/>
      <c r="L60" s="2033"/>
      <c r="M60" s="2033">
        <v>139989</v>
      </c>
      <c r="N60" s="1976">
        <f t="shared" ref="N60:N67" si="4">IF((SUM(G60:M60))=E60,SUM(G60:M60),"Column N does not agree with Column E")</f>
        <v>139989</v>
      </c>
    </row>
    <row r="61" spans="1:14" ht="24.75" customHeight="1" x14ac:dyDescent="0.2">
      <c r="A61" s="2464" t="s">
        <v>697</v>
      </c>
      <c r="B61" s="2465"/>
      <c r="C61" s="2465"/>
      <c r="D61" s="1968">
        <v>2365</v>
      </c>
      <c r="E61" s="1978">
        <f>'Expenditures 15-22'!K323</f>
        <v>0</v>
      </c>
      <c r="F61" s="1973"/>
      <c r="G61" s="2032"/>
      <c r="H61" s="2033"/>
      <c r="I61" s="2033"/>
      <c r="J61" s="2033"/>
      <c r="K61" s="2033"/>
      <c r="L61" s="2033"/>
      <c r="M61" s="2033"/>
      <c r="N61" s="1976">
        <f t="shared" si="4"/>
        <v>0</v>
      </c>
    </row>
    <row r="62" spans="1:14" ht="24" customHeight="1" x14ac:dyDescent="0.2">
      <c r="A62" s="2464" t="s">
        <v>237</v>
      </c>
      <c r="B62" s="2465"/>
      <c r="C62" s="2465"/>
      <c r="D62" s="1968">
        <v>2366</v>
      </c>
      <c r="E62" s="1978">
        <f>'Expenditures 15-22'!K324</f>
        <v>0</v>
      </c>
      <c r="F62" s="1973"/>
      <c r="G62" s="2032"/>
      <c r="H62" s="2033"/>
      <c r="I62" s="2033"/>
      <c r="J62" s="2033"/>
      <c r="K62" s="2033"/>
      <c r="L62" s="2033"/>
      <c r="M62" s="2033"/>
      <c r="N62" s="1976">
        <f t="shared" si="4"/>
        <v>0</v>
      </c>
    </row>
    <row r="63" spans="1:14" ht="24" customHeight="1" x14ac:dyDescent="0.2">
      <c r="A63" s="2441" t="s">
        <v>1022</v>
      </c>
      <c r="B63" s="2442"/>
      <c r="C63" s="2442"/>
      <c r="D63" s="1968">
        <v>2367</v>
      </c>
      <c r="E63" s="1978">
        <f>'Expenditures 15-22'!K325</f>
        <v>10526</v>
      </c>
      <c r="F63" s="1973"/>
      <c r="G63" s="2032"/>
      <c r="H63" s="2033"/>
      <c r="I63" s="2033"/>
      <c r="J63" s="2033"/>
      <c r="K63" s="2033"/>
      <c r="L63" s="2033"/>
      <c r="M63" s="2033">
        <v>10526</v>
      </c>
      <c r="N63" s="1976">
        <f t="shared" si="4"/>
        <v>10526</v>
      </c>
    </row>
    <row r="64" spans="1:14" ht="24" customHeight="1" x14ac:dyDescent="0.2">
      <c r="A64" s="2464" t="s">
        <v>1023</v>
      </c>
      <c r="B64" s="2465"/>
      <c r="C64" s="2465"/>
      <c r="D64" s="1968">
        <v>2368</v>
      </c>
      <c r="E64" s="1978">
        <f>'Expenditures 15-22'!K326</f>
        <v>0</v>
      </c>
      <c r="F64" s="1973"/>
      <c r="G64" s="2032"/>
      <c r="H64" s="2033"/>
      <c r="I64" s="2033"/>
      <c r="J64" s="2033"/>
      <c r="K64" s="2033"/>
      <c r="L64" s="2033"/>
      <c r="M64" s="2033"/>
      <c r="N64" s="1976">
        <f t="shared" si="4"/>
        <v>0</v>
      </c>
    </row>
    <row r="65" spans="1:14" ht="24" customHeight="1" x14ac:dyDescent="0.2">
      <c r="A65" s="2464" t="s">
        <v>965</v>
      </c>
      <c r="B65" s="2465"/>
      <c r="C65" s="2465"/>
      <c r="D65" s="1968">
        <v>2369</v>
      </c>
      <c r="E65" s="1978">
        <f>'Expenditures 15-22'!K327</f>
        <v>22592</v>
      </c>
      <c r="F65" s="1973"/>
      <c r="G65" s="2032"/>
      <c r="H65" s="2033"/>
      <c r="I65" s="2033"/>
      <c r="J65" s="2033"/>
      <c r="K65" s="2033"/>
      <c r="L65" s="2033"/>
      <c r="M65" s="2033">
        <v>22592</v>
      </c>
      <c r="N65" s="1976">
        <f t="shared" si="4"/>
        <v>22592</v>
      </c>
    </row>
    <row r="66" spans="1:14" ht="24" customHeight="1" x14ac:dyDescent="0.2">
      <c r="A66" s="2464" t="s">
        <v>469</v>
      </c>
      <c r="B66" s="2465"/>
      <c r="C66" s="2465"/>
      <c r="D66" s="1968">
        <v>2371</v>
      </c>
      <c r="E66" s="1978">
        <f>'Expenditures 15-22'!K328</f>
        <v>0</v>
      </c>
      <c r="F66" s="1973"/>
      <c r="G66" s="2032"/>
      <c r="H66" s="2033"/>
      <c r="I66" s="2033"/>
      <c r="J66" s="2033"/>
      <c r="K66" s="2033"/>
      <c r="L66" s="2033"/>
      <c r="M66" s="2033"/>
      <c r="N66" s="1976">
        <f t="shared" si="4"/>
        <v>0</v>
      </c>
    </row>
    <row r="67" spans="1:14" ht="24.75" customHeight="1" x14ac:dyDescent="0.2">
      <c r="A67" s="2466" t="s">
        <v>2039</v>
      </c>
      <c r="B67" s="2467"/>
      <c r="C67" s="2467"/>
      <c r="D67" s="1970">
        <v>2372</v>
      </c>
      <c r="E67" s="1979">
        <f>'Expenditures 15-22'!K329</f>
        <v>0</v>
      </c>
      <c r="F67" s="1973"/>
      <c r="G67" s="2034"/>
      <c r="H67" s="2035"/>
      <c r="I67" s="2035"/>
      <c r="J67" s="2035"/>
      <c r="K67" s="2035"/>
      <c r="L67" s="2035"/>
      <c r="M67" s="2035"/>
      <c r="N67" s="1976">
        <f t="shared" si="4"/>
        <v>0</v>
      </c>
    </row>
    <row r="68" spans="1:14" x14ac:dyDescent="0.2">
      <c r="A68" s="2468" t="s">
        <v>1151</v>
      </c>
      <c r="B68" s="2469"/>
      <c r="C68" s="2469"/>
      <c r="D68" s="1971"/>
      <c r="E68" s="1975">
        <f>SUM(E57:E67)</f>
        <v>233565</v>
      </c>
      <c r="F68" s="1974"/>
      <c r="G68" s="1975">
        <f t="shared" ref="G68:N68" si="5">SUM(G57:G67)</f>
        <v>0</v>
      </c>
      <c r="H68" s="1975">
        <f t="shared" si="5"/>
        <v>0</v>
      </c>
      <c r="I68" s="1975">
        <f t="shared" si="5"/>
        <v>0</v>
      </c>
      <c r="J68" s="1975">
        <f t="shared" si="5"/>
        <v>0</v>
      </c>
      <c r="K68" s="1975">
        <f t="shared" si="5"/>
        <v>0</v>
      </c>
      <c r="L68" s="1975">
        <f t="shared" si="5"/>
        <v>0</v>
      </c>
      <c r="M68" s="1975">
        <f t="shared" si="5"/>
        <v>233565</v>
      </c>
      <c r="N68" s="1989">
        <f t="shared" si="5"/>
        <v>233565</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7"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2072</v>
      </c>
    </row>
    <row r="6" spans="1:2" x14ac:dyDescent="0.2">
      <c r="A6" s="847"/>
      <c r="B6" s="2038" t="s">
        <v>2073</v>
      </c>
    </row>
    <row r="7" spans="1:2" x14ac:dyDescent="0.2">
      <c r="A7" s="847"/>
      <c r="B7" s="307" t="s">
        <v>2074</v>
      </c>
    </row>
    <row r="8" spans="1:2" x14ac:dyDescent="0.2">
      <c r="A8" s="847"/>
      <c r="B8" s="307" t="s">
        <v>2075</v>
      </c>
    </row>
    <row r="9" spans="1:2" x14ac:dyDescent="0.2">
      <c r="A9" s="848"/>
      <c r="B9" s="307" t="s">
        <v>2076</v>
      </c>
    </row>
    <row r="10" spans="1:2" x14ac:dyDescent="0.2">
      <c r="A10" s="848"/>
      <c r="B10" s="307" t="s">
        <v>2077</v>
      </c>
    </row>
    <row r="11" spans="1:2" x14ac:dyDescent="0.2">
      <c r="A11" s="848"/>
    </row>
    <row r="12" spans="1:2" x14ac:dyDescent="0.2">
      <c r="A12" s="848">
        <v>2</v>
      </c>
      <c r="B12" s="2037" t="s">
        <v>2078</v>
      </c>
    </row>
    <row r="13" spans="1:2" x14ac:dyDescent="0.2">
      <c r="A13" s="848"/>
      <c r="B13" s="2038" t="s">
        <v>2079</v>
      </c>
    </row>
    <row r="14" spans="1:2" x14ac:dyDescent="0.2">
      <c r="A14" s="848"/>
      <c r="B14" s="307" t="s">
        <v>2080</v>
      </c>
    </row>
    <row r="15" spans="1:2" x14ac:dyDescent="0.2">
      <c r="A15" s="848"/>
    </row>
    <row r="16" spans="1:2" x14ac:dyDescent="0.2">
      <c r="A16" s="848">
        <v>3</v>
      </c>
      <c r="B16" s="2037" t="s">
        <v>2081</v>
      </c>
    </row>
    <row r="17" spans="1:2" x14ac:dyDescent="0.2">
      <c r="A17" s="848"/>
      <c r="B17" s="2038" t="s">
        <v>2079</v>
      </c>
    </row>
    <row r="18" spans="1:2" x14ac:dyDescent="0.2">
      <c r="A18" s="848"/>
      <c r="B18" s="307" t="s">
        <v>2082</v>
      </c>
    </row>
    <row r="19" spans="1:2" x14ac:dyDescent="0.2">
      <c r="A19" s="848"/>
    </row>
    <row r="20" spans="1:2" x14ac:dyDescent="0.2">
      <c r="A20" s="848">
        <v>4</v>
      </c>
      <c r="B20" s="2037" t="s">
        <v>2083</v>
      </c>
    </row>
    <row r="21" spans="1:2" x14ac:dyDescent="0.2">
      <c r="A21" s="848"/>
      <c r="B21" s="2038" t="s">
        <v>2079</v>
      </c>
    </row>
    <row r="22" spans="1:2" x14ac:dyDescent="0.2">
      <c r="A22" s="848"/>
      <c r="B22" s="307" t="s">
        <v>2084</v>
      </c>
    </row>
    <row r="23" spans="1:2" x14ac:dyDescent="0.2">
      <c r="A23" s="848"/>
      <c r="B23" s="307" t="s">
        <v>2085</v>
      </c>
    </row>
    <row r="24" spans="1:2" x14ac:dyDescent="0.2">
      <c r="A24" s="848"/>
      <c r="B24" s="2038" t="s">
        <v>2086</v>
      </c>
    </row>
    <row r="25" spans="1:2" x14ac:dyDescent="0.2">
      <c r="A25" s="848"/>
      <c r="B25" s="307" t="s">
        <v>2087</v>
      </c>
    </row>
    <row r="26" spans="1:2" x14ac:dyDescent="0.2">
      <c r="A26" s="848"/>
      <c r="B26" s="2038" t="s">
        <v>2088</v>
      </c>
    </row>
    <row r="27" spans="1:2" x14ac:dyDescent="0.2">
      <c r="A27" s="848"/>
      <c r="B27" s="307" t="s">
        <v>2089</v>
      </c>
    </row>
    <row r="28" spans="1:2" x14ac:dyDescent="0.2">
      <c r="A28" s="848"/>
    </row>
    <row r="29" spans="1:2" x14ac:dyDescent="0.2">
      <c r="A29" s="848">
        <v>5</v>
      </c>
      <c r="B29" s="2037" t="s">
        <v>2090</v>
      </c>
    </row>
    <row r="30" spans="1:2" x14ac:dyDescent="0.2">
      <c r="A30" s="848"/>
      <c r="B30" s="2038" t="s">
        <v>2079</v>
      </c>
    </row>
    <row r="31" spans="1:2" x14ac:dyDescent="0.2">
      <c r="A31" s="848"/>
      <c r="B31" s="307" t="s">
        <v>2091</v>
      </c>
    </row>
    <row r="32" spans="1:2" x14ac:dyDescent="0.2">
      <c r="A32" s="848"/>
    </row>
    <row r="33" spans="1:2" x14ac:dyDescent="0.2">
      <c r="A33" s="848">
        <v>6</v>
      </c>
      <c r="B33" s="2037" t="s">
        <v>2092</v>
      </c>
    </row>
    <row r="34" spans="1:2" x14ac:dyDescent="0.2">
      <c r="A34" s="848"/>
      <c r="B34" s="2038" t="s">
        <v>2079</v>
      </c>
    </row>
    <row r="35" spans="1:2" x14ac:dyDescent="0.2">
      <c r="A35" s="848"/>
      <c r="B35" s="307" t="s">
        <v>2093</v>
      </c>
    </row>
    <row r="36" spans="1:2" x14ac:dyDescent="0.2">
      <c r="A36" s="848"/>
      <c r="B36" s="307" t="s">
        <v>2094</v>
      </c>
    </row>
    <row r="37" spans="1:2" x14ac:dyDescent="0.2">
      <c r="A37" s="848"/>
    </row>
    <row r="38" spans="1:2" x14ac:dyDescent="0.2">
      <c r="A38" s="848">
        <v>7</v>
      </c>
      <c r="B38" s="2037" t="s">
        <v>2095</v>
      </c>
    </row>
    <row r="39" spans="1:2" x14ac:dyDescent="0.2">
      <c r="A39" s="848"/>
      <c r="B39" s="2038" t="s">
        <v>2079</v>
      </c>
    </row>
    <row r="40" spans="1:2" x14ac:dyDescent="0.2">
      <c r="A40" s="848"/>
      <c r="B40" s="307" t="s">
        <v>2096</v>
      </c>
    </row>
    <row r="41" spans="1:2" x14ac:dyDescent="0.2">
      <c r="A41" s="848"/>
    </row>
    <row r="42" spans="1:2" x14ac:dyDescent="0.2">
      <c r="A42" s="848">
        <v>8</v>
      </c>
      <c r="B42" s="2037" t="s">
        <v>2097</v>
      </c>
    </row>
    <row r="43" spans="1:2" x14ac:dyDescent="0.2">
      <c r="A43" s="848"/>
      <c r="B43" s="307" t="s">
        <v>2098</v>
      </c>
    </row>
    <row r="44" spans="1:2" x14ac:dyDescent="0.2">
      <c r="A44" s="848"/>
    </row>
    <row r="45" spans="1:2" x14ac:dyDescent="0.2">
      <c r="A45" s="848">
        <v>9</v>
      </c>
      <c r="B45" s="2037" t="s">
        <v>2099</v>
      </c>
    </row>
    <row r="46" spans="1:2" x14ac:dyDescent="0.2">
      <c r="A46" s="848"/>
      <c r="B46" s="2038" t="s">
        <v>2100</v>
      </c>
    </row>
    <row r="47" spans="1:2" x14ac:dyDescent="0.2">
      <c r="A47" s="848"/>
      <c r="B47" s="307" t="s">
        <v>2101</v>
      </c>
    </row>
    <row r="48" spans="1:2" x14ac:dyDescent="0.2">
      <c r="A48" s="848"/>
      <c r="B48" s="2038" t="s">
        <v>2102</v>
      </c>
    </row>
    <row r="49" spans="1:2" x14ac:dyDescent="0.2">
      <c r="A49" s="848"/>
      <c r="B49" s="307" t="s">
        <v>2103</v>
      </c>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HOOPESTON AREA CUSD #11</v>
      </c>
    </row>
    <row r="63" spans="1:2" x14ac:dyDescent="0.2">
      <c r="B63" s="849" t="str">
        <f>COVER!A13</f>
        <v>54-092-0110-26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13721361</v>
      </c>
      <c r="C8" s="1813">
        <f>'Acct Summary 7-8'!D8</f>
        <v>425587</v>
      </c>
      <c r="D8" s="1813">
        <f>'Acct Summary 7-8'!F8</f>
        <v>697615</v>
      </c>
      <c r="E8" s="1813">
        <f>'Acct Summary 7-8'!I8</f>
        <v>59316</v>
      </c>
      <c r="F8" s="1813">
        <f>SUM(B8:E8)</f>
        <v>14903879</v>
      </c>
    </row>
    <row r="9" spans="1:8" s="858" customFormat="1" ht="14.25" customHeight="1" thickBot="1" x14ac:dyDescent="0.25">
      <c r="A9" s="857" t="s">
        <v>1353</v>
      </c>
      <c r="B9" s="1814">
        <f>'Acct Summary 7-8'!C17</f>
        <v>13510422</v>
      </c>
      <c r="C9" s="1814">
        <f>'Acct Summary 7-8'!D17</f>
        <v>361854</v>
      </c>
      <c r="D9" s="1814">
        <f>'Acct Summary 7-8'!F17</f>
        <v>577896</v>
      </c>
      <c r="E9" s="1813"/>
      <c r="F9" s="1813">
        <f>SUM(B9:E9)</f>
        <v>14450172</v>
      </c>
    </row>
    <row r="10" spans="1:8" s="858" customFormat="1" ht="14.25" thickTop="1" thickBot="1" x14ac:dyDescent="0.25">
      <c r="A10" s="859" t="s">
        <v>1354</v>
      </c>
      <c r="B10" s="1815">
        <f>(B8-B9)</f>
        <v>210939</v>
      </c>
      <c r="C10" s="1815">
        <f>(C8-C9)</f>
        <v>63733</v>
      </c>
      <c r="D10" s="1815">
        <f>(D8-D9)</f>
        <v>119719</v>
      </c>
      <c r="E10" s="1814">
        <f>(E8-E9)</f>
        <v>59316</v>
      </c>
      <c r="F10" s="1816">
        <f>SUM(F8-F9)</f>
        <v>453707</v>
      </c>
    </row>
    <row r="11" spans="1:8" s="858" customFormat="1" ht="14.25" thickTop="1" thickBot="1" x14ac:dyDescent="0.25">
      <c r="A11" s="860" t="s">
        <v>1900</v>
      </c>
      <c r="B11" s="1817">
        <f>'Acct Summary 7-8'!C81</f>
        <v>7208019</v>
      </c>
      <c r="C11" s="1817">
        <f>'Acct Summary 7-8'!D81</f>
        <v>321736</v>
      </c>
      <c r="D11" s="1817">
        <f>'Acct Summary 7-8'!F81</f>
        <v>207292</v>
      </c>
      <c r="E11" s="1817">
        <f>'Acct Summary 7-8'!I81</f>
        <v>2311662</v>
      </c>
      <c r="F11" s="1818">
        <f>SUM(B11:E11)</f>
        <v>10048709</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ERROR!</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t="str">
        <f>COVER!A13</f>
        <v>54-092-0110-26</v>
      </c>
      <c r="E2" s="1542">
        <v>2020</v>
      </c>
      <c r="F2" s="1542">
        <v>1</v>
      </c>
      <c r="G2" s="1899">
        <v>101000300</v>
      </c>
    </row>
    <row r="3" spans="1:7" ht="15" x14ac:dyDescent="0.25">
      <c r="A3" t="s">
        <v>950</v>
      </c>
      <c r="B3" s="135" t="str">
        <f>COVER!A15</f>
        <v>VERMILION</v>
      </c>
      <c r="E3" s="1830" t="s">
        <v>1968</v>
      </c>
      <c r="F3" s="1830" t="s">
        <v>1967</v>
      </c>
      <c r="G3" s="1899">
        <v>101000400</v>
      </c>
    </row>
    <row r="4" spans="1:7" ht="15" x14ac:dyDescent="0.25">
      <c r="A4" t="s">
        <v>1000</v>
      </c>
      <c r="B4" s="135" t="str">
        <f>COVER!A17</f>
        <v>HOOPESTON AREA CUSD #11</v>
      </c>
      <c r="E4" s="1828">
        <v>44119</v>
      </c>
      <c r="F4" s="1829">
        <v>44151</v>
      </c>
      <c r="G4" s="1899">
        <v>101000600</v>
      </c>
    </row>
    <row r="5" spans="1:7" ht="15" x14ac:dyDescent="0.25">
      <c r="A5" t="s">
        <v>699</v>
      </c>
      <c r="B5" s="135" t="str">
        <f>COVER!A38</f>
        <v>Robert Richardson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603500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7208019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7196447</v>
      </c>
      <c r="D92" s="2" t="str">
        <f t="shared" si="0"/>
        <v>Error?</v>
      </c>
      <c r="G92" s="1899">
        <v>102640600</v>
      </c>
    </row>
    <row r="93" spans="1:7" ht="15" x14ac:dyDescent="0.25">
      <c r="A93" s="5">
        <v>32</v>
      </c>
      <c r="B93" s="1832">
        <f>'Assets-Liab 5-6'!C41</f>
        <v>7208019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321736</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321736</v>
      </c>
      <c r="D123" s="2" t="str">
        <f t="shared" si="0"/>
        <v>Error?</v>
      </c>
      <c r="G123" s="1899">
        <v>203000400</v>
      </c>
    </row>
    <row r="124" spans="1:7" ht="15" x14ac:dyDescent="0.25">
      <c r="A124" s="5">
        <v>63</v>
      </c>
      <c r="B124" s="1832">
        <f>'Assets-Liab 5-6'!D41</f>
        <v>321736</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10850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10850</v>
      </c>
      <c r="D140" s="2" t="str">
        <f t="shared" si="1"/>
        <v>Error?</v>
      </c>
    </row>
    <row r="141" spans="1:7" x14ac:dyDescent="0.2">
      <c r="A141" s="5">
        <v>80</v>
      </c>
      <c r="B141" s="1832">
        <f>'Assets-Liab 5-6'!E41</f>
        <v>10850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207292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207292</v>
      </c>
      <c r="D170" s="2" t="str">
        <f t="shared" si="1"/>
        <v>Error?</v>
      </c>
    </row>
    <row r="171" spans="1:4" x14ac:dyDescent="0.2">
      <c r="A171" s="5">
        <v>110</v>
      </c>
      <c r="B171" s="1832">
        <f>'Assets-Liab 5-6'!F41</f>
        <v>207292</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642972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642972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218431</v>
      </c>
      <c r="D273" s="2" t="str">
        <f t="shared" si="3"/>
        <v>Error?</v>
      </c>
    </row>
    <row r="274" spans="1:4" x14ac:dyDescent="0.2">
      <c r="A274" s="5">
        <v>213</v>
      </c>
      <c r="B274" s="1832">
        <f>'Assets-Liab 5-6'!M17</f>
        <v>6854157</v>
      </c>
      <c r="D274" s="2" t="str">
        <f t="shared" si="3"/>
        <v>Error?</v>
      </c>
    </row>
    <row r="275" spans="1:4" x14ac:dyDescent="0.2">
      <c r="A275" s="5">
        <v>214</v>
      </c>
      <c r="B275" s="1832">
        <f>'Assets-Liab 5-6'!M18</f>
        <v>3486594</v>
      </c>
      <c r="D275" s="2" t="str">
        <f t="shared" si="3"/>
        <v>Error?</v>
      </c>
    </row>
    <row r="276" spans="1:4" x14ac:dyDescent="0.2">
      <c r="A276" s="5">
        <v>215</v>
      </c>
      <c r="B276" s="1832">
        <f>'Assets-Liab 5-6'!M19</f>
        <v>6568925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17128107</v>
      </c>
      <c r="C279" s="2" t="s">
        <v>569</v>
      </c>
      <c r="D279" s="2" t="str">
        <f t="shared" si="3"/>
        <v>Error?</v>
      </c>
    </row>
    <row r="280" spans="1:4" x14ac:dyDescent="0.2">
      <c r="A280" s="5">
        <v>219</v>
      </c>
      <c r="B280" s="1832">
        <f>'Assets-Liab 5-6'!M40</f>
        <v>17128107</v>
      </c>
      <c r="D280" s="2" t="str">
        <f t="shared" si="3"/>
        <v>Error?</v>
      </c>
    </row>
    <row r="281" spans="1:4" x14ac:dyDescent="0.2">
      <c r="A281" s="5">
        <v>220</v>
      </c>
      <c r="B281" s="1832">
        <f>'Assets-Liab 5-6'!M41</f>
        <v>17128107</v>
      </c>
      <c r="C281" s="2" t="s">
        <v>569</v>
      </c>
      <c r="D281" s="2" t="str">
        <f t="shared" si="3"/>
        <v>Error?</v>
      </c>
    </row>
    <row r="282" spans="1:4" x14ac:dyDescent="0.2">
      <c r="A282" s="5">
        <v>221</v>
      </c>
      <c r="B282" s="1832">
        <f>'Assets-Liab 5-6'!N21</f>
        <v>10850</v>
      </c>
      <c r="D282" s="2" t="str">
        <f t="shared" si="3"/>
        <v>Error?</v>
      </c>
    </row>
    <row r="283" spans="1:4" x14ac:dyDescent="0.2">
      <c r="A283" s="5">
        <v>222</v>
      </c>
      <c r="B283" s="1832">
        <f>'Assets-Liab 5-6'!N22</f>
        <v>686211</v>
      </c>
      <c r="D283" s="2" t="str">
        <f t="shared" si="3"/>
        <v>Error?</v>
      </c>
    </row>
    <row r="284" spans="1:4" x14ac:dyDescent="0.2">
      <c r="A284" s="5">
        <v>223</v>
      </c>
      <c r="B284" s="1832">
        <f>'Assets-Liab 5-6'!N23</f>
        <v>697061</v>
      </c>
      <c r="C284" s="2" t="s">
        <v>569</v>
      </c>
      <c r="D284" s="2" t="str">
        <f t="shared" si="3"/>
        <v>Error?</v>
      </c>
    </row>
    <row r="285" spans="1:4" x14ac:dyDescent="0.2">
      <c r="A285" s="5">
        <v>224</v>
      </c>
      <c r="B285" s="1832">
        <f>'Assets-Liab 5-6'!N36</f>
        <v>697061</v>
      </c>
      <c r="D285" s="2" t="str">
        <f t="shared" si="3"/>
        <v>Error?</v>
      </c>
    </row>
    <row r="286" spans="1:4" x14ac:dyDescent="0.2">
      <c r="A286" s="10">
        <v>225</v>
      </c>
      <c r="B286" s="1832"/>
      <c r="D286" s="2" t="str">
        <f t="shared" si="3"/>
        <v>OK</v>
      </c>
    </row>
    <row r="287" spans="1:4" x14ac:dyDescent="0.2">
      <c r="A287" s="5">
        <v>226</v>
      </c>
      <c r="B287" s="1832">
        <f>'Assets-Liab 5-6'!N37</f>
        <v>697061</v>
      </c>
      <c r="C287" s="2" t="s">
        <v>569</v>
      </c>
      <c r="D287" s="2" t="str">
        <f t="shared" si="3"/>
        <v>Error?</v>
      </c>
    </row>
    <row r="288" spans="1:4" x14ac:dyDescent="0.2">
      <c r="A288" s="5">
        <v>227</v>
      </c>
      <c r="B288" s="1832">
        <f>'Assets-Liab 5-6'!N41</f>
        <v>697061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3416560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297438</v>
      </c>
      <c r="D717" s="2" t="str">
        <f t="shared" si="10"/>
        <v>Error?</v>
      </c>
    </row>
    <row r="718" spans="1:4" x14ac:dyDescent="0.2">
      <c r="A718" s="5">
        <v>657</v>
      </c>
      <c r="B718" s="1832">
        <f>'Expenditures 15-22'!C14</f>
        <v>246747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5676746</v>
      </c>
      <c r="C720" s="2" t="s">
        <v>569</v>
      </c>
      <c r="D720" s="2" t="str">
        <f t="shared" si="10"/>
        <v>Error?</v>
      </c>
    </row>
    <row r="721" spans="1:4" x14ac:dyDescent="0.2">
      <c r="A721" s="5">
        <v>660</v>
      </c>
      <c r="B721" s="1832">
        <f>'Expenditures 15-22'!C36</f>
        <v>119739</v>
      </c>
      <c r="D721" s="2" t="str">
        <f t="shared" si="10"/>
        <v>Error?</v>
      </c>
    </row>
    <row r="722" spans="1:4" x14ac:dyDescent="0.2">
      <c r="A722" s="5">
        <v>661</v>
      </c>
      <c r="B722" s="1832">
        <f>'Expenditures 15-22'!C37</f>
        <v>64466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79100</v>
      </c>
      <c r="D724" s="2" t="str">
        <f t="shared" si="10"/>
        <v>Error?</v>
      </c>
    </row>
    <row r="725" spans="1:4" x14ac:dyDescent="0.2">
      <c r="A725" s="5">
        <v>664</v>
      </c>
      <c r="B725" s="1832">
        <f>'Expenditures 15-22'!C40</f>
        <v>114997</v>
      </c>
      <c r="D725" s="2" t="str">
        <f t="shared" si="10"/>
        <v>Error?</v>
      </c>
    </row>
    <row r="726" spans="1:4" x14ac:dyDescent="0.2">
      <c r="A726" s="5">
        <v>665</v>
      </c>
      <c r="B726" s="1832">
        <f>'Expenditures 15-22'!C41</f>
        <v>196</v>
      </c>
      <c r="D726" s="2" t="str">
        <f t="shared" si="10"/>
        <v>Error?</v>
      </c>
    </row>
    <row r="727" spans="1:4" x14ac:dyDescent="0.2">
      <c r="A727" s="5">
        <v>666</v>
      </c>
      <c r="B727" s="1832">
        <f>'Expenditures 15-22'!C42</f>
        <v>378498</v>
      </c>
      <c r="C727" s="2" t="s">
        <v>569</v>
      </c>
      <c r="D727" s="2" t="str">
        <f t="shared" si="10"/>
        <v>Error?</v>
      </c>
    </row>
    <row r="728" spans="1:4" x14ac:dyDescent="0.2">
      <c r="A728" s="5">
        <v>667</v>
      </c>
      <c r="B728" s="1832">
        <f>'Expenditures 15-22'!C44</f>
        <v>73693</v>
      </c>
      <c r="D728" s="2" t="str">
        <f t="shared" si="10"/>
        <v>Error?</v>
      </c>
    </row>
    <row r="729" spans="1:4" x14ac:dyDescent="0.2">
      <c r="A729" s="5">
        <v>668</v>
      </c>
      <c r="B729" s="1832">
        <f>'Expenditures 15-22'!C45</f>
        <v>145807</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219500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189826</v>
      </c>
      <c r="D733" s="2" t="str">
        <f t="shared" si="10"/>
        <v>Error?</v>
      </c>
    </row>
    <row r="734" spans="1:4" x14ac:dyDescent="0.2">
      <c r="A734" s="5">
        <v>673</v>
      </c>
      <c r="B734" s="1832">
        <f>'Expenditures 15-22'!C53</f>
        <v>189826</v>
      </c>
      <c r="C734" s="2" t="s">
        <v>569</v>
      </c>
      <c r="D734" s="2" t="str">
        <f t="shared" si="10"/>
        <v>Error?</v>
      </c>
    </row>
    <row r="735" spans="1:4" x14ac:dyDescent="0.2">
      <c r="A735" s="5">
        <v>674</v>
      </c>
      <c r="B735" s="1832">
        <f>'Expenditures 15-22'!C55</f>
        <v>902765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902765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34073</v>
      </c>
      <c r="D739" s="2" t="str">
        <f t="shared" si="10"/>
        <v>Error?</v>
      </c>
    </row>
    <row r="740" spans="1:4" x14ac:dyDescent="0.2">
      <c r="A740" s="5">
        <v>679</v>
      </c>
      <c r="B740" s="1832">
        <f>'Expenditures 15-22'!C61</f>
        <v>270089</v>
      </c>
      <c r="D740" s="2" t="str">
        <f t="shared" si="10"/>
        <v>Error?</v>
      </c>
    </row>
    <row r="741" spans="1:4" x14ac:dyDescent="0.2">
      <c r="A741" s="5">
        <v>680</v>
      </c>
      <c r="B741" s="1832">
        <f>'Expenditures 15-22'!C62</f>
        <v>11869</v>
      </c>
      <c r="D741" s="2" t="str">
        <f t="shared" si="10"/>
        <v>Error?</v>
      </c>
    </row>
    <row r="742" spans="1:4" x14ac:dyDescent="0.2">
      <c r="A742" s="5">
        <v>681</v>
      </c>
      <c r="B742" s="1832">
        <f>'Expenditures 15-22'!C63</f>
        <v>166945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482976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2173565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7850311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569974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46503</v>
      </c>
      <c r="D775" s="2" t="str">
        <f t="shared" si="11"/>
        <v>Error?</v>
      </c>
    </row>
    <row r="776" spans="1:4" x14ac:dyDescent="0.2">
      <c r="A776" s="5">
        <v>715</v>
      </c>
      <c r="B776" s="1832">
        <f>'Expenditures 15-22'!D14</f>
        <v>26703</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975669</v>
      </c>
      <c r="C778" s="2" t="s">
        <v>569</v>
      </c>
      <c r="D778" s="2" t="str">
        <f t="shared" si="11"/>
        <v>Error?</v>
      </c>
    </row>
    <row r="779" spans="1:4" x14ac:dyDescent="0.2">
      <c r="A779" s="5">
        <v>718</v>
      </c>
      <c r="B779" s="1832">
        <f>'Expenditures 15-22'!D36</f>
        <v>12333</v>
      </c>
      <c r="D779" s="2" t="str">
        <f t="shared" si="11"/>
        <v>Error?</v>
      </c>
    </row>
    <row r="780" spans="1:4" x14ac:dyDescent="0.2">
      <c r="A780" s="5">
        <v>719</v>
      </c>
      <c r="B780" s="1832">
        <f>'Expenditures 15-22'!D37</f>
        <v>10402</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10803</v>
      </c>
      <c r="D782" s="2" t="str">
        <f t="shared" si="11"/>
        <v>Error?</v>
      </c>
    </row>
    <row r="783" spans="1:4" x14ac:dyDescent="0.2">
      <c r="A783" s="5">
        <v>722</v>
      </c>
      <c r="B783" s="1832">
        <f>'Expenditures 15-22'!D40</f>
        <v>18874</v>
      </c>
      <c r="D783" s="2" t="str">
        <f t="shared" si="11"/>
        <v>Error?</v>
      </c>
    </row>
    <row r="784" spans="1:4" x14ac:dyDescent="0.2">
      <c r="A784" s="5">
        <v>723</v>
      </c>
      <c r="B784" s="1832">
        <f>'Expenditures 15-22'!D41</f>
        <v>57</v>
      </c>
      <c r="D784" s="2" t="str">
        <f t="shared" si="11"/>
        <v>Error?</v>
      </c>
    </row>
    <row r="785" spans="1:4" x14ac:dyDescent="0.2">
      <c r="A785" s="5">
        <v>724</v>
      </c>
      <c r="B785" s="1832">
        <f>'Expenditures 15-22'!D42</f>
        <v>52469</v>
      </c>
      <c r="C785" s="2" t="s">
        <v>569</v>
      </c>
      <c r="D785" s="2" t="str">
        <f t="shared" si="11"/>
        <v>Error?</v>
      </c>
    </row>
    <row r="786" spans="1:4" x14ac:dyDescent="0.2">
      <c r="A786" s="5">
        <v>725</v>
      </c>
      <c r="B786" s="1832">
        <f>'Expenditures 15-22'!D44</f>
        <v>1428</v>
      </c>
      <c r="D786" s="2" t="str">
        <f t="shared" si="11"/>
        <v>Error?</v>
      </c>
    </row>
    <row r="787" spans="1:4" x14ac:dyDescent="0.2">
      <c r="A787" s="5">
        <v>726</v>
      </c>
      <c r="B787" s="1832">
        <f>'Expenditures 15-22'!D45</f>
        <v>25442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26870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25050</v>
      </c>
      <c r="D791" s="2" t="str">
        <f t="shared" si="11"/>
        <v>Error?</v>
      </c>
    </row>
    <row r="792" spans="1:4" x14ac:dyDescent="0.2">
      <c r="A792" s="5">
        <v>731</v>
      </c>
      <c r="B792" s="1832">
        <f>'Expenditures 15-22'!D53</f>
        <v>25050</v>
      </c>
      <c r="C792" s="2" t="s">
        <v>569</v>
      </c>
      <c r="D792" s="2" t="str">
        <f t="shared" si="11"/>
        <v>Error?</v>
      </c>
    </row>
    <row r="793" spans="1:4" x14ac:dyDescent="0.2">
      <c r="A793" s="5">
        <v>732</v>
      </c>
      <c r="B793" s="1832">
        <f>'Expenditures 15-22'!D55</f>
        <v>123661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123661</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5614</v>
      </c>
      <c r="D797" s="2" t="str">
        <f t="shared" si="11"/>
        <v>Error?</v>
      </c>
    </row>
    <row r="798" spans="1:4" x14ac:dyDescent="0.2">
      <c r="A798" s="5">
        <v>737</v>
      </c>
      <c r="B798" s="1832">
        <f>'Expenditures 15-22'!D61</f>
        <v>57339</v>
      </c>
      <c r="D798" s="2" t="str">
        <f t="shared" si="11"/>
        <v>Error?</v>
      </c>
    </row>
    <row r="799" spans="1:4" x14ac:dyDescent="0.2">
      <c r="A799" s="5">
        <v>738</v>
      </c>
      <c r="B799" s="1832">
        <f>'Expenditures 15-22'!D62</f>
        <v>3953</v>
      </c>
      <c r="D799" s="2" t="str">
        <f t="shared" si="11"/>
        <v>Error?</v>
      </c>
    </row>
    <row r="800" spans="1:4" x14ac:dyDescent="0.2">
      <c r="A800" s="5">
        <v>739</v>
      </c>
      <c r="B800" s="1832">
        <f>'Expenditures 15-22'!D63</f>
        <v>52765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119671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347721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1323390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32153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32231</v>
      </c>
      <c r="D833" s="2" t="str">
        <f t="shared" si="12"/>
        <v>Error?</v>
      </c>
    </row>
    <row r="834" spans="1:4" x14ac:dyDescent="0.2">
      <c r="A834" s="5">
        <v>773</v>
      </c>
      <c r="B834" s="1832">
        <f>'Expenditures 15-22'!E14</f>
        <v>32587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1187732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29660</v>
      </c>
      <c r="D841" s="2" t="str">
        <f t="shared" si="12"/>
        <v>Error?</v>
      </c>
    </row>
    <row r="842" spans="1:4" x14ac:dyDescent="0.2">
      <c r="A842" s="5">
        <v>781</v>
      </c>
      <c r="B842" s="1832">
        <f>'Expenditures 15-22'!E41</f>
        <v>29410</v>
      </c>
      <c r="D842" s="2" t="str">
        <f t="shared" si="12"/>
        <v>Error?</v>
      </c>
    </row>
    <row r="843" spans="1:4" x14ac:dyDescent="0.2">
      <c r="A843" s="5">
        <v>782</v>
      </c>
      <c r="B843" s="1832">
        <f>'Expenditures 15-22'!E42</f>
        <v>59070</v>
      </c>
      <c r="C843" s="2" t="s">
        <v>569</v>
      </c>
      <c r="D843" s="2" t="str">
        <f t="shared" si="12"/>
        <v>Error?</v>
      </c>
    </row>
    <row r="844" spans="1:4" x14ac:dyDescent="0.2">
      <c r="A844" s="5">
        <v>783</v>
      </c>
      <c r="B844" s="1832">
        <f>'Expenditures 15-22'!E44</f>
        <v>169519</v>
      </c>
      <c r="D844" s="2" t="str">
        <f t="shared" si="12"/>
        <v>Error?</v>
      </c>
    </row>
    <row r="845" spans="1:4" x14ac:dyDescent="0.2">
      <c r="A845" s="5">
        <v>784</v>
      </c>
      <c r="B845" s="1832">
        <f>'Expenditures 15-22'!E45</f>
        <v>4754</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174273</v>
      </c>
      <c r="C847" s="2" t="s">
        <v>569</v>
      </c>
      <c r="D847" s="2" t="str">
        <f t="shared" si="12"/>
        <v>Error?</v>
      </c>
    </row>
    <row r="848" spans="1:4" x14ac:dyDescent="0.2">
      <c r="A848" s="5">
        <v>787</v>
      </c>
      <c r="B848" s="1832">
        <f>'Expenditures 15-22'!E49</f>
        <v>41057</v>
      </c>
      <c r="D848" s="2" t="str">
        <f t="shared" si="12"/>
        <v>Error?</v>
      </c>
    </row>
    <row r="849" spans="1:4" x14ac:dyDescent="0.2">
      <c r="A849" s="5">
        <v>788</v>
      </c>
      <c r="B849" s="1832">
        <f>'Expenditures 15-22'!E50</f>
        <v>10328</v>
      </c>
      <c r="D849" s="2" t="str">
        <f t="shared" si="12"/>
        <v>Error?</v>
      </c>
    </row>
    <row r="850" spans="1:4" x14ac:dyDescent="0.2">
      <c r="A850" s="5">
        <v>789</v>
      </c>
      <c r="B850" s="1832">
        <f>'Expenditures 15-22'!E53</f>
        <v>51385</v>
      </c>
      <c r="C850" s="2" t="s">
        <v>569</v>
      </c>
      <c r="D850" s="2" t="str">
        <f t="shared" si="12"/>
        <v>Error?</v>
      </c>
    </row>
    <row r="851" spans="1:4" x14ac:dyDescent="0.2">
      <c r="A851" s="5">
        <v>790</v>
      </c>
      <c r="B851" s="1832">
        <f>'Expenditures 15-22'!E55</f>
        <v>183</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183</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9812</v>
      </c>
      <c r="D855" s="2" t="str">
        <f t="shared" si="12"/>
        <v>Error?</v>
      </c>
    </row>
    <row r="856" spans="1:4" x14ac:dyDescent="0.2">
      <c r="A856" s="5">
        <v>795</v>
      </c>
      <c r="B856" s="1832">
        <f>'Expenditures 15-22'!E61</f>
        <v>56362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30948</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97122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382033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2018246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100014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37398</v>
      </c>
      <c r="D891" s="2" t="str">
        <f t="shared" si="12"/>
        <v>Error?</v>
      </c>
    </row>
    <row r="892" spans="1:4" x14ac:dyDescent="0.2">
      <c r="A892" s="5">
        <v>831</v>
      </c>
      <c r="B892" s="1832">
        <f>'Expenditures 15-22'!F14</f>
        <v>59896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598295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1616</v>
      </c>
      <c r="D898" s="2" t="str">
        <f t="shared" si="13"/>
        <v>Error?</v>
      </c>
    </row>
    <row r="899" spans="1:4" x14ac:dyDescent="0.2">
      <c r="A899" s="5">
        <v>838</v>
      </c>
      <c r="B899" s="1832">
        <f>'Expenditures 15-22'!F40</f>
        <v>1381</v>
      </c>
      <c r="D899" s="2" t="str">
        <f t="shared" si="13"/>
        <v>Error?</v>
      </c>
    </row>
    <row r="900" spans="1:4" x14ac:dyDescent="0.2">
      <c r="A900" s="5">
        <v>839</v>
      </c>
      <c r="B900" s="1832">
        <f>'Expenditures 15-22'!F41</f>
        <v>30508</v>
      </c>
      <c r="D900" s="2" t="str">
        <f t="shared" si="13"/>
        <v>Error?</v>
      </c>
    </row>
    <row r="901" spans="1:4" x14ac:dyDescent="0.2">
      <c r="A901" s="5">
        <v>840</v>
      </c>
      <c r="B901" s="1832">
        <f>'Expenditures 15-22'!F42</f>
        <v>33505</v>
      </c>
      <c r="C901" s="2" t="s">
        <v>569</v>
      </c>
      <c r="D901" s="2" t="str">
        <f t="shared" si="13"/>
        <v>Error?</v>
      </c>
    </row>
    <row r="902" spans="1:4" x14ac:dyDescent="0.2">
      <c r="A902" s="5">
        <v>841</v>
      </c>
      <c r="B902" s="1832">
        <f>'Expenditures 15-22'!F44</f>
        <v>132087</v>
      </c>
      <c r="D902" s="2" t="str">
        <f t="shared" si="13"/>
        <v>Error?</v>
      </c>
    </row>
    <row r="903" spans="1:4" x14ac:dyDescent="0.2">
      <c r="A903" s="5">
        <v>842</v>
      </c>
      <c r="B903" s="1832">
        <f>'Expenditures 15-22'!F45</f>
        <v>23366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155453</v>
      </c>
      <c r="C905" s="2" t="s">
        <v>569</v>
      </c>
      <c r="D905" s="2" t="str">
        <f t="shared" si="13"/>
        <v>Error?</v>
      </c>
    </row>
    <row r="906" spans="1:4" x14ac:dyDescent="0.2">
      <c r="A906" s="5">
        <v>845</v>
      </c>
      <c r="B906" s="1832">
        <f>'Expenditures 15-22'!F49</f>
        <v>11263</v>
      </c>
      <c r="D906" s="2" t="str">
        <f t="shared" si="13"/>
        <v>Error?</v>
      </c>
    </row>
    <row r="907" spans="1:4" x14ac:dyDescent="0.2">
      <c r="A907" s="5">
        <v>846</v>
      </c>
      <c r="B907" s="1832">
        <f>'Expenditures 15-22'!F50</f>
        <v>474</v>
      </c>
      <c r="D907" s="2" t="str">
        <f t="shared" si="13"/>
        <v>Error?</v>
      </c>
    </row>
    <row r="908" spans="1:4" x14ac:dyDescent="0.2">
      <c r="A908" s="5">
        <v>847</v>
      </c>
      <c r="B908" s="1832">
        <f>'Expenditures 15-22'!F53</f>
        <v>11737</v>
      </c>
      <c r="C908" s="2" t="s">
        <v>569</v>
      </c>
      <c r="D908" s="2" t="str">
        <f t="shared" si="13"/>
        <v>Error?</v>
      </c>
    </row>
    <row r="909" spans="1:4" x14ac:dyDescent="0.2">
      <c r="A909" s="5">
        <v>848</v>
      </c>
      <c r="B909" s="1832">
        <f>'Expenditures 15-22'!F55</f>
        <v>4101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4101</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2651</v>
      </c>
      <c r="D913" s="2" t="str">
        <f t="shared" si="13"/>
        <v>Error?</v>
      </c>
    </row>
    <row r="914" spans="1:4" x14ac:dyDescent="0.2">
      <c r="A914" s="5">
        <v>853</v>
      </c>
      <c r="B914" s="1832">
        <f>'Expenditures 15-22'!F61</f>
        <v>209896</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220777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433324</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638120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1236415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12093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2685</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27903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169655</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169655</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654616</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654616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824271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852174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6724</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7279</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14003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1047</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1047</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3522</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3522</v>
      </c>
      <c r="C1021" s="2" t="s">
        <v>569</v>
      </c>
      <c r="D1021" s="2" t="str">
        <f t="shared" si="14"/>
        <v>Error?</v>
      </c>
    </row>
    <row r="1022" spans="1:4" x14ac:dyDescent="0.2">
      <c r="A1022" s="5">
        <v>961</v>
      </c>
      <c r="B1022" s="1832">
        <f>'Expenditures 15-22'!H49</f>
        <v>12269</v>
      </c>
      <c r="D1022" s="2" t="str">
        <f t="shared" si="14"/>
        <v>Error?</v>
      </c>
    </row>
    <row r="1023" spans="1:4" x14ac:dyDescent="0.2">
      <c r="A1023" s="5">
        <v>962</v>
      </c>
      <c r="B1023" s="1832">
        <f>'Expenditures 15-22'!H50</f>
        <v>2006</v>
      </c>
      <c r="D1023" s="2" t="str">
        <f t="shared" ref="D1023:D1086" si="15">IF(ISBLANK(B1023),"OK",IF(A1023-B1023=0,"OK","Error?"))</f>
        <v>Error?</v>
      </c>
    </row>
    <row r="1024" spans="1:4" x14ac:dyDescent="0.2">
      <c r="A1024" s="5">
        <v>963</v>
      </c>
      <c r="B1024" s="1832">
        <f>'Expenditures 15-22'!H53</f>
        <v>14275</v>
      </c>
      <c r="C1024" s="2" t="s">
        <v>569</v>
      </c>
      <c r="D1024" s="2" t="str">
        <f t="shared" si="15"/>
        <v>Error?</v>
      </c>
    </row>
    <row r="1025" spans="1:4" x14ac:dyDescent="0.2">
      <c r="A1025" s="5">
        <v>964</v>
      </c>
      <c r="B1025" s="1832">
        <f>'Expenditures 15-22'!H55</f>
        <v>1098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1098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193713</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2228</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195941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215883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229886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4137518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413570</v>
      </c>
      <c r="C1105" s="2" t="s">
        <v>569</v>
      </c>
      <c r="D1105" s="2" t="str">
        <f t="shared" si="16"/>
        <v>Error?</v>
      </c>
    </row>
    <row r="1106" spans="1:4" x14ac:dyDescent="0.2">
      <c r="A1106" s="5">
        <v>1045</v>
      </c>
      <c r="B1106" s="1832">
        <f>'Expenditures 15-22'!K14</f>
        <v>375897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8480348</v>
      </c>
      <c r="C1108" s="2" t="s">
        <v>569</v>
      </c>
      <c r="D1108" s="2" t="str">
        <f t="shared" si="16"/>
        <v>Error?</v>
      </c>
    </row>
    <row r="1109" spans="1:4" x14ac:dyDescent="0.2">
      <c r="A1109" s="5">
        <v>1048</v>
      </c>
      <c r="B1109" s="1832">
        <f>'Expenditures 15-22'!K36</f>
        <v>132072</v>
      </c>
      <c r="C1109" s="2" t="s">
        <v>569</v>
      </c>
      <c r="D1109" s="2" t="str">
        <f t="shared" si="16"/>
        <v>Error?</v>
      </c>
    </row>
    <row r="1110" spans="1:4" x14ac:dyDescent="0.2">
      <c r="A1110" s="5">
        <v>1049</v>
      </c>
      <c r="B1110" s="1832">
        <f>'Expenditures 15-22'!K37</f>
        <v>74868</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91519</v>
      </c>
      <c r="C1112" s="2" t="s">
        <v>569</v>
      </c>
      <c r="D1112" s="2" t="str">
        <f t="shared" si="16"/>
        <v>Error?</v>
      </c>
    </row>
    <row r="1113" spans="1:4" x14ac:dyDescent="0.2">
      <c r="A1113" s="5">
        <v>1052</v>
      </c>
      <c r="B1113" s="1832">
        <f>'Expenditures 15-22'!K40</f>
        <v>165959</v>
      </c>
      <c r="C1113" s="2" t="s">
        <v>569</v>
      </c>
      <c r="D1113" s="2" t="str">
        <f t="shared" si="16"/>
        <v>Error?</v>
      </c>
    </row>
    <row r="1114" spans="1:4" x14ac:dyDescent="0.2">
      <c r="A1114" s="5">
        <v>1053</v>
      </c>
      <c r="B1114" s="1832">
        <f>'Expenditures 15-22'!K41</f>
        <v>60171</v>
      </c>
      <c r="C1114" s="2" t="s">
        <v>569</v>
      </c>
      <c r="D1114" s="2" t="str">
        <f t="shared" si="16"/>
        <v>Error?</v>
      </c>
    </row>
    <row r="1115" spans="1:4" x14ac:dyDescent="0.2">
      <c r="A1115" s="5">
        <v>1054</v>
      </c>
      <c r="B1115" s="1832">
        <f>'Expenditures 15-22'!K42</f>
        <v>524589</v>
      </c>
      <c r="C1115" s="2" t="s">
        <v>569</v>
      </c>
      <c r="D1115" s="2" t="str">
        <f t="shared" si="16"/>
        <v>Error?</v>
      </c>
    </row>
    <row r="1116" spans="1:4" x14ac:dyDescent="0.2">
      <c r="A1116" s="5">
        <v>1055</v>
      </c>
      <c r="B1116" s="1832">
        <f>'Expenditures 15-22'!K44</f>
        <v>546382</v>
      </c>
      <c r="C1116" s="2" t="s">
        <v>569</v>
      </c>
      <c r="D1116" s="2" t="str">
        <f t="shared" si="16"/>
        <v>Error?</v>
      </c>
    </row>
    <row r="1117" spans="1:4" x14ac:dyDescent="0.2">
      <c r="A1117" s="5">
        <v>1056</v>
      </c>
      <c r="B1117" s="1832">
        <f>'Expenditures 15-22'!K45</f>
        <v>202891</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749273</v>
      </c>
      <c r="C1119" s="2" t="s">
        <v>569</v>
      </c>
      <c r="D1119" s="2" t="str">
        <f t="shared" si="16"/>
        <v>Error?</v>
      </c>
    </row>
    <row r="1120" spans="1:4" x14ac:dyDescent="0.2">
      <c r="A1120" s="5">
        <v>1059</v>
      </c>
      <c r="B1120" s="1832">
        <f>'Expenditures 15-22'!K49</f>
        <v>64589</v>
      </c>
      <c r="C1120" s="2" t="s">
        <v>569</v>
      </c>
      <c r="D1120" s="2" t="str">
        <f t="shared" si="16"/>
        <v>Error?</v>
      </c>
    </row>
    <row r="1121" spans="1:4" x14ac:dyDescent="0.2">
      <c r="A1121" s="5">
        <v>1060</v>
      </c>
      <c r="B1121" s="1832">
        <f>'Expenditures 15-22'!K50</f>
        <v>227684</v>
      </c>
      <c r="C1121" s="2" t="s">
        <v>569</v>
      </c>
      <c r="D1121" s="2" t="str">
        <f t="shared" si="16"/>
        <v>Error?</v>
      </c>
    </row>
    <row r="1122" spans="1:4" x14ac:dyDescent="0.2">
      <c r="A1122" s="5">
        <v>1061</v>
      </c>
      <c r="B1122" s="1832">
        <f>'Expenditures 15-22'!K53</f>
        <v>292273</v>
      </c>
      <c r="C1122" s="2" t="s">
        <v>569</v>
      </c>
      <c r="D1122" s="2" t="str">
        <f t="shared" si="16"/>
        <v>Error?</v>
      </c>
    </row>
    <row r="1123" spans="1:4" x14ac:dyDescent="0.2">
      <c r="A1123" s="5">
        <v>1062</v>
      </c>
      <c r="B1123" s="1832">
        <f>'Expenditures 15-22'!K55</f>
        <v>1031808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1031808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245863</v>
      </c>
      <c r="C1127" s="2" t="s">
        <v>569</v>
      </c>
      <c r="D1127" s="2" t="str">
        <f t="shared" si="16"/>
        <v>Error?</v>
      </c>
    </row>
    <row r="1128" spans="1:4" x14ac:dyDescent="0.2">
      <c r="A1128" s="5">
        <v>1067</v>
      </c>
      <c r="B1128" s="1832">
        <f>'Expenditures 15-22'!K61</f>
        <v>1248302</v>
      </c>
      <c r="C1128" s="2" t="s">
        <v>569</v>
      </c>
      <c r="D1128" s="2" t="str">
        <f t="shared" si="16"/>
        <v>Error?</v>
      </c>
    </row>
    <row r="1129" spans="1:4" x14ac:dyDescent="0.2">
      <c r="A1129" s="5">
        <v>1068</v>
      </c>
      <c r="B1129" s="1832">
        <f>'Expenditures 15-22'!K62</f>
        <v>15822</v>
      </c>
      <c r="C1129" s="2" t="s">
        <v>569</v>
      </c>
      <c r="D1129" s="2" t="str">
        <f t="shared" si="16"/>
        <v>Error?</v>
      </c>
    </row>
    <row r="1130" spans="1:4" x14ac:dyDescent="0.2">
      <c r="A1130" s="5">
        <v>1069</v>
      </c>
      <c r="B1130" s="1832">
        <f>'Expenditures 15-22'!K63</f>
        <v>473663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1983650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4581593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448481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13510422</v>
      </c>
      <c r="C1152" s="2" t="s">
        <v>569</v>
      </c>
      <c r="D1152" s="2" t="str">
        <f t="shared" si="17"/>
        <v>Error?</v>
      </c>
    </row>
    <row r="1153" spans="1:4" x14ac:dyDescent="0.2">
      <c r="A1153" s="5">
        <v>1092</v>
      </c>
      <c r="B1153" s="1832">
        <f>'Expenditures 15-22'!K115</f>
        <v>210939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259295</v>
      </c>
      <c r="D1237" s="2" t="str">
        <f t="shared" si="18"/>
        <v>Error?</v>
      </c>
    </row>
    <row r="1238" spans="1:4" x14ac:dyDescent="0.2">
      <c r="A1238" s="10">
        <v>1177</v>
      </c>
      <c r="B1238" s="1832"/>
      <c r="D1238" s="2" t="str">
        <f t="shared" si="18"/>
        <v>OK</v>
      </c>
    </row>
    <row r="1239" spans="1:4" x14ac:dyDescent="0.2">
      <c r="A1239" s="5">
        <v>1178</v>
      </c>
      <c r="B1239" s="1832">
        <f>'Expenditures 15-22'!E127</f>
        <v>259295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259295</v>
      </c>
      <c r="C1241" s="2" t="s">
        <v>569</v>
      </c>
      <c r="D1241" s="2" t="str">
        <f t="shared" si="18"/>
        <v>Error?</v>
      </c>
    </row>
    <row r="1242" spans="1:4" x14ac:dyDescent="0.2">
      <c r="A1242" s="5">
        <v>1181</v>
      </c>
      <c r="B1242" s="1832">
        <f>'Expenditures 15-22'!E151</f>
        <v>259295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75908</v>
      </c>
      <c r="D1245" s="2" t="str">
        <f t="shared" si="18"/>
        <v>Error?</v>
      </c>
    </row>
    <row r="1246" spans="1:4" x14ac:dyDescent="0.2">
      <c r="A1246" s="10">
        <v>1185</v>
      </c>
      <c r="B1246" s="1832"/>
      <c r="D1246" s="2" t="str">
        <f t="shared" si="18"/>
        <v>OK</v>
      </c>
    </row>
    <row r="1247" spans="1:4" x14ac:dyDescent="0.2">
      <c r="A1247" s="5">
        <v>1186</v>
      </c>
      <c r="B1247" s="1832">
        <f>'Expenditures 15-22'!F127</f>
        <v>75908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75908</v>
      </c>
      <c r="C1249" s="2" t="s">
        <v>569</v>
      </c>
      <c r="D1249" s="2" t="str">
        <f t="shared" si="18"/>
        <v>Error?</v>
      </c>
    </row>
    <row r="1250" spans="1:4" x14ac:dyDescent="0.2">
      <c r="A1250" s="5">
        <v>1189</v>
      </c>
      <c r="B1250" s="1832">
        <f>'Expenditures 15-22'!F151</f>
        <v>75908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26651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26651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26651</v>
      </c>
      <c r="C1258" s="2" t="s">
        <v>569</v>
      </c>
      <c r="D1258" s="2" t="str">
        <f t="shared" si="18"/>
        <v>Error?</v>
      </c>
    </row>
    <row r="1259" spans="1:4" x14ac:dyDescent="0.2">
      <c r="A1259" s="5">
        <v>1198</v>
      </c>
      <c r="B1259" s="1832">
        <f>'Expenditures 15-22'!G151</f>
        <v>26651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361854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361854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361854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361854</v>
      </c>
      <c r="C1288" s="2" t="s">
        <v>569</v>
      </c>
      <c r="D1288" s="2" t="str">
        <f t="shared" si="19"/>
        <v>Error?</v>
      </c>
    </row>
    <row r="1289" spans="1:4" x14ac:dyDescent="0.2">
      <c r="A1289" s="5">
        <v>1228</v>
      </c>
      <c r="B1289" s="1832">
        <f>'Expenditures 15-22'!K152</f>
        <v>63733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17806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296500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314306</v>
      </c>
      <c r="C1317" s="2" t="s">
        <v>569</v>
      </c>
      <c r="D1317" s="2" t="str">
        <f t="shared" si="19"/>
        <v>Error?</v>
      </c>
    </row>
    <row r="1318" spans="1:4" x14ac:dyDescent="0.2">
      <c r="A1318" s="5">
        <v>1257</v>
      </c>
      <c r="B1318" s="1832">
        <f>'Expenditures 15-22'!H174</f>
        <v>314306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17806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296500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314306</v>
      </c>
      <c r="C1331" s="2" t="s">
        <v>569</v>
      </c>
      <c r="D1331" s="2" t="str">
        <f t="shared" si="19"/>
        <v>Error?</v>
      </c>
    </row>
    <row r="1332" spans="1:4" x14ac:dyDescent="0.2">
      <c r="A1332" s="5">
        <v>1271</v>
      </c>
      <c r="B1332" s="1832">
        <f>'Expenditures 15-22'!K174</f>
        <v>314306</v>
      </c>
      <c r="C1332" s="2" t="s">
        <v>569</v>
      </c>
      <c r="D1332" s="2" t="str">
        <f t="shared" si="19"/>
        <v>Error?</v>
      </c>
    </row>
    <row r="1333" spans="1:4" x14ac:dyDescent="0.2">
      <c r="A1333" s="5">
        <v>1272</v>
      </c>
      <c r="B1333" s="1832">
        <f>'Expenditures 15-22'!K175</f>
        <v>383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269669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269669</v>
      </c>
      <c r="C1339" s="2" t="s">
        <v>569</v>
      </c>
      <c r="D1339" s="2" t="str">
        <f t="shared" si="19"/>
        <v>Error?</v>
      </c>
    </row>
    <row r="1340" spans="1:4" x14ac:dyDescent="0.2">
      <c r="A1340" s="5">
        <v>1279</v>
      </c>
      <c r="B1340" s="1832">
        <f>'Expenditures 15-22'!C210</f>
        <v>269669</v>
      </c>
      <c r="C1340" s="2" t="s">
        <v>569</v>
      </c>
      <c r="D1340" s="2" t="str">
        <f t="shared" si="19"/>
        <v>Error?</v>
      </c>
    </row>
    <row r="1341" spans="1:4" x14ac:dyDescent="0.2">
      <c r="A1341" s="5">
        <v>1280</v>
      </c>
      <c r="B1341" s="1832">
        <f>'Expenditures 15-22'!D182</f>
        <v>126833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126833</v>
      </c>
      <c r="C1345" s="2" t="s">
        <v>569</v>
      </c>
      <c r="D1345" s="2" t="str">
        <f t="shared" si="20"/>
        <v>Error?</v>
      </c>
    </row>
    <row r="1346" spans="1:4" x14ac:dyDescent="0.2">
      <c r="A1346" s="5">
        <v>1285</v>
      </c>
      <c r="B1346" s="1832">
        <f>'Expenditures 15-22'!D210</f>
        <v>126833</v>
      </c>
      <c r="C1346" s="2" t="s">
        <v>569</v>
      </c>
      <c r="D1346" s="2" t="str">
        <f t="shared" si="20"/>
        <v>Error?</v>
      </c>
    </row>
    <row r="1347" spans="1:4" x14ac:dyDescent="0.2">
      <c r="A1347" s="5">
        <v>1286</v>
      </c>
      <c r="B1347" s="1832">
        <f>'Expenditures 15-22'!E182</f>
        <v>27262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27262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27262</v>
      </c>
      <c r="C1353" s="2" t="s">
        <v>569</v>
      </c>
      <c r="D1353" s="2" t="str">
        <f t="shared" si="20"/>
        <v>Error?</v>
      </c>
    </row>
    <row r="1354" spans="1:4" x14ac:dyDescent="0.2">
      <c r="A1354" s="5">
        <v>1293</v>
      </c>
      <c r="B1354" s="1832">
        <f>'Expenditures 15-22'!F182</f>
        <v>73160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73160</v>
      </c>
      <c r="C1358" s="2" t="s">
        <v>569</v>
      </c>
      <c r="D1358" s="2" t="str">
        <f t="shared" si="20"/>
        <v>Error?</v>
      </c>
    </row>
    <row r="1359" spans="1:4" x14ac:dyDescent="0.2">
      <c r="A1359" s="5">
        <v>1298</v>
      </c>
      <c r="B1359" s="1832">
        <f>'Expenditures 15-22'!F210</f>
        <v>73160</v>
      </c>
      <c r="C1359" s="2" t="s">
        <v>569</v>
      </c>
      <c r="D1359" s="2" t="str">
        <f t="shared" si="20"/>
        <v>Error?</v>
      </c>
    </row>
    <row r="1360" spans="1:4" x14ac:dyDescent="0.2">
      <c r="A1360" s="5">
        <v>1299</v>
      </c>
      <c r="B1360" s="1832">
        <f>'Expenditures 15-22'!G182</f>
        <v>37050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37050</v>
      </c>
      <c r="C1364" s="2" t="s">
        <v>569</v>
      </c>
      <c r="D1364" s="2" t="str">
        <f t="shared" si="20"/>
        <v>Error?</v>
      </c>
    </row>
    <row r="1365" spans="1:4" x14ac:dyDescent="0.2">
      <c r="A1365" s="5">
        <v>1304</v>
      </c>
      <c r="B1365" s="1832">
        <f>'Expenditures 15-22'!G210</f>
        <v>37050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43922</v>
      </c>
      <c r="C1375" s="2" t="s">
        <v>569</v>
      </c>
      <c r="D1375" s="2" t="str">
        <f t="shared" si="20"/>
        <v>Error?</v>
      </c>
    </row>
    <row r="1376" spans="1:4" x14ac:dyDescent="0.2">
      <c r="A1376" s="5">
        <v>1315</v>
      </c>
      <c r="B1376" s="1832">
        <f>'Expenditures 15-22'!H210</f>
        <v>43922</v>
      </c>
      <c r="C1376" s="2" t="s">
        <v>569</v>
      </c>
      <c r="D1376" s="2" t="str">
        <f t="shared" si="20"/>
        <v>Error?</v>
      </c>
    </row>
    <row r="1377" spans="1:4" x14ac:dyDescent="0.2">
      <c r="A1377" s="5">
        <v>1316</v>
      </c>
      <c r="B1377" s="1832">
        <f>'Expenditures 15-22'!K182</f>
        <v>533974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533974</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43922</v>
      </c>
      <c r="C1387" s="2" t="s">
        <v>569</v>
      </c>
      <c r="D1387" s="2" t="str">
        <f t="shared" si="20"/>
        <v>Error?</v>
      </c>
    </row>
    <row r="1388" spans="1:4" x14ac:dyDescent="0.2">
      <c r="A1388" s="5">
        <v>1327</v>
      </c>
      <c r="B1388" s="1832">
        <f>'Expenditures 15-22'!K210</f>
        <v>577896</v>
      </c>
      <c r="C1388" s="2" t="s">
        <v>569</v>
      </c>
      <c r="D1388" s="2" t="str">
        <f t="shared" si="20"/>
        <v>Error?</v>
      </c>
    </row>
    <row r="1389" spans="1:4" x14ac:dyDescent="0.2">
      <c r="A1389" s="5">
        <v>1328</v>
      </c>
      <c r="B1389" s="1832">
        <f>'Expenditures 15-22'!K211</f>
        <v>119719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4194</v>
      </c>
      <c r="D1407" s="2" t="str">
        <f t="shared" ref="D1407:D1470" si="21">IF(ISBLANK(B1407),"OK",IF(A1407-B1407=0,"OK","Error?"))</f>
        <v>Error?</v>
      </c>
    </row>
    <row r="1408" spans="1:4" x14ac:dyDescent="0.2">
      <c r="A1408" s="5">
        <v>1347</v>
      </c>
      <c r="B1408" s="1832">
        <f>'Expenditures 15-22'!D223</f>
        <v>11793</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200925</v>
      </c>
      <c r="C1410" s="2" t="s">
        <v>569</v>
      </c>
      <c r="D1410" s="2" t="str">
        <f t="shared" si="21"/>
        <v>Error?</v>
      </c>
    </row>
    <row r="1411" spans="1:4" x14ac:dyDescent="0.2">
      <c r="A1411" s="5">
        <v>1350</v>
      </c>
      <c r="B1411" s="1832">
        <f>'Expenditures 15-22'!D232</f>
        <v>1685</v>
      </c>
      <c r="D1411" s="2" t="str">
        <f t="shared" si="21"/>
        <v>Error?</v>
      </c>
    </row>
    <row r="1412" spans="1:4" x14ac:dyDescent="0.2">
      <c r="A1412" s="5">
        <v>1351</v>
      </c>
      <c r="B1412" s="1832">
        <f>'Expenditures 15-22'!D233</f>
        <v>761</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1051</v>
      </c>
      <c r="D1414" s="2" t="str">
        <f t="shared" si="21"/>
        <v>Error?</v>
      </c>
    </row>
    <row r="1415" spans="1:4" x14ac:dyDescent="0.2">
      <c r="A1415" s="5">
        <v>1354</v>
      </c>
      <c r="B1415" s="1832">
        <f>'Expenditures 15-22'!D236</f>
        <v>1784</v>
      </c>
      <c r="D1415" s="2" t="str">
        <f t="shared" si="21"/>
        <v>Error?</v>
      </c>
    </row>
    <row r="1416" spans="1:4" x14ac:dyDescent="0.2">
      <c r="A1416" s="5">
        <v>1355</v>
      </c>
      <c r="B1416" s="1832">
        <f>'Expenditures 15-22'!D237</f>
        <v>3</v>
      </c>
      <c r="D1416" s="2" t="str">
        <f t="shared" si="21"/>
        <v>Error?</v>
      </c>
    </row>
    <row r="1417" spans="1:4" x14ac:dyDescent="0.2">
      <c r="A1417" s="5">
        <v>1356</v>
      </c>
      <c r="B1417" s="1832">
        <f>'Expenditures 15-22'!D238</f>
        <v>5284</v>
      </c>
      <c r="C1417" s="2" t="s">
        <v>569</v>
      </c>
      <c r="D1417" s="2" t="str">
        <f t="shared" si="21"/>
        <v>Error?</v>
      </c>
    </row>
    <row r="1418" spans="1:4" x14ac:dyDescent="0.2">
      <c r="A1418" s="5">
        <v>1357</v>
      </c>
      <c r="B1418" s="1832">
        <f>'Expenditures 15-22'!D240</f>
        <v>15830</v>
      </c>
      <c r="D1418" s="2" t="str">
        <f t="shared" si="21"/>
        <v>Error?</v>
      </c>
    </row>
    <row r="1419" spans="1:4" x14ac:dyDescent="0.2">
      <c r="A1419" s="5">
        <v>1358</v>
      </c>
      <c r="B1419" s="1832">
        <f>'Expenditures 15-22'!D241</f>
        <v>16083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31913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8556</v>
      </c>
      <c r="D1423" s="2" t="str">
        <f t="shared" si="21"/>
        <v>Error?</v>
      </c>
    </row>
    <row r="1424" spans="1:4" x14ac:dyDescent="0.2">
      <c r="A1424" s="5">
        <v>1363</v>
      </c>
      <c r="B1424" s="1832">
        <f>'Expenditures 15-22'!D257</f>
        <v>8556</v>
      </c>
      <c r="C1424" s="2" t="s">
        <v>569</v>
      </c>
      <c r="D1424" s="2" t="str">
        <f t="shared" si="21"/>
        <v>Error?</v>
      </c>
    </row>
    <row r="1425" spans="1:4" x14ac:dyDescent="0.2">
      <c r="A1425" s="5">
        <v>1364</v>
      </c>
      <c r="B1425" s="1832">
        <f>'Expenditures 15-22'!D259</f>
        <v>35576</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35576</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7042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48743</v>
      </c>
      <c r="D1431" s="2" t="str">
        <f t="shared" si="21"/>
        <v>Error?</v>
      </c>
    </row>
    <row r="1432" spans="1:4" x14ac:dyDescent="0.2">
      <c r="A1432" s="5">
        <v>1371</v>
      </c>
      <c r="B1432" s="1832">
        <f>'Expenditures 15-22'!D267</f>
        <v>58754</v>
      </c>
      <c r="D1432" s="2" t="str">
        <f t="shared" si="21"/>
        <v>Error?</v>
      </c>
    </row>
    <row r="1433" spans="1:4" x14ac:dyDescent="0.2">
      <c r="A1433" s="5">
        <v>1372</v>
      </c>
      <c r="B1433" s="1832">
        <f>'Expenditures 15-22'!D268</f>
        <v>33110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147649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228978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429903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4194</v>
      </c>
      <c r="C1471" s="2" t="s">
        <v>569</v>
      </c>
      <c r="D1471" s="2" t="str">
        <f t="shared" ref="D1471:D1534" si="22">IF(ISBLANK(B1471),"OK",IF(A1471-B1471=0,"OK","Error?"))</f>
        <v>Error?</v>
      </c>
    </row>
    <row r="1472" spans="1:4" x14ac:dyDescent="0.2">
      <c r="A1472" s="5">
        <v>1411</v>
      </c>
      <c r="B1472" s="1832">
        <f>'Expenditures 15-22'!K223</f>
        <v>11793</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200925</v>
      </c>
      <c r="C1474" s="2" t="s">
        <v>569</v>
      </c>
      <c r="D1474" s="2" t="str">
        <f t="shared" si="22"/>
        <v>Error?</v>
      </c>
    </row>
    <row r="1475" spans="1:4" x14ac:dyDescent="0.2">
      <c r="A1475" s="5">
        <v>1414</v>
      </c>
      <c r="B1475" s="1832">
        <f>'Expenditures 15-22'!K232</f>
        <v>1685</v>
      </c>
      <c r="C1475" s="2" t="s">
        <v>569</v>
      </c>
      <c r="D1475" s="2" t="str">
        <f t="shared" si="22"/>
        <v>Error?</v>
      </c>
    </row>
    <row r="1476" spans="1:4" x14ac:dyDescent="0.2">
      <c r="A1476" s="5">
        <v>1415</v>
      </c>
      <c r="B1476" s="1832">
        <f>'Expenditures 15-22'!K233</f>
        <v>761</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1051</v>
      </c>
      <c r="C1478" s="2" t="s">
        <v>569</v>
      </c>
      <c r="D1478" s="2" t="str">
        <f t="shared" si="22"/>
        <v>Error?</v>
      </c>
    </row>
    <row r="1479" spans="1:4" x14ac:dyDescent="0.2">
      <c r="A1479" s="5">
        <v>1418</v>
      </c>
      <c r="B1479" s="1832">
        <f>'Expenditures 15-22'!K236</f>
        <v>1784</v>
      </c>
      <c r="C1479" s="2" t="s">
        <v>569</v>
      </c>
      <c r="D1479" s="2" t="str">
        <f t="shared" si="22"/>
        <v>Error?</v>
      </c>
    </row>
    <row r="1480" spans="1:4" x14ac:dyDescent="0.2">
      <c r="A1480" s="5">
        <v>1419</v>
      </c>
      <c r="B1480" s="1832">
        <f>'Expenditures 15-22'!K237</f>
        <v>3</v>
      </c>
      <c r="C1480" s="2" t="s">
        <v>569</v>
      </c>
      <c r="D1480" s="2" t="str">
        <f t="shared" si="22"/>
        <v>Error?</v>
      </c>
    </row>
    <row r="1481" spans="1:4" x14ac:dyDescent="0.2">
      <c r="A1481" s="5">
        <v>1420</v>
      </c>
      <c r="B1481" s="1832">
        <f>'Expenditures 15-22'!K238</f>
        <v>5284</v>
      </c>
      <c r="C1481" s="2" t="s">
        <v>569</v>
      </c>
      <c r="D1481" s="2" t="str">
        <f t="shared" si="22"/>
        <v>Error?</v>
      </c>
    </row>
    <row r="1482" spans="1:4" x14ac:dyDescent="0.2">
      <c r="A1482" s="5">
        <v>1421</v>
      </c>
      <c r="B1482" s="1832">
        <f>'Expenditures 15-22'!K240</f>
        <v>15830</v>
      </c>
      <c r="C1482" s="2" t="s">
        <v>569</v>
      </c>
      <c r="D1482" s="2" t="str">
        <f t="shared" si="22"/>
        <v>Error?</v>
      </c>
    </row>
    <row r="1483" spans="1:4" x14ac:dyDescent="0.2">
      <c r="A1483" s="5">
        <v>1422</v>
      </c>
      <c r="B1483" s="1832">
        <f>'Expenditures 15-22'!K241</f>
        <v>16083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31913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8556</v>
      </c>
      <c r="C1487" s="2" t="s">
        <v>569</v>
      </c>
      <c r="D1487" s="2" t="str">
        <f t="shared" si="22"/>
        <v>Error?</v>
      </c>
    </row>
    <row r="1488" spans="1:4" x14ac:dyDescent="0.2">
      <c r="A1488" s="5">
        <v>1427</v>
      </c>
      <c r="B1488" s="1832">
        <f>'Expenditures 15-22'!K257</f>
        <v>8556</v>
      </c>
      <c r="C1488" s="2" t="s">
        <v>569</v>
      </c>
      <c r="D1488" s="2" t="str">
        <f t="shared" si="22"/>
        <v>Error?</v>
      </c>
    </row>
    <row r="1489" spans="1:4" x14ac:dyDescent="0.2">
      <c r="A1489" s="5">
        <v>1428</v>
      </c>
      <c r="B1489" s="1832">
        <f>'Expenditures 15-22'!K259</f>
        <v>35576</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35576</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7042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48743</v>
      </c>
      <c r="C1495" s="2" t="s">
        <v>569</v>
      </c>
      <c r="D1495" s="2" t="str">
        <f t="shared" si="22"/>
        <v>Error?</v>
      </c>
    </row>
    <row r="1496" spans="1:4" x14ac:dyDescent="0.2">
      <c r="A1496" s="5">
        <v>1435</v>
      </c>
      <c r="B1496" s="1832">
        <f>'Expenditures 15-22'!K267</f>
        <v>58754</v>
      </c>
      <c r="C1496" s="2" t="s">
        <v>569</v>
      </c>
      <c r="D1496" s="2" t="str">
        <f t="shared" si="22"/>
        <v>Error?</v>
      </c>
    </row>
    <row r="1497" spans="1:4" x14ac:dyDescent="0.2">
      <c r="A1497" s="5">
        <v>1436</v>
      </c>
      <c r="B1497" s="1832">
        <f>'Expenditures 15-22'!K268</f>
        <v>33110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147649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228978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429903</v>
      </c>
      <c r="C1517" s="2" t="s">
        <v>569</v>
      </c>
      <c r="D1517" s="2" t="str">
        <f t="shared" si="22"/>
        <v>Error?</v>
      </c>
    </row>
    <row r="1518" spans="1:4" x14ac:dyDescent="0.2">
      <c r="A1518" s="5">
        <v>1457</v>
      </c>
      <c r="B1518" s="1832">
        <f>'Expenditures 15-22'!K296</f>
        <v>4829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6997080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7208019</v>
      </c>
      <c r="C1630" s="2" t="s">
        <v>569</v>
      </c>
      <c r="D1630" s="2" t="str">
        <f t="shared" si="24"/>
        <v>Error?</v>
      </c>
    </row>
    <row r="1631" spans="1:4" x14ac:dyDescent="0.2">
      <c r="A1631" s="5">
        <v>1570</v>
      </c>
      <c r="B1631" s="1832">
        <f>'Acct Summary 7-8'!D79</f>
        <v>258003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321736</v>
      </c>
      <c r="C1644" s="2" t="s">
        <v>569</v>
      </c>
      <c r="D1644" s="2" t="str">
        <f t="shared" si="24"/>
        <v>Error?</v>
      </c>
    </row>
    <row r="1645" spans="1:4" x14ac:dyDescent="0.2">
      <c r="A1645" s="5">
        <v>1584</v>
      </c>
      <c r="B1645" s="1832">
        <f>'Acct Summary 7-8'!E79</f>
        <v>10467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10850</v>
      </c>
      <c r="C1658" s="2" t="s">
        <v>569</v>
      </c>
      <c r="D1658" s="2" t="str">
        <f t="shared" si="24"/>
        <v>Error?</v>
      </c>
    </row>
    <row r="1659" spans="1:4" x14ac:dyDescent="0.2">
      <c r="A1659" s="5">
        <v>1598</v>
      </c>
      <c r="B1659" s="1832">
        <f>'Acct Summary 7-8'!F79</f>
        <v>87573</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207292</v>
      </c>
      <c r="C1672" s="2" t="s">
        <v>569</v>
      </c>
      <c r="D1672" s="2" t="str">
        <f t="shared" si="25"/>
        <v>Error?</v>
      </c>
    </row>
    <row r="1673" spans="1:4" x14ac:dyDescent="0.2">
      <c r="A1673" s="5">
        <v>1612</v>
      </c>
      <c r="B1673" s="1832">
        <f>'Acct Summary 7-8'!G79</f>
        <v>638143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642972</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2367899</v>
      </c>
      <c r="C1744" s="2" t="s">
        <v>569</v>
      </c>
      <c r="D1744" s="2" t="str">
        <f t="shared" si="26"/>
        <v>Error?</v>
      </c>
    </row>
    <row r="1745" spans="1:5" x14ac:dyDescent="0.2">
      <c r="A1745" s="5">
        <v>1684</v>
      </c>
      <c r="B1745" s="1832">
        <f>'Tax Sched 23'!B5</f>
        <v>399970</v>
      </c>
      <c r="C1745" s="2" t="s">
        <v>569</v>
      </c>
      <c r="D1745" s="2" t="str">
        <f t="shared" si="26"/>
        <v>Error?</v>
      </c>
    </row>
    <row r="1746" spans="1:5" x14ac:dyDescent="0.2">
      <c r="A1746" s="5">
        <v>1685</v>
      </c>
      <c r="B1746" s="1832">
        <f>'Tax Sched 23'!B6</f>
        <v>314689</v>
      </c>
      <c r="C1746" s="2" t="s">
        <v>569</v>
      </c>
      <c r="D1746" s="2" t="str">
        <f t="shared" si="26"/>
        <v>Error?</v>
      </c>
    </row>
    <row r="1747" spans="1:5" x14ac:dyDescent="0.2">
      <c r="A1747" s="5">
        <v>1686</v>
      </c>
      <c r="B1747" s="1832">
        <f>'Tax Sched 23'!B7</f>
        <v>159987</v>
      </c>
      <c r="C1747" s="2" t="s">
        <v>569</v>
      </c>
      <c r="D1747" s="2" t="str">
        <f t="shared" si="26"/>
        <v>Error?</v>
      </c>
    </row>
    <row r="1748" spans="1:5" x14ac:dyDescent="0.2">
      <c r="A1748" s="5">
        <v>1687</v>
      </c>
      <c r="B1748" s="1832">
        <f>'Tax Sched 23'!B8</f>
        <v>209839</v>
      </c>
      <c r="C1748" s="2" t="s">
        <v>569</v>
      </c>
      <c r="D1748" s="2" t="str">
        <f t="shared" si="26"/>
        <v>Error?</v>
      </c>
    </row>
    <row r="1749" spans="1:5" x14ac:dyDescent="0.2">
      <c r="A1749" s="5">
        <v>1688</v>
      </c>
      <c r="B1749" s="1832">
        <f>'Tax Sched 23'!B10</f>
        <v>39998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234811</v>
      </c>
      <c r="C1752" s="2" t="s">
        <v>569</v>
      </c>
      <c r="D1752" s="2" t="str">
        <f t="shared" si="26"/>
        <v>Error?</v>
      </c>
    </row>
    <row r="1753" spans="1:5" x14ac:dyDescent="0.2">
      <c r="A1753" s="5">
        <v>1692</v>
      </c>
      <c r="B1753" s="1832">
        <f>'Tax Sched 23'!B12</f>
        <v>39998</v>
      </c>
      <c r="C1753" s="2" t="s">
        <v>569</v>
      </c>
      <c r="D1753" s="2" t="str">
        <f t="shared" si="26"/>
        <v>Error?</v>
      </c>
    </row>
    <row r="1754" spans="1:5" x14ac:dyDescent="0.2">
      <c r="A1754" s="5">
        <v>1693</v>
      </c>
      <c r="B1754" s="1832">
        <f>'Tax Sched 23'!B14</f>
        <v>32037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4049123</v>
      </c>
      <c r="C1759" s="2" t="s">
        <v>569</v>
      </c>
      <c r="D1759" s="2" t="str">
        <f t="shared" si="26"/>
        <v>Error?</v>
      </c>
    </row>
    <row r="1760" spans="1:5" x14ac:dyDescent="0.2">
      <c r="A1760" s="5">
        <v>1699</v>
      </c>
      <c r="B1760" s="1832">
        <f>'Tax Sched 23'!D4</f>
        <v>2367899</v>
      </c>
      <c r="C1760" s="2" t="s">
        <v>569</v>
      </c>
      <c r="D1760" s="2" t="str">
        <f t="shared" si="26"/>
        <v>Error?</v>
      </c>
    </row>
    <row r="1761" spans="1:7" x14ac:dyDescent="0.2">
      <c r="A1761" s="5">
        <v>1700</v>
      </c>
      <c r="B1761" s="1832">
        <f>'Tax Sched 23'!D5</f>
        <v>399970</v>
      </c>
      <c r="C1761" s="2" t="s">
        <v>569</v>
      </c>
      <c r="D1761" s="2" t="str">
        <f t="shared" si="26"/>
        <v>Error?</v>
      </c>
    </row>
    <row r="1762" spans="1:7" s="8" customFormat="1" x14ac:dyDescent="0.2">
      <c r="A1762" s="5">
        <v>1701</v>
      </c>
      <c r="B1762" s="1832">
        <f>'Tax Sched 23'!D6</f>
        <v>314689</v>
      </c>
      <c r="C1762" s="2" t="s">
        <v>569</v>
      </c>
      <c r="D1762" s="2" t="str">
        <f t="shared" si="26"/>
        <v>Error?</v>
      </c>
      <c r="E1762" s="9"/>
      <c r="G1762"/>
    </row>
    <row r="1763" spans="1:7" x14ac:dyDescent="0.2">
      <c r="A1763" s="5">
        <v>1702</v>
      </c>
      <c r="B1763" s="1832">
        <f>'Tax Sched 23'!D7</f>
        <v>159987</v>
      </c>
      <c r="C1763" s="2" t="s">
        <v>569</v>
      </c>
      <c r="D1763" s="2" t="str">
        <f t="shared" si="26"/>
        <v>Error?</v>
      </c>
    </row>
    <row r="1764" spans="1:7" x14ac:dyDescent="0.2">
      <c r="A1764" s="5">
        <v>1703</v>
      </c>
      <c r="B1764" s="1832">
        <f>'Tax Sched 23'!D8</f>
        <v>209839</v>
      </c>
      <c r="C1764" s="2" t="s">
        <v>569</v>
      </c>
      <c r="D1764" s="2" t="str">
        <f t="shared" si="26"/>
        <v>Error?</v>
      </c>
    </row>
    <row r="1765" spans="1:7" x14ac:dyDescent="0.2">
      <c r="A1765" s="5">
        <v>1704</v>
      </c>
      <c r="B1765" s="1832">
        <f>'Tax Sched 23'!D10</f>
        <v>39998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234811</v>
      </c>
      <c r="C1768" s="2" t="s">
        <v>569</v>
      </c>
      <c r="D1768" s="2" t="str">
        <f t="shared" si="26"/>
        <v>Error?</v>
      </c>
    </row>
    <row r="1769" spans="1:7" x14ac:dyDescent="0.2">
      <c r="A1769" s="5">
        <v>1708</v>
      </c>
      <c r="B1769" s="1832">
        <f>'Tax Sched 23'!D12</f>
        <v>39998</v>
      </c>
      <c r="C1769" s="2" t="s">
        <v>569</v>
      </c>
      <c r="D1769" s="2" t="str">
        <f t="shared" si="26"/>
        <v>Error?</v>
      </c>
    </row>
    <row r="1770" spans="1:7" x14ac:dyDescent="0.2">
      <c r="A1770" s="5">
        <v>1709</v>
      </c>
      <c r="B1770" s="1832">
        <f>'Tax Sched 23'!D14</f>
        <v>32037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4049123</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2506100</v>
      </c>
      <c r="C1792" s="2" t="s">
        <v>569</v>
      </c>
      <c r="D1792" s="2" t="str">
        <f t="shared" si="27"/>
        <v>Error?</v>
      </c>
    </row>
    <row r="1793" spans="1:4" x14ac:dyDescent="0.2">
      <c r="A1793" s="5">
        <v>1732</v>
      </c>
      <c r="B1793" s="1832">
        <f>'Tax Sched 23'!F5</f>
        <v>423328</v>
      </c>
      <c r="C1793" s="2" t="s">
        <v>569</v>
      </c>
      <c r="D1793" s="2" t="str">
        <f t="shared" si="27"/>
        <v>Error?</v>
      </c>
    </row>
    <row r="1794" spans="1:4" x14ac:dyDescent="0.2">
      <c r="A1794" s="5">
        <v>1733</v>
      </c>
      <c r="B1794" s="1832">
        <f>'Tax Sched 23'!F6</f>
        <v>314304</v>
      </c>
      <c r="C1794" s="2" t="s">
        <v>569</v>
      </c>
      <c r="D1794" s="2" t="str">
        <f t="shared" si="27"/>
        <v>Error?</v>
      </c>
    </row>
    <row r="1795" spans="1:4" x14ac:dyDescent="0.2">
      <c r="A1795" s="5">
        <v>1734</v>
      </c>
      <c r="B1795" s="1832">
        <f>'Tax Sched 23'!F7</f>
        <v>169331</v>
      </c>
      <c r="C1795" s="2" t="s">
        <v>569</v>
      </c>
      <c r="D1795" s="2" t="str">
        <f t="shared" si="27"/>
        <v>Error?</v>
      </c>
    </row>
    <row r="1796" spans="1:4" x14ac:dyDescent="0.2">
      <c r="A1796" s="5">
        <v>1735</v>
      </c>
      <c r="B1796" s="1832">
        <f>'Tax Sched 23'!F8</f>
        <v>215855</v>
      </c>
      <c r="C1796" s="2" t="s">
        <v>569</v>
      </c>
      <c r="D1796" s="2" t="str">
        <f t="shared" si="27"/>
        <v>Error?</v>
      </c>
    </row>
    <row r="1797" spans="1:4" x14ac:dyDescent="0.2">
      <c r="A1797" s="5">
        <v>1736</v>
      </c>
      <c r="B1797" s="1832">
        <f>'Tax Sched 23'!F10</f>
        <v>42333</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241940</v>
      </c>
      <c r="C1800" s="2" t="s">
        <v>569</v>
      </c>
      <c r="D1800" s="2" t="str">
        <f t="shared" si="27"/>
        <v>Error?</v>
      </c>
    </row>
    <row r="1801" spans="1:4" x14ac:dyDescent="0.2">
      <c r="A1801" s="5">
        <v>1740</v>
      </c>
      <c r="B1801" s="1832">
        <f>'Tax Sched 23'!F12</f>
        <v>42333</v>
      </c>
      <c r="C1801" s="2" t="s">
        <v>569</v>
      </c>
      <c r="D1801" s="2" t="str">
        <f t="shared" si="27"/>
        <v>Error?</v>
      </c>
    </row>
    <row r="1802" spans="1:4" x14ac:dyDescent="0.2">
      <c r="A1802" s="5">
        <v>1741</v>
      </c>
      <c r="B1802" s="1832">
        <f>'Tax Sched 23'!F14</f>
        <v>33866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4247578</v>
      </c>
      <c r="C1807" s="2" t="s">
        <v>569</v>
      </c>
      <c r="D1807" s="2" t="str">
        <f t="shared" si="27"/>
        <v>Error?</v>
      </c>
    </row>
    <row r="1808" spans="1:4" x14ac:dyDescent="0.2">
      <c r="A1808" s="5">
        <v>1747</v>
      </c>
      <c r="B1808" s="1832">
        <f>'Tax Sched 23'!E4</f>
        <v>2506100</v>
      </c>
      <c r="D1808" s="2" t="str">
        <f t="shared" si="27"/>
        <v>Error?</v>
      </c>
    </row>
    <row r="1809" spans="1:4" x14ac:dyDescent="0.2">
      <c r="A1809" s="5">
        <v>1748</v>
      </c>
      <c r="B1809" s="1832">
        <f>'Tax Sched 23'!E5</f>
        <v>423328</v>
      </c>
      <c r="D1809" s="2" t="str">
        <f t="shared" si="27"/>
        <v>Error?</v>
      </c>
    </row>
    <row r="1810" spans="1:4" x14ac:dyDescent="0.2">
      <c r="A1810" s="5">
        <v>1749</v>
      </c>
      <c r="B1810" s="1832">
        <f>'Tax Sched 23'!E6</f>
        <v>314304</v>
      </c>
      <c r="D1810" s="2" t="str">
        <f t="shared" si="27"/>
        <v>Error?</v>
      </c>
    </row>
    <row r="1811" spans="1:4" x14ac:dyDescent="0.2">
      <c r="A1811" s="5">
        <v>1750</v>
      </c>
      <c r="B1811" s="1832">
        <f>'Tax Sched 23'!E7</f>
        <v>169331</v>
      </c>
      <c r="D1811" s="2" t="str">
        <f t="shared" si="27"/>
        <v>Error?</v>
      </c>
    </row>
    <row r="1812" spans="1:4" x14ac:dyDescent="0.2">
      <c r="A1812" s="5">
        <v>1751</v>
      </c>
      <c r="B1812" s="1832">
        <f>'Tax Sched 23'!E8</f>
        <v>215855</v>
      </c>
      <c r="D1812" s="2" t="str">
        <f t="shared" si="27"/>
        <v>Error?</v>
      </c>
    </row>
    <row r="1813" spans="1:4" x14ac:dyDescent="0.2">
      <c r="A1813" s="5">
        <v>1752</v>
      </c>
      <c r="B1813" s="1832">
        <f>'Tax Sched 23'!E10</f>
        <v>42333</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241940</v>
      </c>
      <c r="D1816" s="2" t="str">
        <f t="shared" si="27"/>
        <v>Error?</v>
      </c>
    </row>
    <row r="1817" spans="1:4" x14ac:dyDescent="0.2">
      <c r="A1817" s="5">
        <v>1756</v>
      </c>
      <c r="B1817" s="1832">
        <f>'Tax Sched 23'!E12</f>
        <v>42333</v>
      </c>
      <c r="D1817" s="2" t="str">
        <f t="shared" si="27"/>
        <v>Error?</v>
      </c>
    </row>
    <row r="1818" spans="1:4" x14ac:dyDescent="0.2">
      <c r="A1818" s="5">
        <v>1757</v>
      </c>
      <c r="B1818" s="1832">
        <f>'Tax Sched 23'!E14</f>
        <v>33866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4247578</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1031241</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32037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32037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32037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218431</v>
      </c>
      <c r="D2008" s="2" t="str">
        <f t="shared" si="30"/>
        <v>Error?</v>
      </c>
    </row>
    <row r="2009" spans="1:4" x14ac:dyDescent="0.2">
      <c r="A2009" s="5">
        <v>1948</v>
      </c>
      <c r="B2009" s="1832">
        <f>'Cap Outlay Deprec 26'!C8</f>
        <v>6854157</v>
      </c>
      <c r="D2009" s="2" t="str">
        <f t="shared" si="30"/>
        <v>Error?</v>
      </c>
    </row>
    <row r="2010" spans="1:4" x14ac:dyDescent="0.2">
      <c r="A2010" s="5">
        <v>1949</v>
      </c>
      <c r="B2010" s="1832">
        <f>'Cap Outlay Deprec 26'!C10</f>
        <v>2805327</v>
      </c>
      <c r="D2010" s="2" t="str">
        <f t="shared" si="30"/>
        <v>Error?</v>
      </c>
    </row>
    <row r="2011" spans="1:4" x14ac:dyDescent="0.2">
      <c r="A2011" s="5">
        <v>1950</v>
      </c>
      <c r="B2011" s="1832">
        <f>'Cap Outlay Deprec 26'!C12</f>
        <v>4766381</v>
      </c>
      <c r="D2011" s="2" t="str">
        <f t="shared" si="30"/>
        <v>Error?</v>
      </c>
    </row>
    <row r="2012" spans="1:4" x14ac:dyDescent="0.2">
      <c r="A2012" s="5">
        <v>1951</v>
      </c>
      <c r="B2012" s="1832">
        <f>'Cap Outlay Deprec 26'!C13</f>
        <v>1567936</v>
      </c>
      <c r="D2012" s="2" t="str">
        <f t="shared" si="30"/>
        <v>Error?</v>
      </c>
    </row>
    <row r="2013" spans="1:4" x14ac:dyDescent="0.2">
      <c r="A2013" s="5">
        <v>1952</v>
      </c>
      <c r="B2013" s="1832">
        <f>'Cap Outlay Deprec 26'!C16</f>
        <v>16212232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681267</v>
      </c>
      <c r="D2016" s="2" t="str">
        <f t="shared" si="30"/>
        <v>Error?</v>
      </c>
    </row>
    <row r="2017" spans="1:4" x14ac:dyDescent="0.2">
      <c r="A2017" s="5">
        <v>1956</v>
      </c>
      <c r="B2017" s="1832">
        <f>'Cap Outlay Deprec 26'!D12</f>
        <v>197558</v>
      </c>
      <c r="D2017" s="2" t="str">
        <f t="shared" si="30"/>
        <v>Error?</v>
      </c>
    </row>
    <row r="2018" spans="1:4" x14ac:dyDescent="0.2">
      <c r="A2018" s="5">
        <v>1957</v>
      </c>
      <c r="B2018" s="1832">
        <f>'Cap Outlay Deprec 26'!D13</f>
        <v>37050</v>
      </c>
      <c r="D2018" s="2" t="str">
        <f t="shared" si="30"/>
        <v>Error?</v>
      </c>
    </row>
    <row r="2019" spans="1:4" x14ac:dyDescent="0.2">
      <c r="A2019" s="5">
        <v>1958</v>
      </c>
      <c r="B2019" s="1832">
        <f>'Cap Outlay Deprec 26'!D16</f>
        <v>915875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218431</v>
      </c>
      <c r="C2026" s="2" t="s">
        <v>569</v>
      </c>
      <c r="D2026" s="2" t="str">
        <f t="shared" si="30"/>
        <v>Error?</v>
      </c>
    </row>
    <row r="2027" spans="1:4" x14ac:dyDescent="0.2">
      <c r="A2027" s="5">
        <v>1966</v>
      </c>
      <c r="B2027" s="1832">
        <f>'Cap Outlay Deprec 26'!F8</f>
        <v>6854157</v>
      </c>
      <c r="C2027" s="2" t="s">
        <v>569</v>
      </c>
      <c r="D2027" s="2" t="str">
        <f t="shared" si="30"/>
        <v>Error?</v>
      </c>
    </row>
    <row r="2028" spans="1:4" x14ac:dyDescent="0.2">
      <c r="A2028" s="5">
        <v>1967</v>
      </c>
      <c r="B2028" s="1832">
        <f>'Cap Outlay Deprec 26'!F10</f>
        <v>3486594</v>
      </c>
      <c r="C2028" s="2" t="s">
        <v>569</v>
      </c>
      <c r="D2028" s="2" t="str">
        <f t="shared" si="30"/>
        <v>Error?</v>
      </c>
    </row>
    <row r="2029" spans="1:4" x14ac:dyDescent="0.2">
      <c r="A2029" s="5">
        <v>1968</v>
      </c>
      <c r="B2029" s="1832">
        <f>'Cap Outlay Deprec 26'!F12</f>
        <v>4963939</v>
      </c>
      <c r="C2029" s="2" t="s">
        <v>569</v>
      </c>
      <c r="D2029" s="2" t="str">
        <f t="shared" si="30"/>
        <v>Error?</v>
      </c>
    </row>
    <row r="2030" spans="1:4" x14ac:dyDescent="0.2">
      <c r="A2030" s="5">
        <v>1969</v>
      </c>
      <c r="B2030" s="1832">
        <f>'Cap Outlay Deprec 26'!F13</f>
        <v>1604986</v>
      </c>
      <c r="C2030" s="2" t="s">
        <v>569</v>
      </c>
      <c r="D2030" s="2" t="str">
        <f t="shared" si="30"/>
        <v>Error?</v>
      </c>
    </row>
    <row r="2031" spans="1:4" x14ac:dyDescent="0.2">
      <c r="A2031" s="5">
        <v>1970</v>
      </c>
      <c r="B2031" s="1832">
        <f>'Cap Outlay Deprec 26'!F16</f>
        <v>17128107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3254400</v>
      </c>
      <c r="D2033" s="2" t="str">
        <f t="shared" si="30"/>
        <v>Error?</v>
      </c>
    </row>
    <row r="2034" spans="1:4" x14ac:dyDescent="0.2">
      <c r="A2034" s="5">
        <v>1973</v>
      </c>
      <c r="B2034" s="1832">
        <f>'Cap Outlay Deprec 26'!H10</f>
        <v>1632172</v>
      </c>
      <c r="D2034" s="2" t="str">
        <f t="shared" si="30"/>
        <v>Error?</v>
      </c>
    </row>
    <row r="2035" spans="1:4" x14ac:dyDescent="0.2">
      <c r="A2035" s="5">
        <v>1974</v>
      </c>
      <c r="B2035" s="1832">
        <f>'Cap Outlay Deprec 26'!H12</f>
        <v>4288545</v>
      </c>
      <c r="D2035" s="2" t="str">
        <f t="shared" si="30"/>
        <v>Error?</v>
      </c>
    </row>
    <row r="2036" spans="1:4" x14ac:dyDescent="0.2">
      <c r="A2036" s="5">
        <v>1975</v>
      </c>
      <c r="B2036" s="1832">
        <f>'Cap Outlay Deprec 26'!H13</f>
        <v>1312346</v>
      </c>
      <c r="D2036" s="2" t="str">
        <f t="shared" si="30"/>
        <v>Error?</v>
      </c>
    </row>
    <row r="2037" spans="1:4" x14ac:dyDescent="0.2">
      <c r="A2037" s="5">
        <v>1976</v>
      </c>
      <c r="B2037" s="1832">
        <f>'Cap Outlay Deprec 26'!H16</f>
        <v>10487463</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137083</v>
      </c>
      <c r="D2039" s="2" t="str">
        <f t="shared" si="30"/>
        <v>Error?</v>
      </c>
    </row>
    <row r="2040" spans="1:4" x14ac:dyDescent="0.2">
      <c r="A2040" s="5">
        <v>1979</v>
      </c>
      <c r="B2040" s="1832">
        <f>'Cap Outlay Deprec 26'!I10</f>
        <v>115922</v>
      </c>
      <c r="D2040" s="2" t="str">
        <f t="shared" si="30"/>
        <v>Error?</v>
      </c>
    </row>
    <row r="2041" spans="1:4" x14ac:dyDescent="0.2">
      <c r="A2041" s="5">
        <v>1980</v>
      </c>
      <c r="B2041" s="1832">
        <f>'Cap Outlay Deprec 26'!I12</f>
        <v>143348</v>
      </c>
      <c r="D2041" s="2" t="str">
        <f t="shared" si="30"/>
        <v>Error?</v>
      </c>
    </row>
    <row r="2042" spans="1:4" x14ac:dyDescent="0.2">
      <c r="A2042" s="5">
        <v>1981</v>
      </c>
      <c r="B2042" s="1832">
        <f>'Cap Outlay Deprec 26'!I13</f>
        <v>76255</v>
      </c>
      <c r="D2042" s="2" t="str">
        <f t="shared" si="30"/>
        <v>Error?</v>
      </c>
    </row>
    <row r="2043" spans="1:4" x14ac:dyDescent="0.2">
      <c r="A2043" s="5">
        <v>1982</v>
      </c>
      <c r="B2043" s="1832">
        <f>'Cap Outlay Deprec 26'!I16</f>
        <v>472608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3391483</v>
      </c>
      <c r="C2051" s="2" t="s">
        <v>569</v>
      </c>
      <c r="D2051" s="2" t="str">
        <f t="shared" si="31"/>
        <v>Error?</v>
      </c>
    </row>
    <row r="2052" spans="1:4" x14ac:dyDescent="0.2">
      <c r="A2052" s="5">
        <v>1991</v>
      </c>
      <c r="B2052" s="1832">
        <f>'Cap Outlay Deprec 26'!K10</f>
        <v>1748094</v>
      </c>
      <c r="C2052" s="2" t="s">
        <v>569</v>
      </c>
      <c r="D2052" s="2" t="str">
        <f t="shared" si="31"/>
        <v>Error?</v>
      </c>
    </row>
    <row r="2053" spans="1:4" x14ac:dyDescent="0.2">
      <c r="A2053" s="5">
        <v>1992</v>
      </c>
      <c r="B2053" s="1832">
        <f>'Cap Outlay Deprec 26'!K12</f>
        <v>4431893</v>
      </c>
      <c r="C2053" s="2" t="s">
        <v>569</v>
      </c>
      <c r="D2053" s="2" t="str">
        <f t="shared" si="31"/>
        <v>Error?</v>
      </c>
    </row>
    <row r="2054" spans="1:4" x14ac:dyDescent="0.2">
      <c r="A2054" s="5">
        <v>1993</v>
      </c>
      <c r="B2054" s="1832">
        <f>'Cap Outlay Deprec 26'!K13</f>
        <v>1388601</v>
      </c>
      <c r="C2054" s="2" t="s">
        <v>569</v>
      </c>
      <c r="D2054" s="2" t="str">
        <f t="shared" si="31"/>
        <v>Error?</v>
      </c>
    </row>
    <row r="2055" spans="1:4" x14ac:dyDescent="0.2">
      <c r="A2055" s="5">
        <v>1994</v>
      </c>
      <c r="B2055" s="1832">
        <f>'Cap Outlay Deprec 26'!K16</f>
        <v>10960071</v>
      </c>
      <c r="C2055" s="2" t="s">
        <v>569</v>
      </c>
      <c r="D2055" s="2" t="str">
        <f t="shared" si="31"/>
        <v>Error?</v>
      </c>
    </row>
    <row r="2056" spans="1:4" x14ac:dyDescent="0.2">
      <c r="A2056" s="5">
        <v>1995</v>
      </c>
      <c r="B2056" s="1832">
        <f>'Cap Outlay Deprec 26'!L5</f>
        <v>218431</v>
      </c>
      <c r="C2056" s="2" t="s">
        <v>569</v>
      </c>
      <c r="D2056" s="2" t="str">
        <f t="shared" si="31"/>
        <v>Error?</v>
      </c>
    </row>
    <row r="2057" spans="1:4" x14ac:dyDescent="0.2">
      <c r="A2057" s="5">
        <v>1996</v>
      </c>
      <c r="B2057" s="1832">
        <f>'Cap Outlay Deprec 26'!L8</f>
        <v>3462674</v>
      </c>
      <c r="C2057" s="2" t="s">
        <v>569</v>
      </c>
      <c r="D2057" s="2" t="str">
        <f t="shared" si="31"/>
        <v>Error?</v>
      </c>
    </row>
    <row r="2058" spans="1:4" x14ac:dyDescent="0.2">
      <c r="A2058" s="5">
        <v>1997</v>
      </c>
      <c r="B2058" s="1832">
        <f>'Cap Outlay Deprec 26'!L10</f>
        <v>1738500</v>
      </c>
      <c r="C2058" s="2" t="s">
        <v>569</v>
      </c>
      <c r="D2058" s="2" t="str">
        <f t="shared" si="31"/>
        <v>Error?</v>
      </c>
    </row>
    <row r="2059" spans="1:4" x14ac:dyDescent="0.2">
      <c r="A2059" s="5">
        <v>1998</v>
      </c>
      <c r="B2059" s="1832">
        <f>'Cap Outlay Deprec 26'!L12</f>
        <v>532046</v>
      </c>
      <c r="C2059" s="2" t="s">
        <v>569</v>
      </c>
      <c r="D2059" s="2" t="str">
        <f t="shared" si="31"/>
        <v>Error?</v>
      </c>
    </row>
    <row r="2060" spans="1:4" x14ac:dyDescent="0.2">
      <c r="A2060" s="5">
        <v>1999</v>
      </c>
      <c r="B2060" s="1832">
        <f>'Cap Outlay Deprec 26'!L13</f>
        <v>216385</v>
      </c>
      <c r="C2060" s="2" t="s">
        <v>569</v>
      </c>
      <c r="D2060" s="2" t="str">
        <f t="shared" si="31"/>
        <v>Error?</v>
      </c>
    </row>
    <row r="2061" spans="1:4" x14ac:dyDescent="0.2">
      <c r="A2061" s="5">
        <v>2000</v>
      </c>
      <c r="B2061" s="1832">
        <f>'Cap Outlay Deprec 26'!L16</f>
        <v>6168036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448481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11572</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642972</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3608283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8239640</v>
      </c>
      <c r="C2553" s="2" t="s">
        <v>569</v>
      </c>
      <c r="D2553" s="2" t="str">
        <f t="shared" si="38"/>
        <v>Error?</v>
      </c>
    </row>
    <row r="2554" spans="1:4" x14ac:dyDescent="0.2">
      <c r="A2554" s="5">
        <v>2493</v>
      </c>
      <c r="B2554" s="1832">
        <f>'Acct Summary 7-8'!C7</f>
        <v>1865938</v>
      </c>
      <c r="C2554" s="2" t="s">
        <v>569</v>
      </c>
      <c r="D2554" s="2" t="str">
        <f t="shared" si="38"/>
        <v>Error?</v>
      </c>
    </row>
    <row r="2555" spans="1:4" x14ac:dyDescent="0.2">
      <c r="A2555" s="5">
        <v>2494</v>
      </c>
      <c r="B2555" s="1832">
        <f>'Acct Summary 7-8'!C8</f>
        <v>13721361</v>
      </c>
      <c r="C2555" s="2" t="s">
        <v>569</v>
      </c>
      <c r="D2555" s="2" t="str">
        <f t="shared" si="38"/>
        <v>Error?</v>
      </c>
    </row>
    <row r="2556" spans="1:4" x14ac:dyDescent="0.2">
      <c r="A2556" s="5">
        <v>2495</v>
      </c>
      <c r="B2556" s="1832">
        <f>'Acct Summary 7-8'!C12</f>
        <v>8480348</v>
      </c>
      <c r="C2556" s="2" t="s">
        <v>569</v>
      </c>
      <c r="D2556" s="2" t="str">
        <f t="shared" si="38"/>
        <v>Error?</v>
      </c>
    </row>
    <row r="2557" spans="1:4" x14ac:dyDescent="0.2">
      <c r="A2557" s="5">
        <v>2496</v>
      </c>
      <c r="B2557" s="1832">
        <f>'Acct Summary 7-8'!C13</f>
        <v>4581593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448481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13510422</v>
      </c>
      <c r="C2561" s="2" t="s">
        <v>569</v>
      </c>
      <c r="D2561" s="2" t="str">
        <f t="shared" si="39"/>
        <v>Error?</v>
      </c>
    </row>
    <row r="2562" spans="1:4" x14ac:dyDescent="0.2">
      <c r="A2562" s="5">
        <v>2501</v>
      </c>
      <c r="B2562" s="1832">
        <f>'Acct Summary 7-8'!C20</f>
        <v>210939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425587</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425587</v>
      </c>
      <c r="C2568" s="2" t="s">
        <v>569</v>
      </c>
      <c r="D2568" s="2" t="str">
        <f t="shared" si="39"/>
        <v>Error?</v>
      </c>
    </row>
    <row r="2569" spans="1:4" x14ac:dyDescent="0.2">
      <c r="A2569" s="5">
        <v>2508</v>
      </c>
      <c r="B2569" s="1832">
        <f>'Acct Summary 7-8'!D13</f>
        <v>361854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361854</v>
      </c>
      <c r="C2573" s="2" t="s">
        <v>569</v>
      </c>
      <c r="D2573" s="2" t="str">
        <f t="shared" si="39"/>
        <v>Error?</v>
      </c>
    </row>
    <row r="2574" spans="1:4" x14ac:dyDescent="0.2">
      <c r="A2574" s="5">
        <v>2513</v>
      </c>
      <c r="B2574" s="1832">
        <f>'Acct Summary 7-8'!D20</f>
        <v>63733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344207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353408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697615</v>
      </c>
      <c r="C2595" s="2" t="s">
        <v>569</v>
      </c>
      <c r="D2595" s="2" t="str">
        <f t="shared" si="39"/>
        <v>Error?</v>
      </c>
    </row>
    <row r="2596" spans="1:4" x14ac:dyDescent="0.2">
      <c r="A2596" s="5">
        <v>2535</v>
      </c>
      <c r="B2596" s="1832">
        <f>'Acct Summary 7-8'!F13</f>
        <v>533974</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43922</v>
      </c>
      <c r="C2599" s="2" t="s">
        <v>569</v>
      </c>
      <c r="D2599" s="2" t="str">
        <f t="shared" si="39"/>
        <v>Error?</v>
      </c>
    </row>
    <row r="2600" spans="1:4" x14ac:dyDescent="0.2">
      <c r="A2600" s="5">
        <v>2539</v>
      </c>
      <c r="B2600" s="1832">
        <f>'Acct Summary 7-8'!F17</f>
        <v>577896</v>
      </c>
      <c r="C2600" s="2" t="s">
        <v>569</v>
      </c>
      <c r="D2600" s="2" t="str">
        <f t="shared" si="39"/>
        <v>Error?</v>
      </c>
    </row>
    <row r="2601" spans="1:4" x14ac:dyDescent="0.2">
      <c r="A2601" s="5">
        <v>2540</v>
      </c>
      <c r="B2601" s="1832">
        <f>'Acct Summary 7-8'!F20</f>
        <v>119719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434732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434732</v>
      </c>
      <c r="C2606" s="2" t="s">
        <v>569</v>
      </c>
      <c r="D2606" s="2" t="str">
        <f t="shared" si="39"/>
        <v>Error?</v>
      </c>
    </row>
    <row r="2607" spans="1:4" x14ac:dyDescent="0.2">
      <c r="A2607" s="5">
        <v>2546</v>
      </c>
      <c r="B2607" s="1832">
        <f>'Acct Summary 7-8'!G12</f>
        <v>200925</v>
      </c>
      <c r="C2607" s="2" t="s">
        <v>569</v>
      </c>
      <c r="D2607" s="2" t="str">
        <f t="shared" si="39"/>
        <v>Error?</v>
      </c>
    </row>
    <row r="2608" spans="1:4" x14ac:dyDescent="0.2">
      <c r="A2608" s="5">
        <v>2547</v>
      </c>
      <c r="B2608" s="1832">
        <f>'Acct Summary 7-8'!G13</f>
        <v>228978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429903</v>
      </c>
      <c r="C2612" s="2" t="s">
        <v>569</v>
      </c>
      <c r="D2612" s="2" t="str">
        <f t="shared" si="39"/>
        <v>Error?</v>
      </c>
    </row>
    <row r="2613" spans="1:4" x14ac:dyDescent="0.2">
      <c r="A2613" s="5">
        <v>2552</v>
      </c>
      <c r="B2613" s="1832">
        <f>'Acct Summary 7-8'!G20</f>
        <v>4829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314689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314689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314306</v>
      </c>
      <c r="C2634" s="2" t="s">
        <v>569</v>
      </c>
      <c r="D2634" s="2" t="str">
        <f t="shared" si="40"/>
        <v>Error?</v>
      </c>
    </row>
    <row r="2635" spans="1:4" x14ac:dyDescent="0.2">
      <c r="A2635" s="5">
        <v>2574</v>
      </c>
      <c r="B2635" s="1832">
        <f>'Acct Summary 7-8'!E17</f>
        <v>314306</v>
      </c>
      <c r="C2635" s="2" t="s">
        <v>569</v>
      </c>
      <c r="D2635" s="2" t="str">
        <f t="shared" si="40"/>
        <v>Error?</v>
      </c>
    </row>
    <row r="2636" spans="1:4" x14ac:dyDescent="0.2">
      <c r="A2636" s="5">
        <v>2575</v>
      </c>
      <c r="B2636" s="1832">
        <f>'Acct Summary 7-8'!E20</f>
        <v>383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448481</v>
      </c>
      <c r="C2789" s="2" t="s">
        <v>569</v>
      </c>
      <c r="D2789" s="2" t="str">
        <f t="shared" si="42"/>
        <v>Error?</v>
      </c>
    </row>
    <row r="2790" spans="1:4" x14ac:dyDescent="0.2">
      <c r="A2790" s="5">
        <v>2729</v>
      </c>
      <c r="B2790" s="1832">
        <f>'Expenditures 15-22'!E102</f>
        <v>448481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2311662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195465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2311662</v>
      </c>
      <c r="D2912" s="2" t="str">
        <f t="shared" si="44"/>
        <v>Error?</v>
      </c>
    </row>
    <row r="2913" spans="1:4" x14ac:dyDescent="0.2">
      <c r="A2913" s="5">
        <v>2852</v>
      </c>
      <c r="B2913" s="1832">
        <f>'Assets-Liab 5-6'!I41</f>
        <v>2311662</v>
      </c>
      <c r="C2913" s="2" t="s">
        <v>569</v>
      </c>
      <c r="D2913" s="2" t="str">
        <f t="shared" si="44"/>
        <v>Error?</v>
      </c>
    </row>
    <row r="2914" spans="1:4" x14ac:dyDescent="0.2">
      <c r="A2914" s="5">
        <v>2853</v>
      </c>
      <c r="B2914" s="1832">
        <f>'Assets-Liab 5-6'!L33</f>
        <v>195465</v>
      </c>
      <c r="D2914" s="2" t="str">
        <f t="shared" si="44"/>
        <v>Error?</v>
      </c>
    </row>
    <row r="2915" spans="1:4" x14ac:dyDescent="0.2">
      <c r="A2915" s="10">
        <v>2854</v>
      </c>
      <c r="B2915" s="1832"/>
      <c r="D2915" s="2" t="str">
        <f t="shared" si="44"/>
        <v>OK</v>
      </c>
    </row>
    <row r="2916" spans="1:4" x14ac:dyDescent="0.2">
      <c r="A2916" s="5">
        <v>2855</v>
      </c>
      <c r="B2916" s="1832">
        <f>'Assets-Liab 5-6'!L34</f>
        <v>195465</v>
      </c>
      <c r="C2916" s="2" t="s">
        <v>569</v>
      </c>
      <c r="D2916" s="2" t="str">
        <f t="shared" si="44"/>
        <v>Error?</v>
      </c>
    </row>
    <row r="2917" spans="1:4" x14ac:dyDescent="0.2">
      <c r="A2917" s="5">
        <v>2856</v>
      </c>
      <c r="B2917" s="1832">
        <f>'Assets-Liab 5-6'!L41</f>
        <v>195465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446384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2097</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446384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2097</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507699</v>
      </c>
      <c r="D3055" s="2" t="str">
        <f t="shared" si="46"/>
        <v>Error?</v>
      </c>
    </row>
    <row r="3056" spans="1:4" x14ac:dyDescent="0.2">
      <c r="A3056" s="5">
        <v>2995</v>
      </c>
      <c r="B3056" s="1832">
        <f>'Expenditures 15-22'!D10</f>
        <v>99154</v>
      </c>
      <c r="D3056" s="2" t="str">
        <f t="shared" si="46"/>
        <v>Error?</v>
      </c>
    </row>
    <row r="3057" spans="1:4" x14ac:dyDescent="0.2">
      <c r="A3057" s="5">
        <v>2996</v>
      </c>
      <c r="B3057" s="1832">
        <f>'Expenditures 15-22'!E10</f>
        <v>39189</v>
      </c>
      <c r="D3057" s="2" t="str">
        <f t="shared" si="46"/>
        <v>Error?</v>
      </c>
    </row>
    <row r="3058" spans="1:4" x14ac:dyDescent="0.2">
      <c r="A3058" s="5">
        <v>2997</v>
      </c>
      <c r="B3058" s="1832">
        <f>'Expenditures 15-22'!F10</f>
        <v>398673</v>
      </c>
      <c r="D3058" s="2" t="str">
        <f t="shared" si="46"/>
        <v>Error?</v>
      </c>
    </row>
    <row r="3059" spans="1:4" x14ac:dyDescent="0.2">
      <c r="A3059" s="5">
        <v>2998</v>
      </c>
      <c r="B3059" s="1832">
        <f>'Expenditures 15-22'!G10</f>
        <v>13125</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1057840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35948</v>
      </c>
      <c r="D3064" s="2" t="str">
        <f t="shared" si="46"/>
        <v>Error?</v>
      </c>
    </row>
    <row r="3065" spans="1:4" x14ac:dyDescent="0.2">
      <c r="A3065" s="5">
        <v>3004</v>
      </c>
      <c r="B3065" s="1832">
        <f>'Expenditures 15-22'!K219</f>
        <v>35948</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59316</v>
      </c>
      <c r="C3225" s="2" t="s">
        <v>569</v>
      </c>
      <c r="D3225" s="2" t="str">
        <f t="shared" si="49"/>
        <v>Error?</v>
      </c>
    </row>
    <row r="3226" spans="1:4" x14ac:dyDescent="0.2">
      <c r="A3226" s="5">
        <v>3165</v>
      </c>
      <c r="B3226" s="1832">
        <f>'Acct Summary 7-8'!I8</f>
        <v>59316</v>
      </c>
      <c r="C3226" s="2" t="s">
        <v>569</v>
      </c>
      <c r="D3226" s="2" t="str">
        <f t="shared" si="49"/>
        <v>Error?</v>
      </c>
    </row>
    <row r="3227" spans="1:4" x14ac:dyDescent="0.2">
      <c r="A3227" s="5">
        <v>3166</v>
      </c>
      <c r="B3227" s="1832">
        <f>'Acct Summary 7-8'!I20</f>
        <v>59316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210939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63733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119719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4829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383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59316</v>
      </c>
      <c r="C3320" s="2" t="s">
        <v>569</v>
      </c>
      <c r="D3320" s="2" t="str">
        <f t="shared" si="50"/>
        <v>Error?</v>
      </c>
    </row>
    <row r="3321" spans="1:4" x14ac:dyDescent="0.2">
      <c r="A3321" s="5">
        <v>3260</v>
      </c>
      <c r="B3321" s="1832">
        <f>'Acct Summary 7-8'!I79</f>
        <v>2252346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2311662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1208302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233335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1051572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2314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2495523</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75410</v>
      </c>
      <c r="D3387" s="2" t="str">
        <f t="shared" si="51"/>
        <v>Error?</v>
      </c>
    </row>
    <row r="3388" spans="1:4" x14ac:dyDescent="0.2">
      <c r="A3388" s="5">
        <v>3327</v>
      </c>
      <c r="B3388" s="1832">
        <f>'Expenditures 15-22'!D217</f>
        <v>73580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75410</v>
      </c>
      <c r="C3390" s="2" t="s">
        <v>569</v>
      </c>
      <c r="D3390" s="2" t="str">
        <f t="shared" si="51"/>
        <v>Error?</v>
      </c>
    </row>
    <row r="3391" spans="1:4" x14ac:dyDescent="0.2">
      <c r="A3391" s="5">
        <v>3330</v>
      </c>
      <c r="B3391" s="1832">
        <f>'Expenditures 15-22'!K217</f>
        <v>73580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7500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6604519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321736</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10850</v>
      </c>
      <c r="D3417" s="2" t="str">
        <f t="shared" si="52"/>
        <v>Error?</v>
      </c>
    </row>
    <row r="3418" spans="1:4" x14ac:dyDescent="0.2">
      <c r="A3418" s="10">
        <v>3357</v>
      </c>
      <c r="B3418" s="1832"/>
      <c r="D3418" s="2" t="str">
        <f t="shared" si="52"/>
        <v>OK</v>
      </c>
    </row>
    <row r="3419" spans="1:4" x14ac:dyDescent="0.2">
      <c r="A3419" s="5">
        <v>3358</v>
      </c>
      <c r="B3419" s="1832">
        <f>'Assets-Liab 5-6'!F4</f>
        <v>207292</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642972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2311662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195465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209839</v>
      </c>
      <c r="C3446" s="2" t="s">
        <v>569</v>
      </c>
      <c r="D3446" s="2" t="str">
        <f t="shared" si="52"/>
        <v>Error?</v>
      </c>
    </row>
    <row r="3447" spans="1:4" x14ac:dyDescent="0.2">
      <c r="A3447" s="5">
        <v>3386</v>
      </c>
      <c r="B3447" s="1832">
        <f>'Tax Sched 23'!D16</f>
        <v>209839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215855</v>
      </c>
      <c r="C3449" s="2" t="s">
        <v>569</v>
      </c>
      <c r="D3449" s="2" t="str">
        <f t="shared" si="52"/>
        <v>Error?</v>
      </c>
    </row>
    <row r="3450" spans="1:4" x14ac:dyDescent="0.2">
      <c r="A3450" s="5">
        <v>3389</v>
      </c>
      <c r="B3450" s="1832">
        <f>'Tax Sched 23'!E16</f>
        <v>215855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285994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285994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285994</v>
      </c>
      <c r="D3567" s="2" t="str">
        <f t="shared" si="54"/>
        <v>Error?</v>
      </c>
    </row>
    <row r="3568" spans="1:4" x14ac:dyDescent="0.2">
      <c r="A3568" s="5">
        <v>3507</v>
      </c>
      <c r="B3568" s="1832">
        <f>'Assets-Liab 5-6'!K41</f>
        <v>285994</v>
      </c>
      <c r="C3568" s="2" t="s">
        <v>569</v>
      </c>
      <c r="D3568" s="2" t="str">
        <f t="shared" si="54"/>
        <v>Error?</v>
      </c>
    </row>
    <row r="3569" spans="1:4" x14ac:dyDescent="0.2">
      <c r="A3569" s="5">
        <v>3508</v>
      </c>
      <c r="B3569" s="1832">
        <f>'Acct Summary 7-8'!K4</f>
        <v>43015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43015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43015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43015</v>
      </c>
      <c r="C3588" s="2" t="s">
        <v>569</v>
      </c>
      <c r="D3588" s="2" t="str">
        <f t="shared" si="55"/>
        <v>Error?</v>
      </c>
    </row>
    <row r="3589" spans="1:4" x14ac:dyDescent="0.2">
      <c r="A3589" s="5">
        <v>3528</v>
      </c>
      <c r="B3589" s="1832">
        <f>'Acct Summary 7-8'!K79</f>
        <v>242979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285994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43015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40056</v>
      </c>
      <c r="C3725" s="2" t="s">
        <v>569</v>
      </c>
      <c r="D3725" s="2" t="str">
        <f t="shared" si="57"/>
        <v>Error?</v>
      </c>
    </row>
    <row r="3726" spans="1:4" x14ac:dyDescent="0.2">
      <c r="A3726" s="5">
        <v>3665</v>
      </c>
      <c r="B3726" s="1832">
        <f>'Tax Sched 23'!D13</f>
        <v>40056</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42333</v>
      </c>
      <c r="C3728" s="2" t="s">
        <v>569</v>
      </c>
      <c r="D3728" s="2" t="str">
        <f t="shared" si="57"/>
        <v>Error?</v>
      </c>
    </row>
    <row r="3729" spans="1:4" x14ac:dyDescent="0.2">
      <c r="A3729" s="5">
        <v>3668</v>
      </c>
      <c r="B3729" s="1832">
        <f>'Tax Sched 23'!E13</f>
        <v>42333</v>
      </c>
      <c r="D3729" s="2" t="str">
        <f t="shared" si="57"/>
        <v>Error?</v>
      </c>
    </row>
    <row r="3730" spans="1:4" x14ac:dyDescent="0.2">
      <c r="A3730" s="5">
        <v>3669</v>
      </c>
      <c r="B3730" s="1832">
        <f>'ICR Computation 30'!E10</f>
        <v>251725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4856921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18578282</v>
      </c>
      <c r="C4122" s="2" t="s">
        <v>569</v>
      </c>
      <c r="D4122" s="2" t="str">
        <f t="shared" si="63"/>
        <v>Error?</v>
      </c>
    </row>
    <row r="4123" spans="1:4" x14ac:dyDescent="0.2">
      <c r="A4123" s="5">
        <v>4062</v>
      </c>
      <c r="B4123" s="1832">
        <f>'Acct Summary 7-8'!D10</f>
        <v>425587</v>
      </c>
      <c r="C4123" s="2" t="s">
        <v>569</v>
      </c>
      <c r="D4123" s="2" t="str">
        <f t="shared" si="63"/>
        <v>Error?</v>
      </c>
    </row>
    <row r="4124" spans="1:4" x14ac:dyDescent="0.2">
      <c r="A4124" s="5">
        <v>4063</v>
      </c>
      <c r="B4124" s="1832">
        <f>'Acct Summary 7-8'!E10</f>
        <v>314689</v>
      </c>
      <c r="C4124" s="2" t="s">
        <v>569</v>
      </c>
      <c r="D4124" s="2" t="str">
        <f t="shared" si="63"/>
        <v>Error?</v>
      </c>
    </row>
    <row r="4125" spans="1:4" x14ac:dyDescent="0.2">
      <c r="A4125" s="5">
        <v>4064</v>
      </c>
      <c r="B4125" s="1832">
        <f>'Acct Summary 7-8'!F10</f>
        <v>697615</v>
      </c>
      <c r="C4125" s="2" t="s">
        <v>569</v>
      </c>
      <c r="D4125" s="2" t="str">
        <f t="shared" si="63"/>
        <v>Error?</v>
      </c>
    </row>
    <row r="4126" spans="1:4" x14ac:dyDescent="0.2">
      <c r="A4126" s="5">
        <v>4065</v>
      </c>
      <c r="B4126" s="1832">
        <f>'Acct Summary 7-8'!G10</f>
        <v>434732</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59316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43015</v>
      </c>
      <c r="C4130" s="2" t="s">
        <v>569</v>
      </c>
      <c r="D4130" s="2" t="str">
        <f t="shared" si="63"/>
        <v>Error?</v>
      </c>
    </row>
    <row r="4131" spans="1:4" x14ac:dyDescent="0.2">
      <c r="A4131" s="5">
        <v>4070</v>
      </c>
      <c r="B4131" s="1832">
        <f>'Acct Summary 7-8'!C18</f>
        <v>4856921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18367343</v>
      </c>
      <c r="C4136" s="2" t="s">
        <v>569</v>
      </c>
      <c r="D4136" s="2" t="str">
        <f t="shared" si="63"/>
        <v>Error?</v>
      </c>
    </row>
    <row r="4137" spans="1:4" x14ac:dyDescent="0.2">
      <c r="A4137" s="5">
        <v>4076</v>
      </c>
      <c r="B4137" s="1832">
        <f>'Acct Summary 7-8'!D19</f>
        <v>361854</v>
      </c>
      <c r="C4137" s="2" t="s">
        <v>569</v>
      </c>
      <c r="D4137" s="2" t="str">
        <f t="shared" si="63"/>
        <v>Error?</v>
      </c>
    </row>
    <row r="4138" spans="1:4" x14ac:dyDescent="0.2">
      <c r="A4138" s="5">
        <v>4077</v>
      </c>
      <c r="B4138" s="1832">
        <f>'Acct Summary 7-8'!E19</f>
        <v>314306</v>
      </c>
      <c r="C4138" s="2" t="s">
        <v>569</v>
      </c>
      <c r="D4138" s="2" t="str">
        <f t="shared" si="63"/>
        <v>Error?</v>
      </c>
    </row>
    <row r="4139" spans="1:4" x14ac:dyDescent="0.2">
      <c r="A4139" s="5">
        <v>4078</v>
      </c>
      <c r="B4139" s="1832">
        <f>'Acct Summary 7-8'!F19</f>
        <v>577896</v>
      </c>
      <c r="C4139" s="2" t="s">
        <v>569</v>
      </c>
      <c r="D4139" s="2" t="str">
        <f t="shared" si="63"/>
        <v>Error?</v>
      </c>
    </row>
    <row r="4140" spans="1:4" x14ac:dyDescent="0.2">
      <c r="A4140" s="5">
        <v>4079</v>
      </c>
      <c r="B4140" s="1832">
        <f>'Acct Summary 7-8'!G19</f>
        <v>429903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697061</v>
      </c>
      <c r="C4171" s="2" t="s">
        <v>569</v>
      </c>
      <c r="D4171" s="2" t="str">
        <f t="shared" si="64"/>
        <v>Error?</v>
      </c>
    </row>
    <row r="4172" spans="1:4" x14ac:dyDescent="0.2">
      <c r="A4172" s="5">
        <v>4111</v>
      </c>
      <c r="B4172" s="1832">
        <f>'Short-Term Long-Term Debt 24'!J49</f>
        <v>686211</v>
      </c>
      <c r="C4172" s="2" t="s">
        <v>569</v>
      </c>
      <c r="D4172" s="2" t="str">
        <f t="shared" si="64"/>
        <v>Error?</v>
      </c>
    </row>
    <row r="4173" spans="1:4" x14ac:dyDescent="0.2">
      <c r="A4173" s="5">
        <v>4112</v>
      </c>
      <c r="B4173" s="1832">
        <f>'Short-Term Long-Term Debt 24'!H49</f>
        <v>334180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37680</v>
      </c>
      <c r="D4210" s="2" t="str">
        <f t="shared" si="64"/>
        <v>Error?</v>
      </c>
    </row>
    <row r="4211" spans="1:4" x14ac:dyDescent="0.2">
      <c r="A4211" s="5">
        <v>4150</v>
      </c>
      <c r="B4211" s="1832">
        <f>'Expenditures 15-22'!K206</f>
        <v>37680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2960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3660</v>
      </c>
      <c r="C4268" s="2" t="s">
        <v>569</v>
      </c>
      <c r="D4268" s="2" t="str">
        <f t="shared" si="65"/>
        <v>Error?</v>
      </c>
    </row>
    <row r="4269" spans="1:5" x14ac:dyDescent="0.2">
      <c r="A4269" s="12">
        <v>4208</v>
      </c>
      <c r="B4269" s="1832">
        <f>'FP Info 3'!J16</f>
        <v>10048709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143864</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19487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95804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22615</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22615</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74145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206530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84665554</v>
      </c>
      <c r="D4995" s="2" t="str">
        <f t="shared" si="77"/>
        <v>Error?</v>
      </c>
    </row>
    <row r="4996" spans="1:4" x14ac:dyDescent="0.2">
      <c r="A4996" s="12">
        <v>4935</v>
      </c>
      <c r="B4996" s="1832">
        <f>'FP Info 3'!H31</f>
        <v>11683846.452000001</v>
      </c>
      <c r="D4996" s="2" t="str">
        <f t="shared" si="77"/>
        <v>Error?</v>
      </c>
    </row>
    <row r="4997" spans="1:4" x14ac:dyDescent="0.2">
      <c r="A4997" s="12">
        <v>4936</v>
      </c>
      <c r="B4997" s="1832">
        <f>'FP Info 3'!H37</f>
        <v>697061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40056</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2367899</v>
      </c>
      <c r="D5061" s="2" t="str">
        <f t="shared" si="78"/>
        <v>Error?</v>
      </c>
    </row>
    <row r="5062" spans="1:4" x14ac:dyDescent="0.2">
      <c r="A5062" s="10">
        <v>5001</v>
      </c>
      <c r="B5062" s="1832"/>
      <c r="D5062" s="2" t="str">
        <f t="shared" si="78"/>
        <v>OK</v>
      </c>
    </row>
    <row r="5063" spans="1:4" x14ac:dyDescent="0.2">
      <c r="A5063" s="5">
        <v>5002</v>
      </c>
      <c r="B5063" s="1832">
        <f>'Revenues 9-14'!C7</f>
        <v>32037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2439992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463849</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463849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27344</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27344</v>
      </c>
      <c r="C5087" s="2" t="s">
        <v>569</v>
      </c>
      <c r="D5087" s="2" t="str">
        <f t="shared" si="78"/>
        <v>Error?</v>
      </c>
    </row>
    <row r="5088" spans="1:4" x14ac:dyDescent="0.2">
      <c r="A5088" s="5">
        <v>5027</v>
      </c>
      <c r="B5088" s="1832">
        <f>'Revenues 9-14'!C65</f>
        <v>117460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117460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5713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2441</v>
      </c>
      <c r="D5094" s="2" t="str">
        <f t="shared" si="78"/>
        <v>Error?</v>
      </c>
    </row>
    <row r="5095" spans="1:4" x14ac:dyDescent="0.2">
      <c r="A5095" s="5">
        <v>5034</v>
      </c>
      <c r="B5095" s="1832">
        <f>'Revenues 9-14'!C74</f>
        <v>2042</v>
      </c>
      <c r="D5095" s="2" t="str">
        <f t="shared" si="78"/>
        <v>Error?</v>
      </c>
    </row>
    <row r="5096" spans="1:4" x14ac:dyDescent="0.2">
      <c r="A5096" s="5">
        <v>5035</v>
      </c>
      <c r="B5096" s="1832">
        <f>'Revenues 9-14'!C75</f>
        <v>10196</v>
      </c>
      <c r="C5096" s="2" t="s">
        <v>569</v>
      </c>
      <c r="D5096" s="2" t="str">
        <f t="shared" si="78"/>
        <v>Error?</v>
      </c>
    </row>
    <row r="5097" spans="1:4" x14ac:dyDescent="0.2">
      <c r="A5097" s="5">
        <v>5036</v>
      </c>
      <c r="B5097" s="1832">
        <f>'Revenues 9-14'!C77</f>
        <v>19404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7127</v>
      </c>
      <c r="D5099" s="2" t="str">
        <f t="shared" si="78"/>
        <v>Error?</v>
      </c>
    </row>
    <row r="5100" spans="1:4" x14ac:dyDescent="0.2">
      <c r="A5100" s="5">
        <v>5039</v>
      </c>
      <c r="B5100" s="1832">
        <f>'Revenues 9-14'!C80</f>
        <v>40349</v>
      </c>
      <c r="D5100" s="2" t="str">
        <f t="shared" si="78"/>
        <v>Error?</v>
      </c>
    </row>
    <row r="5101" spans="1:4" x14ac:dyDescent="0.2">
      <c r="A5101" s="5">
        <v>5040</v>
      </c>
      <c r="B5101" s="1832">
        <f>'Revenues 9-14'!C81</f>
        <v>1420</v>
      </c>
      <c r="D5101" s="2" t="str">
        <f t="shared" si="78"/>
        <v>Error?</v>
      </c>
    </row>
    <row r="5102" spans="1:4" x14ac:dyDescent="0.2">
      <c r="A5102" s="5">
        <v>5041</v>
      </c>
      <c r="B5102" s="1832">
        <f>'Revenues 9-14'!C82</f>
        <v>68300</v>
      </c>
      <c r="C5102" s="2" t="s">
        <v>569</v>
      </c>
      <c r="D5102" s="2" t="str">
        <f t="shared" si="78"/>
        <v>Error?</v>
      </c>
    </row>
    <row r="5103" spans="1:4" x14ac:dyDescent="0.2">
      <c r="A5103" s="5">
        <v>5042</v>
      </c>
      <c r="B5103" s="1832">
        <f>'Revenues 9-14'!C84</f>
        <v>24738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24738</v>
      </c>
      <c r="C5112" s="2" t="s">
        <v>569</v>
      </c>
      <c r="D5112" s="2" t="str">
        <f t="shared" si="78"/>
        <v>Error?</v>
      </c>
    </row>
    <row r="5113" spans="1:4" x14ac:dyDescent="0.2">
      <c r="A5113" s="5">
        <v>5052</v>
      </c>
      <c r="B5113" s="1832">
        <f>'Revenues 9-14'!C95</f>
        <v>3908</v>
      </c>
      <c r="D5113" s="2" t="str">
        <f t="shared" si="78"/>
        <v>Error?</v>
      </c>
    </row>
    <row r="5114" spans="1:4" x14ac:dyDescent="0.2">
      <c r="A5114" s="5">
        <v>5053</v>
      </c>
      <c r="B5114" s="1832">
        <f>'Revenues 9-14'!C96</f>
        <v>166480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146954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135462</v>
      </c>
      <c r="D5119" s="2" t="str">
        <f t="shared" ref="D5119:D5182" si="79">IF(ISBLANK(B5119),"OK",IF(A5119-B5119=0,"OK","Error?"))</f>
        <v>Error?</v>
      </c>
    </row>
    <row r="5120" spans="1:4" x14ac:dyDescent="0.2">
      <c r="A5120" s="5">
        <v>5059</v>
      </c>
      <c r="B5120" s="1832">
        <f>'Revenues 9-14'!C108</f>
        <v>456404</v>
      </c>
      <c r="C5120" s="2" t="s">
        <v>569</v>
      </c>
      <c r="D5120" s="2" t="str">
        <f t="shared" si="79"/>
        <v>Error?</v>
      </c>
    </row>
    <row r="5121" spans="1:4" x14ac:dyDescent="0.2">
      <c r="A5121" s="5">
        <v>5060</v>
      </c>
      <c r="B5121" s="1832">
        <f>'Revenues 9-14'!C109</f>
        <v>3608283</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7500</v>
      </c>
      <c r="D5124" s="2" t="str">
        <f t="shared" si="79"/>
        <v>Error?</v>
      </c>
    </row>
    <row r="5125" spans="1:4" x14ac:dyDescent="0.2">
      <c r="A5125" s="5">
        <v>5064</v>
      </c>
      <c r="B5125" s="1832">
        <f>'Revenues 9-14'!C114</f>
        <v>7500</v>
      </c>
      <c r="C5125" s="2" t="s">
        <v>569</v>
      </c>
      <c r="D5125" s="2" t="str">
        <f t="shared" si="79"/>
        <v>Error?</v>
      </c>
    </row>
    <row r="5126" spans="1:4" x14ac:dyDescent="0.2">
      <c r="A5126" s="5">
        <v>5065</v>
      </c>
      <c r="B5126" s="1832">
        <f>'Revenues 9-14'!C117</f>
        <v>7372850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7372850</v>
      </c>
      <c r="C5132" s="2" t="s">
        <v>569</v>
      </c>
      <c r="D5132" s="2" t="str">
        <f t="shared" si="79"/>
        <v>Error?</v>
      </c>
    </row>
    <row r="5133" spans="1:4" x14ac:dyDescent="0.2">
      <c r="A5133" s="5">
        <v>5072</v>
      </c>
      <c r="B5133" s="1832">
        <f>'Revenues 9-14'!C125</f>
        <v>389323</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43592</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432915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6141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8489</v>
      </c>
      <c r="D5167" s="2" t="str">
        <f t="shared" si="79"/>
        <v>Error?</v>
      </c>
    </row>
    <row r="5168" spans="1:4" x14ac:dyDescent="0.2">
      <c r="A5168" s="5">
        <v>5107</v>
      </c>
      <c r="B5168" s="1832">
        <f>'Revenues 9-14'!C148</f>
        <v>7868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204847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866790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8239640</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400705</v>
      </c>
      <c r="D5239" s="2" t="str">
        <f t="shared" si="80"/>
        <v>Error?</v>
      </c>
    </row>
    <row r="5240" spans="1:4" x14ac:dyDescent="0.2">
      <c r="A5240" s="5">
        <v>5179</v>
      </c>
      <c r="B5240" s="1832">
        <f>'Revenues 9-14'!C192</f>
        <v>1142</v>
      </c>
      <c r="D5240" s="2" t="str">
        <f t="shared" si="80"/>
        <v>Error?</v>
      </c>
    </row>
    <row r="5241" spans="1:4" x14ac:dyDescent="0.2">
      <c r="A5241" s="5">
        <v>5180</v>
      </c>
      <c r="B5241" s="1832">
        <f>'Revenues 9-14'!C193</f>
        <v>107651</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509498</v>
      </c>
      <c r="C5246" s="2" t="s">
        <v>569</v>
      </c>
      <c r="D5246" s="2" t="str">
        <f t="shared" si="80"/>
        <v>Error?</v>
      </c>
    </row>
    <row r="5247" spans="1:4" x14ac:dyDescent="0.2">
      <c r="A5247" s="5">
        <v>5186</v>
      </c>
      <c r="B5247" s="1832">
        <f>'Revenues 9-14'!C200</f>
        <v>749043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892907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15397</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232253</v>
      </c>
      <c r="D5278" s="2" t="str">
        <f t="shared" si="81"/>
        <v>Error?</v>
      </c>
    </row>
    <row r="5279" spans="1:4" x14ac:dyDescent="0.2">
      <c r="A5279" s="5">
        <v>5218</v>
      </c>
      <c r="B5279" s="1832">
        <f>'Revenues 9-14'!C214</f>
        <v>3832</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251482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1865938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1865938</v>
      </c>
      <c r="C5326" s="2" t="s">
        <v>569</v>
      </c>
      <c r="D5326" s="2" t="str">
        <f t="shared" si="82"/>
        <v>Error?</v>
      </c>
    </row>
    <row r="5327" spans="1:5" x14ac:dyDescent="0.2">
      <c r="A5327" s="5">
        <v>5266</v>
      </c>
      <c r="B5327" s="1832">
        <f>'Revenues 9-14'!C268</f>
        <v>13721361</v>
      </c>
      <c r="C5327" s="2" t="s">
        <v>569</v>
      </c>
      <c r="D5327" s="2" t="str">
        <f t="shared" si="82"/>
        <v>Error?</v>
      </c>
    </row>
    <row r="5328" spans="1:5" x14ac:dyDescent="0.2">
      <c r="A5328" s="5">
        <v>5267</v>
      </c>
      <c r="B5328" s="1832">
        <f>'Revenues 9-14'!D5</f>
        <v>399970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399970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2514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2514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1978</v>
      </c>
      <c r="D5349" s="2" t="str">
        <f t="shared" si="82"/>
        <v>Error?</v>
      </c>
    </row>
    <row r="5350" spans="1:4" x14ac:dyDescent="0.2">
      <c r="A5350" s="5">
        <v>5289</v>
      </c>
      <c r="B5350" s="1832">
        <f>'Revenues 9-14'!D96</f>
        <v>10000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11125</v>
      </c>
      <c r="D5354" s="2" t="str">
        <f t="shared" si="82"/>
        <v>Error?</v>
      </c>
    </row>
    <row r="5355" spans="1:4" x14ac:dyDescent="0.2">
      <c r="A5355" s="5">
        <v>5294</v>
      </c>
      <c r="B5355" s="1832">
        <f>'Revenues 9-14'!D108</f>
        <v>23103</v>
      </c>
      <c r="C5355" s="2" t="s">
        <v>569</v>
      </c>
      <c r="D5355" s="2" t="str">
        <f t="shared" si="82"/>
        <v>Error?</v>
      </c>
    </row>
    <row r="5356" spans="1:4" x14ac:dyDescent="0.2">
      <c r="A5356" s="5">
        <v>5295</v>
      </c>
      <c r="B5356" s="1832">
        <f>'Revenues 9-14'!D109</f>
        <v>425587</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425587</v>
      </c>
      <c r="C5508" s="2" t="s">
        <v>569</v>
      </c>
      <c r="D5508" s="2" t="str">
        <f t="shared" si="85"/>
        <v>Error?</v>
      </c>
    </row>
    <row r="5509" spans="1:4" x14ac:dyDescent="0.2">
      <c r="A5509" s="5">
        <v>5448</v>
      </c>
      <c r="B5509" s="1832">
        <f>'Revenues 9-14'!E5</f>
        <v>314689</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314689</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314689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314689</v>
      </c>
      <c r="C5552" s="2" t="s">
        <v>569</v>
      </c>
      <c r="D5552" s="2" t="str">
        <f t="shared" si="85"/>
        <v>Error?</v>
      </c>
    </row>
    <row r="5553" spans="1:4" x14ac:dyDescent="0.2">
      <c r="A5553" s="5">
        <v>5492</v>
      </c>
      <c r="B5553" s="1832">
        <f>'Revenues 9-14'!F5</f>
        <v>159987</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159987</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180000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180000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312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312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3908</v>
      </c>
      <c r="D5586" s="2" t="str">
        <f t="shared" si="86"/>
        <v>Error?</v>
      </c>
    </row>
    <row r="5587" spans="1:4" x14ac:dyDescent="0.2">
      <c r="A5587" s="5">
        <v>5526</v>
      </c>
      <c r="B5587" s="1832">
        <f>'Revenues 9-14'!F108</f>
        <v>3908</v>
      </c>
      <c r="C5587" s="2" t="s">
        <v>569</v>
      </c>
      <c r="D5587" s="2" t="str">
        <f t="shared" si="86"/>
        <v>Error?</v>
      </c>
    </row>
    <row r="5588" spans="1:4" x14ac:dyDescent="0.2">
      <c r="A5588" s="5">
        <v>5527</v>
      </c>
      <c r="B5588" s="1832">
        <f>'Revenues 9-14'!F109</f>
        <v>344207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312385</v>
      </c>
      <c r="D5615" s="2" t="str">
        <f t="shared" si="86"/>
        <v>Error?</v>
      </c>
    </row>
    <row r="5616" spans="1:4" x14ac:dyDescent="0.2">
      <c r="A5616" s="10">
        <v>5555</v>
      </c>
      <c r="B5616" s="1832"/>
      <c r="D5616" s="2" t="str">
        <f t="shared" si="86"/>
        <v>OK</v>
      </c>
    </row>
    <row r="5617" spans="1:5" x14ac:dyDescent="0.2">
      <c r="A5617" s="5">
        <v>5556</v>
      </c>
      <c r="B5617" s="1832">
        <f>'Revenues 9-14'!F153</f>
        <v>41023</v>
      </c>
      <c r="D5617" s="2" t="str">
        <f t="shared" si="86"/>
        <v>Error?</v>
      </c>
    </row>
    <row r="5618" spans="1:5" x14ac:dyDescent="0.2">
      <c r="A5618" s="5">
        <v>5557</v>
      </c>
      <c r="B5618" s="1832">
        <f>'Revenues 9-14'!F155</f>
        <v>353408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353408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353408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697615</v>
      </c>
      <c r="C5720" s="2" t="s">
        <v>569</v>
      </c>
      <c r="D5720" s="2" t="str">
        <f t="shared" si="88"/>
        <v>Error?</v>
      </c>
    </row>
    <row r="5721" spans="1:4" x14ac:dyDescent="0.2">
      <c r="A5721" s="5">
        <v>5660</v>
      </c>
      <c r="B5721" s="1832">
        <f>'Revenues 9-14'!G5</f>
        <v>209839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209839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419678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5500</v>
      </c>
      <c r="C5730" s="2" t="s">
        <v>569</v>
      </c>
      <c r="D5730" s="2" t="str">
        <f t="shared" si="88"/>
        <v>Error?</v>
      </c>
    </row>
    <row r="5731" spans="1:4" x14ac:dyDescent="0.2">
      <c r="A5731" s="5">
        <v>5670</v>
      </c>
      <c r="B5731" s="1832">
        <f>'Revenues 9-14'!G65</f>
        <v>9554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9554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434732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39998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39998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19318</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19318</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59316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39998</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39998</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3017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3017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43015</v>
      </c>
      <c r="C6023" s="2" t="s">
        <v>569</v>
      </c>
      <c r="D6023" s="2" t="str">
        <f t="shared" si="93"/>
        <v>Error?</v>
      </c>
    </row>
    <row r="6024" spans="1:5" x14ac:dyDescent="0.2">
      <c r="A6024" s="5">
        <v>5963</v>
      </c>
      <c r="B6024" s="1832">
        <f>'Revenues 9-14'!G109</f>
        <v>434732</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59316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43015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69003</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1085.3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70364</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70364</v>
      </c>
      <c r="D6215" s="2" t="str">
        <f t="shared" si="96"/>
        <v>Error?</v>
      </c>
      <c r="E6215" s="2" t="s">
        <v>189</v>
      </c>
    </row>
    <row r="6216" spans="1:5" x14ac:dyDescent="0.2">
      <c r="A6216">
        <v>6155</v>
      </c>
      <c r="B6216" s="1832">
        <f>'Assets-Liab 5-6'!J41</f>
        <v>70364</v>
      </c>
      <c r="D6216" s="2" t="str">
        <f t="shared" si="96"/>
        <v>Error?</v>
      </c>
      <c r="E6216" s="2" t="s">
        <v>189</v>
      </c>
    </row>
    <row r="6217" spans="1:5" x14ac:dyDescent="0.2">
      <c r="A6217">
        <v>6156</v>
      </c>
      <c r="B6217" s="1832">
        <f>'Assets-Liab 5-6'!J4</f>
        <v>70364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235793</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235793</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235793</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233565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233565</v>
      </c>
      <c r="D6229" s="2" t="str">
        <f t="shared" si="96"/>
        <v>Error?</v>
      </c>
      <c r="E6229" s="2" t="s">
        <v>189</v>
      </c>
    </row>
    <row r="6230" spans="1:5" x14ac:dyDescent="0.2">
      <c r="A6230">
        <v>6169</v>
      </c>
      <c r="B6230" s="1832">
        <f>'Acct Summary 7-8'!J20</f>
        <v>2228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2228</v>
      </c>
      <c r="D6263" s="2" t="str">
        <f t="shared" si="96"/>
        <v>Error?</v>
      </c>
      <c r="E6263" s="2" t="s">
        <v>189</v>
      </c>
    </row>
    <row r="6264" spans="1:5" x14ac:dyDescent="0.2">
      <c r="A6264">
        <v>6203</v>
      </c>
      <c r="B6264" s="1832">
        <f>'Acct Summary 7-8'!J79</f>
        <v>68136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70364</v>
      </c>
      <c r="D6266" s="2" t="str">
        <f t="shared" si="96"/>
        <v>Error?</v>
      </c>
      <c r="E6266" s="2" t="s">
        <v>189</v>
      </c>
    </row>
    <row r="6267" spans="1:5" x14ac:dyDescent="0.2">
      <c r="A6267">
        <v>6206</v>
      </c>
      <c r="B6267" s="1832">
        <f>'Acct Summary 7-8'!C82</f>
        <v>210939</v>
      </c>
      <c r="D6267" s="2" t="str">
        <f t="shared" si="96"/>
        <v>Error?</v>
      </c>
      <c r="E6267" s="2" t="s">
        <v>189</v>
      </c>
    </row>
    <row r="6268" spans="1:5" x14ac:dyDescent="0.2">
      <c r="A6268">
        <v>6207</v>
      </c>
      <c r="B6268" s="1832">
        <f>'Acct Summary 7-8'!D82</f>
        <v>63733</v>
      </c>
      <c r="D6268" s="2" t="str">
        <f t="shared" si="96"/>
        <v>Error?</v>
      </c>
      <c r="E6268" s="2" t="s">
        <v>189</v>
      </c>
    </row>
    <row r="6269" spans="1:5" x14ac:dyDescent="0.2">
      <c r="A6269">
        <v>6208</v>
      </c>
      <c r="B6269" s="1832">
        <f>'Acct Summary 7-8'!E82</f>
        <v>383</v>
      </c>
      <c r="D6269" s="2" t="str">
        <f t="shared" si="96"/>
        <v>Error?</v>
      </c>
      <c r="E6269" s="2" t="s">
        <v>189</v>
      </c>
    </row>
    <row r="6270" spans="1:5" x14ac:dyDescent="0.2">
      <c r="A6270">
        <v>6209</v>
      </c>
      <c r="B6270" s="1832">
        <f>'Acct Summary 7-8'!F82</f>
        <v>119719</v>
      </c>
      <c r="D6270" s="2" t="str">
        <f t="shared" si="96"/>
        <v>Error?</v>
      </c>
      <c r="E6270" s="2" t="s">
        <v>189</v>
      </c>
    </row>
    <row r="6271" spans="1:5" x14ac:dyDescent="0.2">
      <c r="A6271">
        <v>6210</v>
      </c>
      <c r="B6271" s="1832">
        <f>'Acct Summary 7-8'!G82</f>
        <v>4829</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59316</v>
      </c>
      <c r="D6273" s="2" t="str">
        <f t="shared" si="97"/>
        <v>Error?</v>
      </c>
      <c r="E6273" s="2" t="s">
        <v>189</v>
      </c>
    </row>
    <row r="6274" spans="1:5" x14ac:dyDescent="0.2">
      <c r="A6274">
        <v>6213</v>
      </c>
      <c r="B6274" s="1832">
        <f>'Acct Summary 7-8'!J82</f>
        <v>2228</v>
      </c>
      <c r="D6274" s="2" t="str">
        <f t="shared" si="97"/>
        <v>Error?</v>
      </c>
      <c r="E6274" s="2" t="s">
        <v>189</v>
      </c>
    </row>
    <row r="6275" spans="1:5" x14ac:dyDescent="0.2">
      <c r="A6275">
        <v>6214</v>
      </c>
      <c r="B6275" s="1832">
        <f>'Acct Summary 7-8'!K82</f>
        <v>43015</v>
      </c>
      <c r="D6275" s="2" t="str">
        <f t="shared" si="97"/>
        <v>Error?</v>
      </c>
      <c r="E6275" s="2" t="s">
        <v>189</v>
      </c>
    </row>
    <row r="6276" spans="1:5" x14ac:dyDescent="0.2">
      <c r="A6276">
        <v>6215</v>
      </c>
      <c r="B6276" s="1832">
        <f>'Acct Summary 7-8'!C83</f>
        <v>2.9264490007587383E-2</v>
      </c>
      <c r="D6276" s="2" t="str">
        <f t="shared" si="97"/>
        <v>Error?</v>
      </c>
      <c r="E6276" s="2" t="s">
        <v>189</v>
      </c>
    </row>
    <row r="6277" spans="1:5" x14ac:dyDescent="0.2">
      <c r="A6277">
        <v>6216</v>
      </c>
      <c r="B6277" s="1832">
        <f>'Acct Summary 7-8'!D83</f>
        <v>0.19809098142576523</v>
      </c>
      <c r="D6277" s="2" t="str">
        <f t="shared" si="97"/>
        <v>Error?</v>
      </c>
      <c r="E6277" s="2" t="s">
        <v>189</v>
      </c>
    </row>
    <row r="6278" spans="1:5" x14ac:dyDescent="0.2">
      <c r="A6278">
        <v>6217</v>
      </c>
      <c r="B6278" s="1832">
        <f>'Acct Summary 7-8'!E83</f>
        <v>3.5299539170506912E-2</v>
      </c>
      <c r="D6278" s="2" t="str">
        <f t="shared" si="97"/>
        <v>Error?</v>
      </c>
      <c r="E6278" s="2" t="s">
        <v>189</v>
      </c>
    </row>
    <row r="6279" spans="1:5" x14ac:dyDescent="0.2">
      <c r="A6279">
        <v>6218</v>
      </c>
      <c r="B6279" s="1832">
        <f>'Acct Summary 7-8'!F83</f>
        <v>0.57753796576809524</v>
      </c>
      <c r="D6279" s="2" t="str">
        <f t="shared" si="97"/>
        <v>Error?</v>
      </c>
      <c r="E6279" s="2" t="s">
        <v>189</v>
      </c>
    </row>
    <row r="6280" spans="1:5" x14ac:dyDescent="0.2">
      <c r="A6280">
        <v>6219</v>
      </c>
      <c r="B6280" s="1832">
        <f>'Acct Summary 7-8'!G83</f>
        <v>7.5104359132279475E-3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2.5659460595882963E-2</v>
      </c>
      <c r="D6282" s="2" t="str">
        <f t="shared" si="97"/>
        <v>Error?</v>
      </c>
      <c r="E6282" s="2" t="s">
        <v>189</v>
      </c>
    </row>
    <row r="6283" spans="1:5" x14ac:dyDescent="0.2">
      <c r="A6283">
        <v>6222</v>
      </c>
      <c r="B6283" s="1832">
        <f>'Acct Summary 7-8'!J83</f>
        <v>3.1663919049513954E-2</v>
      </c>
      <c r="D6283" s="2" t="str">
        <f t="shared" si="97"/>
        <v>Error?</v>
      </c>
      <c r="E6283" s="2" t="s">
        <v>189</v>
      </c>
    </row>
    <row r="6284" spans="1:5" x14ac:dyDescent="0.2">
      <c r="A6284">
        <v>6223</v>
      </c>
      <c r="B6284" s="1832">
        <f>'Acct Summary 7-8'!K83</f>
        <v>0.15040525325706133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234811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234811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982</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982</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3600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235793</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6141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233565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235793</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6242</v>
      </c>
      <c r="D7067" s="2" t="str">
        <f t="shared" si="109"/>
        <v>Error?</v>
      </c>
    </row>
    <row r="7068" spans="1:4" x14ac:dyDescent="0.2">
      <c r="A7068">
        <v>7007</v>
      </c>
      <c r="B7068" s="1832">
        <f>'Expenditures 15-22'!K205</f>
        <v>6242</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41590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41590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18868</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18868</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139989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139989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10526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10526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22592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22592</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233565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233565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233565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233565</v>
      </c>
      <c r="D7224" s="2" t="str">
        <f t="shared" si="111"/>
        <v>Error?</v>
      </c>
    </row>
    <row r="7225" spans="1:4" x14ac:dyDescent="0.2">
      <c r="A7225">
        <v>7164</v>
      </c>
      <c r="B7225" s="1832">
        <f>'Expenditures 15-22'!K343</f>
        <v>2228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472608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3600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7868</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11468</v>
      </c>
      <c r="D7719" s="2" t="str">
        <f t="shared" si="126"/>
        <v>Error?</v>
      </c>
      <c r="E7719" s="2" t="s">
        <v>822</v>
      </c>
    </row>
    <row r="7720" spans="1:6" x14ac:dyDescent="0.2">
      <c r="A7720">
        <v>7659</v>
      </c>
      <c r="B7720" s="1832">
        <f>'Rest Tax Levies-Tort Im 25'!H14</f>
        <v>32037</v>
      </c>
      <c r="D7720" s="2" t="str">
        <f t="shared" si="126"/>
        <v>Error?</v>
      </c>
      <c r="E7720" s="2" t="s">
        <v>822</v>
      </c>
    </row>
    <row r="7721" spans="1:6" x14ac:dyDescent="0.2">
      <c r="A7721">
        <v>7660</v>
      </c>
      <c r="B7721" s="1832">
        <f>'Rest Tax Levies-Tort Im 25'!K14</f>
        <v>11468</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11468</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1100797</v>
      </c>
      <c r="D7817" s="2" t="str">
        <f t="shared" si="128"/>
        <v>Error?</v>
      </c>
      <c r="E7817" s="4" t="s">
        <v>1963</v>
      </c>
    </row>
    <row r="7818" spans="1:5" x14ac:dyDescent="0.2">
      <c r="A7818">
        <v>7757</v>
      </c>
      <c r="B7818" s="1832">
        <f>'PCTC-OEPP 27-28'!F172</f>
        <v>500262</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15427946</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1698536</v>
      </c>
      <c r="D7834" s="2" t="str">
        <f t="shared" si="129"/>
        <v>Error?</v>
      </c>
      <c r="E7834" s="4" t="s">
        <v>1995</v>
      </c>
    </row>
    <row r="7835" spans="1:5" x14ac:dyDescent="0.2">
      <c r="A7835">
        <v>7774</v>
      </c>
      <c r="B7835" s="1832">
        <f>'PCTC-OEPP 27-28'!F78</f>
        <v>13729410</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12650.336312540312</v>
      </c>
      <c r="D7837" s="2" t="str">
        <f t="shared" si="129"/>
        <v>Error?</v>
      </c>
      <c r="E7837" s="4" t="s">
        <v>1995</v>
      </c>
    </row>
    <row r="7838" spans="1:5" x14ac:dyDescent="0.2">
      <c r="A7838">
        <v>7777</v>
      </c>
      <c r="B7838" s="1832">
        <f>'PCTC-OEPP 27-28'!F96</f>
        <v>68300</v>
      </c>
      <c r="D7838" s="2" t="str">
        <f t="shared" si="129"/>
        <v>Error?</v>
      </c>
      <c r="E7838" s="4" t="s">
        <v>1995</v>
      </c>
    </row>
    <row r="7839" spans="1:5" x14ac:dyDescent="0.2">
      <c r="A7839">
        <v>7778</v>
      </c>
      <c r="B7839" s="1832">
        <f>'PCTC-OEPP 27-28'!F102</f>
        <v>5886</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432915</v>
      </c>
      <c r="D7842" s="2" t="str">
        <f t="shared" si="129"/>
        <v>Error?</v>
      </c>
      <c r="E7842" s="4" t="s">
        <v>1995</v>
      </c>
    </row>
    <row r="7843" spans="1:5" x14ac:dyDescent="0.2">
      <c r="A7843">
        <v>7782</v>
      </c>
      <c r="B7843" s="1832">
        <f>'PCTC-OEPP 27-28'!F107</f>
        <v>6141</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7868</v>
      </c>
      <c r="D7846" s="2" t="str">
        <f t="shared" si="129"/>
        <v>Error?</v>
      </c>
      <c r="E7846" s="4" t="s">
        <v>1995</v>
      </c>
    </row>
    <row r="7847" spans="1:5" x14ac:dyDescent="0.2">
      <c r="A7847">
        <v>7786</v>
      </c>
      <c r="B7847" s="1832">
        <f>'PCTC-OEPP 27-28'!F112</f>
        <v>353408</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206530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22615</v>
      </c>
      <c r="D7857" s="2" t="str">
        <f t="shared" si="129"/>
        <v>Error?</v>
      </c>
      <c r="E7857" s="4" t="s">
        <v>1995</v>
      </c>
    </row>
    <row r="7858" spans="1:5" x14ac:dyDescent="0.2">
      <c r="A7858">
        <v>7797</v>
      </c>
      <c r="B7858" s="1832">
        <f>'PCTC-OEPP 27-28'!F126</f>
        <v>509498</v>
      </c>
      <c r="D7858" s="2" t="str">
        <f t="shared" si="129"/>
        <v>Error?</v>
      </c>
      <c r="E7858" s="4" t="s">
        <v>1995</v>
      </c>
    </row>
    <row r="7859" spans="1:5" x14ac:dyDescent="0.2">
      <c r="A7859">
        <v>7798</v>
      </c>
      <c r="B7859" s="1832">
        <f>'PCTC-OEPP 27-28'!F127</f>
        <v>892907</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232253</v>
      </c>
      <c r="D7861" s="2" t="str">
        <f t="shared" si="129"/>
        <v>Error?</v>
      </c>
      <c r="E7861" s="4" t="s">
        <v>1995</v>
      </c>
    </row>
    <row r="7862" spans="1:5" x14ac:dyDescent="0.2">
      <c r="A7862">
        <v>7801</v>
      </c>
      <c r="B7862" s="1832">
        <f>'PCTC-OEPP 27-28'!F130</f>
        <v>3832</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74145</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19487</v>
      </c>
      <c r="D7874" s="2" t="str">
        <f t="shared" si="129"/>
        <v>Error?</v>
      </c>
      <c r="E7874" s="4" t="s">
        <v>1995</v>
      </c>
    </row>
    <row r="7875" spans="1:5" x14ac:dyDescent="0.2">
      <c r="A7875">
        <v>7814</v>
      </c>
      <c r="B7875" s="1832">
        <f>'PCTC-OEPP 27-28'!F170</f>
        <v>95804</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3475274</v>
      </c>
      <c r="D7877" s="2" t="str">
        <f t="shared" si="129"/>
        <v>Error?</v>
      </c>
      <c r="E7877" s="4" t="s">
        <v>1995</v>
      </c>
    </row>
    <row r="7878" spans="1:5" x14ac:dyDescent="0.2">
      <c r="A7878">
        <v>7817</v>
      </c>
      <c r="B7878" s="1832">
        <f>'PCTC-OEPP 27-28'!F176</f>
        <v>10254136</v>
      </c>
      <c r="D7878" s="2" t="str">
        <f t="shared" si="129"/>
        <v>Error?</v>
      </c>
      <c r="E7878" s="4" t="s">
        <v>1995</v>
      </c>
    </row>
    <row r="7879" spans="1:5" x14ac:dyDescent="0.2">
      <c r="A7879">
        <v>7818</v>
      </c>
      <c r="B7879" s="1832">
        <f>'PCTC-OEPP 27-28'!F178</f>
        <v>10726744</v>
      </c>
      <c r="D7879" s="2" t="str">
        <f t="shared" si="129"/>
        <v>Error?</v>
      </c>
      <c r="E7879" s="4" t="s">
        <v>1995</v>
      </c>
    </row>
    <row r="7880" spans="1:5" x14ac:dyDescent="0.2">
      <c r="A7880">
        <v>7819</v>
      </c>
      <c r="B7880" s="1832">
        <f>'PCTC-OEPP 27-28'!F180</f>
        <v>9883.6671887957255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HOOPESTON AREA CUSD #11</v>
      </c>
      <c r="B7" s="2539"/>
      <c r="C7" s="2539"/>
      <c r="D7" s="2540"/>
      <c r="E7" s="2541" t="str">
        <f>COVER!A13</f>
        <v>54-092-0110-26</v>
      </c>
      <c r="F7" s="2542"/>
      <c r="G7" s="2548" t="str">
        <f>COVER!T23</f>
        <v>065.018319</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RUSSELL LEIGH &amp; ASSOCIATES LLC</v>
      </c>
      <c r="H9" s="2554"/>
      <c r="I9" s="2554"/>
      <c r="J9" s="2554"/>
      <c r="K9" s="2554"/>
      <c r="L9" s="2555"/>
    </row>
    <row r="10" spans="1:29" ht="13.5" customHeight="1" x14ac:dyDescent="0.2">
      <c r="A10" s="2527" t="str">
        <f>COVER!A38</f>
        <v>Robert Richardson</v>
      </c>
      <c r="B10" s="2528"/>
      <c r="C10" s="2528"/>
      <c r="D10" s="2528"/>
      <c r="E10" s="2528"/>
      <c r="F10" s="2529"/>
      <c r="G10" s="2521" t="str">
        <f>COVER!T17</f>
        <v>228 E MAIN ST</v>
      </c>
      <c r="H10" s="2522"/>
      <c r="I10" s="2522"/>
      <c r="J10" s="2522"/>
      <c r="K10" s="2522"/>
      <c r="L10" s="2523"/>
    </row>
    <row r="11" spans="1:29" ht="13.5" customHeight="1" x14ac:dyDescent="0.2">
      <c r="A11" s="963" t="s">
        <v>1502</v>
      </c>
      <c r="B11" s="964"/>
      <c r="C11" s="965"/>
      <c r="D11" s="970"/>
      <c r="E11" s="965"/>
      <c r="F11" s="969"/>
      <c r="G11" s="2521" t="str">
        <f>COVER!T19</f>
        <v>HOOPESTON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admin@russleigh.com</v>
      </c>
      <c r="J13" s="2534"/>
      <c r="K13" s="2534"/>
      <c r="L13" s="2535"/>
    </row>
    <row r="14" spans="1:29" ht="13.5" customHeight="1" x14ac:dyDescent="0.2">
      <c r="A14" s="2521" t="str">
        <f>COVER!A19</f>
        <v>615 E ORANGE</v>
      </c>
      <c r="B14" s="2522"/>
      <c r="C14" s="2522"/>
      <c r="D14" s="2522"/>
      <c r="E14" s="2522"/>
      <c r="F14" s="2523"/>
      <c r="G14" s="974" t="s">
        <v>1175</v>
      </c>
      <c r="H14" s="972"/>
      <c r="I14" s="972"/>
      <c r="J14" s="972"/>
      <c r="K14" s="972"/>
      <c r="L14" s="973"/>
    </row>
    <row r="15" spans="1:29" ht="13.5" customHeight="1" x14ac:dyDescent="0.2">
      <c r="A15" s="2521" t="str">
        <f>COVER!A21</f>
        <v>HOOPESTON</v>
      </c>
      <c r="B15" s="2522"/>
      <c r="C15" s="2522"/>
      <c r="D15" s="2522"/>
      <c r="E15" s="2522"/>
      <c r="F15" s="2523"/>
      <c r="G15" s="2518" t="str">
        <f>COVER!T15</f>
        <v>RUSS LEIGH</v>
      </c>
      <c r="H15" s="2519"/>
      <c r="I15" s="2519"/>
      <c r="J15" s="2519"/>
      <c r="K15" s="2519"/>
      <c r="L15" s="2520"/>
    </row>
    <row r="16" spans="1:29" ht="12.2" customHeight="1" x14ac:dyDescent="0.2">
      <c r="A16" s="2544">
        <f>COVER!A25</f>
        <v>60942</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217-283-9336</v>
      </c>
      <c r="H18" s="2539"/>
      <c r="I18" s="2539"/>
      <c r="J18" s="2539"/>
      <c r="K18" s="2538" t="str">
        <f>COVER!X21</f>
        <v>217-283-9736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HOOPESTON AREA CUSD #11</v>
      </c>
      <c r="B1" s="2561"/>
      <c r="C1" s="2561"/>
      <c r="D1" s="2561"/>
    </row>
    <row r="2" spans="1:11" s="991" customFormat="1" ht="12.75" x14ac:dyDescent="0.2">
      <c r="A2" s="2562" t="str">
        <f>'Single Audit Cover'!E7</f>
        <v>54-092-0110-26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HOOPESTON AREA CUSD #11</v>
      </c>
      <c r="B1" s="2565"/>
      <c r="C1" s="2565"/>
      <c r="D1" s="2565"/>
      <c r="E1" s="2565"/>
    </row>
    <row r="2" spans="1:5" x14ac:dyDescent="0.2">
      <c r="A2" s="2566" t="str">
        <f>'Single Audit Cover'!E7</f>
        <v>54-092-0110-26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1865938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69003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-95804</v>
      </c>
    </row>
    <row r="19" spans="1:4" ht="13.5" thickBot="1" x14ac:dyDescent="0.25">
      <c r="A19" s="1041" t="s">
        <v>1224</v>
      </c>
      <c r="D19" s="1042">
        <f>SUM(D10:D17)</f>
        <v>1839137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1839137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1839137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5D2BD-9713-451B-A3AB-9BA45CD07D60}">
  <dimension ref="B1:N152"/>
  <sheetViews>
    <sheetView showGridLines="0" topLeftCell="A4" zoomScaleNormal="100" workbookViewId="0">
      <selection activeCell="I27" sqref="I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HOOPESTON AREA CUSD #11</v>
      </c>
      <c r="C1" s="2569"/>
      <c r="D1" s="2569"/>
      <c r="E1" s="2569"/>
      <c r="F1" s="2569"/>
      <c r="G1" s="2569"/>
      <c r="H1" s="2569"/>
      <c r="I1" s="2569"/>
      <c r="J1" s="2569"/>
      <c r="K1" s="2569"/>
      <c r="L1" s="2569"/>
      <c r="M1" s="2569"/>
    </row>
    <row r="2" spans="2:14" ht="15" x14ac:dyDescent="0.2">
      <c r="B2" s="2570" t="str">
        <f>'Single Audit Cover'!E7</f>
        <v>54-092-0110-26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2120</v>
      </c>
      <c r="C11" s="1821">
        <v>84.01</v>
      </c>
      <c r="D11" s="1822">
        <v>4300</v>
      </c>
      <c r="E11" s="1823"/>
      <c r="F11" s="1823">
        <v>560741</v>
      </c>
      <c r="G11" s="1823"/>
      <c r="H11" s="1823"/>
      <c r="I11" s="1823">
        <v>615184</v>
      </c>
      <c r="J11" s="1823"/>
      <c r="K11" s="1823"/>
      <c r="L11" s="1823">
        <f>+G11+I11+K11</f>
        <v>615184</v>
      </c>
      <c r="M11" s="1823">
        <v>650000</v>
      </c>
    </row>
    <row r="12" spans="2:14" ht="20.100000000000001" customHeight="1" x14ac:dyDescent="0.2">
      <c r="B12" s="1113" t="s">
        <v>2121</v>
      </c>
      <c r="C12" s="1824">
        <v>84.010999999999996</v>
      </c>
      <c r="D12" s="1825">
        <v>4310</v>
      </c>
      <c r="E12" s="1826"/>
      <c r="F12" s="1826">
        <v>143864</v>
      </c>
      <c r="G12" s="1826"/>
      <c r="H12" s="1826"/>
      <c r="I12" s="1826">
        <v>143864</v>
      </c>
      <c r="J12" s="1826"/>
      <c r="K12" s="1826"/>
      <c r="L12" s="1823">
        <f t="shared" ref="L12:L27" si="0">+G12+I12+K12</f>
        <v>143864</v>
      </c>
      <c r="M12" s="1826">
        <v>150000</v>
      </c>
    </row>
    <row r="13" spans="2:14" ht="20.100000000000001" customHeight="1" x14ac:dyDescent="0.2">
      <c r="B13" s="1113" t="s">
        <v>2122</v>
      </c>
      <c r="C13" s="1824" t="s">
        <v>2123</v>
      </c>
      <c r="D13" s="1825">
        <v>4600</v>
      </c>
      <c r="E13" s="1826"/>
      <c r="F13" s="1826">
        <v>15397</v>
      </c>
      <c r="G13" s="1826"/>
      <c r="H13" s="1826"/>
      <c r="I13" s="1826">
        <v>15397</v>
      </c>
      <c r="J13" s="1826"/>
      <c r="K13" s="1826"/>
      <c r="L13" s="1823">
        <f t="shared" si="0"/>
        <v>15397</v>
      </c>
      <c r="M13" s="1826"/>
    </row>
    <row r="14" spans="2:14" ht="20.100000000000001" customHeight="1" x14ac:dyDescent="0.2">
      <c r="B14" s="1113" t="s">
        <v>2124</v>
      </c>
      <c r="C14" s="1824" t="s">
        <v>2123</v>
      </c>
      <c r="D14" s="1825">
        <v>4620</v>
      </c>
      <c r="E14" s="1826"/>
      <c r="F14" s="1826">
        <v>232253</v>
      </c>
      <c r="G14" s="1826"/>
      <c r="H14" s="1826"/>
      <c r="I14" s="1826">
        <v>232253</v>
      </c>
      <c r="J14" s="1826"/>
      <c r="K14" s="1826"/>
      <c r="L14" s="1823">
        <f t="shared" si="0"/>
        <v>232253</v>
      </c>
      <c r="M14" s="1826">
        <v>240000</v>
      </c>
    </row>
    <row r="15" spans="2:14" ht="20.100000000000001" customHeight="1" x14ac:dyDescent="0.2">
      <c r="B15" s="1113" t="s">
        <v>2125</v>
      </c>
      <c r="C15" s="1824" t="s">
        <v>2123</v>
      </c>
      <c r="D15" s="1825">
        <v>4625</v>
      </c>
      <c r="E15" s="1826"/>
      <c r="F15" s="1826">
        <v>3832</v>
      </c>
      <c r="G15" s="1826"/>
      <c r="H15" s="1826"/>
      <c r="I15" s="1826">
        <v>3832</v>
      </c>
      <c r="J15" s="1826"/>
      <c r="K15" s="1826"/>
      <c r="L15" s="1823">
        <f t="shared" si="0"/>
        <v>3832</v>
      </c>
      <c r="M15" s="1826"/>
    </row>
    <row r="16" spans="2:14" ht="20.100000000000001" customHeight="1" x14ac:dyDescent="0.2">
      <c r="B16" s="1113" t="s">
        <v>2127</v>
      </c>
      <c r="C16" s="1824" t="s">
        <v>2126</v>
      </c>
      <c r="D16" s="1825">
        <v>4932</v>
      </c>
      <c r="E16" s="1826">
        <v>14800</v>
      </c>
      <c r="F16" s="1826">
        <v>36245</v>
      </c>
      <c r="G16" s="1826">
        <v>51045</v>
      </c>
      <c r="H16" s="1826"/>
      <c r="I16" s="1826"/>
      <c r="J16" s="1826"/>
      <c r="K16" s="1826"/>
      <c r="L16" s="1823">
        <f t="shared" si="0"/>
        <v>51045</v>
      </c>
      <c r="M16" s="1826"/>
    </row>
    <row r="17" spans="2:14" ht="20.100000000000001" customHeight="1" x14ac:dyDescent="0.2">
      <c r="B17" s="1113" t="s">
        <v>2128</v>
      </c>
      <c r="C17" s="1824" t="s">
        <v>2126</v>
      </c>
      <c r="D17" s="1825">
        <v>4932</v>
      </c>
      <c r="E17" s="1826"/>
      <c r="F17" s="1826">
        <v>37900</v>
      </c>
      <c r="G17" s="1826"/>
      <c r="H17" s="1826"/>
      <c r="I17" s="1826">
        <v>107834</v>
      </c>
      <c r="J17" s="1826"/>
      <c r="K17" s="1826"/>
      <c r="L17" s="1823">
        <f t="shared" si="0"/>
        <v>107834</v>
      </c>
      <c r="M17" s="1826">
        <v>120000</v>
      </c>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2129</v>
      </c>
      <c r="C19" s="1824"/>
      <c r="D19" s="1825"/>
      <c r="E19" s="1826">
        <v>340469</v>
      </c>
      <c r="F19" s="1826">
        <v>1241149</v>
      </c>
      <c r="G19" s="1826">
        <v>407801</v>
      </c>
      <c r="H19" s="1826"/>
      <c r="I19" s="1826">
        <v>1298194</v>
      </c>
      <c r="J19" s="1826"/>
      <c r="K19" s="1826"/>
      <c r="L19" s="1823">
        <f t="shared" si="0"/>
        <v>1705995</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2130</v>
      </c>
      <c r="C22" s="1824"/>
      <c r="D22" s="1825"/>
      <c r="E22" s="1826"/>
      <c r="F22" s="1826"/>
      <c r="G22" s="1826"/>
      <c r="H22" s="1826"/>
      <c r="I22" s="1826"/>
      <c r="J22" s="1826"/>
      <c r="K22" s="1826"/>
      <c r="L22" s="1823">
        <f t="shared" si="0"/>
        <v>0</v>
      </c>
      <c r="M22" s="1826"/>
    </row>
    <row r="23" spans="2:14" ht="20.100000000000001" customHeight="1" x14ac:dyDescent="0.2">
      <c r="B23" s="1113" t="s">
        <v>2131</v>
      </c>
      <c r="C23" s="1824"/>
      <c r="D23" s="1825"/>
      <c r="E23" s="1826"/>
      <c r="F23" s="1826"/>
      <c r="G23" s="1826"/>
      <c r="H23" s="1826"/>
      <c r="I23" s="1826"/>
      <c r="J23" s="1826"/>
      <c r="K23" s="1826"/>
      <c r="L23" s="1823">
        <f t="shared" si="0"/>
        <v>0</v>
      </c>
      <c r="M23" s="1826"/>
    </row>
    <row r="24" spans="2:14" ht="20.100000000000001" customHeight="1" x14ac:dyDescent="0.2">
      <c r="B24" s="1113" t="s">
        <v>2132</v>
      </c>
      <c r="C24" s="1824">
        <v>93.778000000000006</v>
      </c>
      <c r="D24" s="1825">
        <v>4900</v>
      </c>
      <c r="E24" s="1826"/>
      <c r="F24" s="1826">
        <v>19487</v>
      </c>
      <c r="G24" s="1826"/>
      <c r="H24" s="1826"/>
      <c r="I24" s="1826">
        <v>19847</v>
      </c>
      <c r="J24" s="1826"/>
      <c r="K24" s="1826"/>
      <c r="L24" s="1823">
        <f t="shared" si="0"/>
        <v>19847</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2133</v>
      </c>
      <c r="C26" s="1824"/>
      <c r="D26" s="1825"/>
      <c r="E26" s="1826"/>
      <c r="F26" s="1826">
        <v>19487</v>
      </c>
      <c r="G26" s="1826"/>
      <c r="H26" s="1826"/>
      <c r="I26" s="1826">
        <v>19847</v>
      </c>
      <c r="J26" s="1826"/>
      <c r="K26" s="1826"/>
      <c r="L26" s="1823">
        <f t="shared" si="0"/>
        <v>19847</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F8CA-93CD-4190-BD16-F20B35A8E3AE}">
  <dimension ref="B1:N152"/>
  <sheetViews>
    <sheetView showGridLines="0" topLeftCell="A10" zoomScaleNormal="100" workbookViewId="0">
      <selection activeCell="I28" sqref="I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HOOPESTON AREA CUSD #11</v>
      </c>
      <c r="C1" s="2569"/>
      <c r="D1" s="2569"/>
      <c r="E1" s="2569"/>
      <c r="F1" s="2569"/>
      <c r="G1" s="2569"/>
      <c r="H1" s="2569"/>
      <c r="I1" s="2569"/>
      <c r="J1" s="2569"/>
      <c r="K1" s="2569"/>
      <c r="L1" s="2569"/>
      <c r="M1" s="2569"/>
    </row>
    <row r="2" spans="2:14" ht="15" x14ac:dyDescent="0.2">
      <c r="B2" s="2570" t="str">
        <f>'Single Audit Cover'!E7</f>
        <v>54-092-0110-26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2104</v>
      </c>
      <c r="C11" s="1821"/>
      <c r="D11" s="1822"/>
      <c r="E11" s="1823"/>
      <c r="F11" s="1823"/>
      <c r="G11" s="1823"/>
      <c r="H11" s="1823"/>
      <c r="I11" s="1823"/>
      <c r="J11" s="1823"/>
      <c r="K11" s="1823"/>
      <c r="L11" s="1823">
        <f>+G11+I11+K11</f>
        <v>0</v>
      </c>
      <c r="M11" s="1823"/>
    </row>
    <row r="12" spans="2:14" ht="20.100000000000001" customHeight="1" x14ac:dyDescent="0.2">
      <c r="B12" s="1113" t="s">
        <v>2105</v>
      </c>
      <c r="C12" s="1824"/>
      <c r="D12" s="1825"/>
      <c r="E12" s="1826"/>
      <c r="F12" s="1826"/>
      <c r="G12" s="1826"/>
      <c r="H12" s="1826"/>
      <c r="I12" s="1826"/>
      <c r="J12" s="1826"/>
      <c r="K12" s="1826"/>
      <c r="L12" s="1823">
        <f t="shared" ref="L12:L27" si="0">+G12+I12+K12</f>
        <v>0</v>
      </c>
      <c r="M12" s="1826"/>
    </row>
    <row r="13" spans="2:14" ht="20.100000000000001" customHeight="1" x14ac:dyDescent="0.2">
      <c r="B13" s="1113" t="s">
        <v>2110</v>
      </c>
      <c r="C13" s="1824">
        <v>10.555</v>
      </c>
      <c r="D13" s="1825">
        <v>4210</v>
      </c>
      <c r="E13" s="1826">
        <v>335125</v>
      </c>
      <c r="F13" s="1826">
        <v>129840</v>
      </c>
      <c r="G13" s="1826">
        <v>335125</v>
      </c>
      <c r="H13" s="1826"/>
      <c r="I13" s="1826">
        <v>129840</v>
      </c>
      <c r="J13" s="1826"/>
      <c r="K13" s="1826"/>
      <c r="L13" s="1823">
        <f t="shared" si="0"/>
        <v>464965</v>
      </c>
      <c r="M13" s="1826"/>
    </row>
    <row r="14" spans="2:14" ht="20.100000000000001" customHeight="1" x14ac:dyDescent="0.2">
      <c r="B14" s="1113" t="s">
        <v>2111</v>
      </c>
      <c r="C14" s="1824">
        <v>10.555</v>
      </c>
      <c r="D14" s="1825">
        <v>4210</v>
      </c>
      <c r="E14" s="1826"/>
      <c r="F14" s="1826">
        <v>270865</v>
      </c>
      <c r="G14" s="1826"/>
      <c r="H14" s="1826"/>
      <c r="I14" s="1826">
        <v>270865</v>
      </c>
      <c r="J14" s="1826"/>
      <c r="K14" s="1826"/>
      <c r="L14" s="1823">
        <f t="shared" si="0"/>
        <v>270865</v>
      </c>
      <c r="M14" s="1826">
        <v>384000</v>
      </c>
    </row>
    <row r="15" spans="2:14" ht="20.100000000000001" customHeight="1" x14ac:dyDescent="0.2">
      <c r="B15" s="1113" t="s">
        <v>2106</v>
      </c>
      <c r="C15" s="1824">
        <v>10.555999999999999</v>
      </c>
      <c r="D15" s="1825">
        <v>4215</v>
      </c>
      <c r="E15" s="1826">
        <v>989</v>
      </c>
      <c r="F15" s="1826">
        <v>387</v>
      </c>
      <c r="G15" s="1826">
        <v>989</v>
      </c>
      <c r="H15" s="1826"/>
      <c r="I15" s="1826">
        <v>387</v>
      </c>
      <c r="J15" s="1826"/>
      <c r="K15" s="1826"/>
      <c r="L15" s="1823">
        <f t="shared" si="0"/>
        <v>1376</v>
      </c>
      <c r="M15" s="1826"/>
    </row>
    <row r="16" spans="2:14" ht="20.100000000000001" customHeight="1" x14ac:dyDescent="0.2">
      <c r="B16" s="1113" t="s">
        <v>2107</v>
      </c>
      <c r="C16" s="1824">
        <v>10.555999999999999</v>
      </c>
      <c r="D16" s="1825">
        <v>4215</v>
      </c>
      <c r="E16" s="1826"/>
      <c r="F16" s="1826">
        <v>755</v>
      </c>
      <c r="G16" s="1826"/>
      <c r="H16" s="1826"/>
      <c r="I16" s="1826">
        <v>755</v>
      </c>
      <c r="J16" s="1826"/>
      <c r="K16" s="1826"/>
      <c r="L16" s="1823">
        <f t="shared" si="0"/>
        <v>755</v>
      </c>
      <c r="M16" s="1826"/>
    </row>
    <row r="17" spans="2:14" ht="20.100000000000001" customHeight="1" x14ac:dyDescent="0.2">
      <c r="B17" s="1113" t="s">
        <v>2108</v>
      </c>
      <c r="C17" s="1824">
        <v>10.553000000000001</v>
      </c>
      <c r="D17" s="1825">
        <v>4220</v>
      </c>
      <c r="E17" s="1826">
        <v>88086</v>
      </c>
      <c r="F17" s="1826">
        <v>32030</v>
      </c>
      <c r="G17" s="1826">
        <v>88086</v>
      </c>
      <c r="H17" s="1826"/>
      <c r="I17" s="1826">
        <v>32030</v>
      </c>
      <c r="J17" s="1826"/>
      <c r="K17" s="1826"/>
      <c r="L17" s="1823">
        <f t="shared" si="0"/>
        <v>120116</v>
      </c>
      <c r="M17" s="1826"/>
    </row>
    <row r="18" spans="2:14" ht="20.100000000000001" customHeight="1" x14ac:dyDescent="0.2">
      <c r="B18" s="1113" t="s">
        <v>2109</v>
      </c>
      <c r="C18" s="1824">
        <v>10.553000000000001</v>
      </c>
      <c r="D18" s="1825">
        <v>4220</v>
      </c>
      <c r="E18" s="1826"/>
      <c r="F18" s="1826">
        <v>75621</v>
      </c>
      <c r="G18" s="1826"/>
      <c r="H18" s="1826"/>
      <c r="I18" s="1826">
        <v>75621</v>
      </c>
      <c r="J18" s="1826"/>
      <c r="K18" s="1826"/>
      <c r="L18" s="1823">
        <f t="shared" si="0"/>
        <v>75621</v>
      </c>
      <c r="M18" s="1826">
        <v>89000</v>
      </c>
    </row>
    <row r="19" spans="2:14" ht="20.100000000000001" customHeight="1" x14ac:dyDescent="0.2">
      <c r="B19" s="1113" t="s">
        <v>2112</v>
      </c>
      <c r="C19" s="1824">
        <v>10.55</v>
      </c>
      <c r="D19" s="1825">
        <v>4250</v>
      </c>
      <c r="E19" s="1826"/>
      <c r="F19" s="1826">
        <v>49461</v>
      </c>
      <c r="G19" s="1826"/>
      <c r="H19" s="1826"/>
      <c r="I19" s="1826">
        <v>49461</v>
      </c>
      <c r="J19" s="1826"/>
      <c r="K19" s="1826"/>
      <c r="L19" s="1823">
        <f t="shared" si="0"/>
        <v>49461</v>
      </c>
      <c r="M19" s="1826"/>
    </row>
    <row r="20" spans="2:14" ht="20.100000000000001" customHeight="1" x14ac:dyDescent="0.2">
      <c r="B20" s="1113" t="s">
        <v>2113</v>
      </c>
      <c r="C20" s="1824">
        <v>10.55</v>
      </c>
      <c r="D20" s="1825">
        <v>4250</v>
      </c>
      <c r="E20" s="1826"/>
      <c r="F20" s="1826">
        <v>19542</v>
      </c>
      <c r="G20" s="1826"/>
      <c r="H20" s="1826"/>
      <c r="I20" s="1826">
        <v>19542</v>
      </c>
      <c r="J20" s="1826"/>
      <c r="K20" s="1826"/>
      <c r="L20" s="1823">
        <f t="shared" si="0"/>
        <v>19542</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2114</v>
      </c>
      <c r="C22" s="1824"/>
      <c r="D22" s="1825"/>
      <c r="E22" s="1826">
        <v>424200</v>
      </c>
      <c r="F22" s="1826">
        <v>578501</v>
      </c>
      <c r="G22" s="1826">
        <v>424200</v>
      </c>
      <c r="H22" s="1826"/>
      <c r="I22" s="1826">
        <v>578501</v>
      </c>
      <c r="J22" s="1826"/>
      <c r="K22" s="1826"/>
      <c r="L22" s="1823">
        <f t="shared" si="0"/>
        <v>1002701</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2115</v>
      </c>
      <c r="C24" s="1824"/>
      <c r="D24" s="1825"/>
      <c r="E24" s="1826"/>
      <c r="F24" s="1826"/>
      <c r="G24" s="1826"/>
      <c r="H24" s="1826"/>
      <c r="I24" s="1826"/>
      <c r="J24" s="1826"/>
      <c r="K24" s="1826"/>
      <c r="L24" s="1823">
        <f t="shared" si="0"/>
        <v>0</v>
      </c>
      <c r="M24" s="1826"/>
    </row>
    <row r="25" spans="2:14" ht="20.100000000000001" customHeight="1" x14ac:dyDescent="0.2">
      <c r="B25" s="1113" t="s">
        <v>2116</v>
      </c>
      <c r="C25" s="1824"/>
      <c r="D25" s="1825"/>
      <c r="E25" s="1826"/>
      <c r="F25" s="1826"/>
      <c r="G25" s="1826"/>
      <c r="H25" s="1826"/>
      <c r="I25" s="1826"/>
      <c r="J25" s="1826"/>
      <c r="K25" s="1826"/>
      <c r="L25" s="1823">
        <f t="shared" si="0"/>
        <v>0</v>
      </c>
      <c r="M25" s="1826"/>
    </row>
    <row r="26" spans="2:14" ht="20.100000000000001" customHeight="1" x14ac:dyDescent="0.2">
      <c r="B26" s="1113" t="s">
        <v>2117</v>
      </c>
      <c r="C26" s="1824" t="s">
        <v>2118</v>
      </c>
      <c r="D26" s="1825">
        <v>4107</v>
      </c>
      <c r="E26" s="1826"/>
      <c r="F26" s="1826">
        <v>22615</v>
      </c>
      <c r="G26" s="1826"/>
      <c r="H26" s="1826"/>
      <c r="I26" s="1826">
        <v>22615</v>
      </c>
      <c r="J26" s="1826"/>
      <c r="K26" s="1826"/>
      <c r="L26" s="1823">
        <f t="shared" si="0"/>
        <v>22615</v>
      </c>
      <c r="M26" s="1826">
        <v>22615</v>
      </c>
    </row>
    <row r="27" spans="2:14" ht="20.100000000000001" customHeight="1" x14ac:dyDescent="0.2">
      <c r="B27" s="1113" t="s">
        <v>2119</v>
      </c>
      <c r="C27" s="1824">
        <v>84.01</v>
      </c>
      <c r="D27" s="1825">
        <v>4300</v>
      </c>
      <c r="E27" s="1826">
        <v>325669</v>
      </c>
      <c r="F27" s="1826">
        <v>188302</v>
      </c>
      <c r="G27" s="1826">
        <v>356756</v>
      </c>
      <c r="H27" s="1826"/>
      <c r="I27" s="1826">
        <v>157215</v>
      </c>
      <c r="J27" s="1826"/>
      <c r="K27" s="1826"/>
      <c r="L27" s="1823">
        <f t="shared" si="0"/>
        <v>513971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2066</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3" sqref="I1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HOOPESTON AREA CUSD #11</v>
      </c>
      <c r="C1" s="2569"/>
      <c r="D1" s="2569"/>
      <c r="E1" s="2569"/>
      <c r="F1" s="2569"/>
      <c r="G1" s="2569"/>
      <c r="H1" s="2569"/>
      <c r="I1" s="2569"/>
      <c r="J1" s="2569"/>
      <c r="K1" s="2569"/>
      <c r="L1" s="2569"/>
      <c r="M1" s="2569"/>
    </row>
    <row r="2" spans="2:14" ht="15" x14ac:dyDescent="0.2">
      <c r="B2" s="2570" t="str">
        <f>'Single Audit Cover'!E7</f>
        <v>54-092-0110-26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2134</v>
      </c>
      <c r="C12" s="1824"/>
      <c r="D12" s="1825"/>
      <c r="E12" s="1826">
        <v>764669</v>
      </c>
      <c r="F12" s="1826">
        <v>1839137</v>
      </c>
      <c r="G12" s="1826">
        <v>832001</v>
      </c>
      <c r="H12" s="1826"/>
      <c r="I12" s="1826">
        <v>1896182</v>
      </c>
      <c r="J12" s="1826"/>
      <c r="K12" s="1826"/>
      <c r="L12" s="1823">
        <f t="shared" ref="L12:L27" si="0">+G12+I12+K12</f>
        <v>2728183</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HOOPESTON AREA CUSD #11</v>
      </c>
      <c r="B1" s="2582"/>
      <c r="C1" s="2582"/>
      <c r="D1" s="2582"/>
      <c r="E1" s="2582"/>
      <c r="F1" s="2582"/>
    </row>
    <row r="2" spans="1:7" ht="13.5" customHeight="1" x14ac:dyDescent="0.2">
      <c r="A2" s="2570" t="str">
        <f>'Single Audit Cover'!E7</f>
        <v>54-092-0110-26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2135</v>
      </c>
      <c r="B7" s="2581"/>
      <c r="C7" s="2581"/>
      <c r="D7" s="2581"/>
      <c r="E7" s="2581"/>
      <c r="F7" s="258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2136</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2137</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t="s">
        <v>2138</v>
      </c>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2139</v>
      </c>
      <c r="B32" s="2575"/>
      <c r="C32" s="2575"/>
      <c r="D32" s="2575"/>
      <c r="E32" s="2575"/>
      <c r="F32" s="2575"/>
    </row>
    <row r="33" spans="1:6" ht="13.5" customHeight="1" x14ac:dyDescent="0.2">
      <c r="A33" s="306" t="s">
        <v>1417</v>
      </c>
      <c r="B33" s="306"/>
      <c r="C33" s="1064">
        <v>49461</v>
      </c>
      <c r="D33" s="1526"/>
      <c r="E33" s="1062"/>
    </row>
    <row r="34" spans="1:6" ht="13.5" customHeight="1" x14ac:dyDescent="0.2">
      <c r="A34" s="306" t="s">
        <v>1808</v>
      </c>
      <c r="B34" s="306"/>
      <c r="C34" s="1065">
        <v>19542</v>
      </c>
      <c r="D34" s="1526" t="s">
        <v>1572</v>
      </c>
      <c r="E34" s="2576">
        <f>+C33+C34</f>
        <v>69003</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2140</v>
      </c>
      <c r="D38" s="1526"/>
      <c r="E38" s="1062"/>
    </row>
    <row r="39" spans="1:6" ht="14.25" customHeight="1" x14ac:dyDescent="0.2">
      <c r="A39" s="306"/>
      <c r="B39" s="306" t="s">
        <v>1419</v>
      </c>
      <c r="C39" s="1068" t="s">
        <v>2140</v>
      </c>
      <c r="D39" s="1526"/>
      <c r="E39" s="1062"/>
    </row>
    <row r="40" spans="1:6" ht="14.25" customHeight="1" x14ac:dyDescent="0.2">
      <c r="A40" s="306"/>
      <c r="B40" s="306" t="s">
        <v>1420</v>
      </c>
      <c r="C40" s="1068" t="s">
        <v>2140</v>
      </c>
      <c r="D40" s="1526"/>
      <c r="E40" s="1062"/>
    </row>
    <row r="41" spans="1:6" ht="14.25" customHeight="1" x14ac:dyDescent="0.2">
      <c r="A41" s="306"/>
      <c r="B41" s="306" t="s">
        <v>1421</v>
      </c>
      <c r="C41" s="1068" t="s">
        <v>2140</v>
      </c>
      <c r="D41" s="1526"/>
      <c r="E41" s="1062"/>
    </row>
    <row r="42" spans="1:6" ht="14.25" customHeight="1" x14ac:dyDescent="0.2">
      <c r="A42" s="306" t="s">
        <v>1422</v>
      </c>
      <c r="B42" s="306"/>
      <c r="C42" s="1524" t="s">
        <v>2140</v>
      </c>
      <c r="D42" s="1526"/>
      <c r="E42" s="1062"/>
    </row>
    <row r="43" spans="1:6" ht="14.25" customHeight="1" x14ac:dyDescent="0.2">
      <c r="A43" s="306" t="s">
        <v>1423</v>
      </c>
      <c r="B43" s="306"/>
      <c r="C43" s="1069" t="s">
        <v>2140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4" zoomScale="110" zoomScaleNormal="110" workbookViewId="0">
      <selection activeCell="G51" sqref="G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HOOPESTON AREA CUSD #11</v>
      </c>
      <c r="C1" s="2597"/>
      <c r="D1" s="2597"/>
      <c r="E1" s="2597"/>
      <c r="F1" s="2597"/>
      <c r="G1" s="2597"/>
      <c r="H1" s="2597"/>
      <c r="I1" s="2597"/>
      <c r="J1" s="1178"/>
    </row>
    <row r="2" spans="2:10" s="295" customFormat="1" ht="12.75" customHeight="1" x14ac:dyDescent="0.2">
      <c r="B2" s="2598" t="str">
        <f>'Single Audit Cover'!E7</f>
        <v>54-092-0110-26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t="s">
        <v>2141</v>
      </c>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2136</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2136</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2136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2136</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2136</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t="s">
        <v>2142</v>
      </c>
      <c r="E29" s="2603"/>
      <c r="F29" s="2603"/>
      <c r="G29" s="2603"/>
      <c r="H29" s="2603"/>
      <c r="I29" s="2603"/>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2136</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4" t="s">
        <v>1725</v>
      </c>
      <c r="D37" s="2605"/>
      <c r="E37" s="2605"/>
      <c r="F37" s="2606"/>
      <c r="G37" s="2604" t="s">
        <v>1575</v>
      </c>
      <c r="H37" s="2605"/>
      <c r="I37" s="2606"/>
    </row>
    <row r="38" spans="2:9" ht="16.5" customHeight="1" x14ac:dyDescent="0.2">
      <c r="B38" s="1200">
        <v>10.555</v>
      </c>
      <c r="C38" s="2592" t="s">
        <v>2143</v>
      </c>
      <c r="D38" s="2593"/>
      <c r="E38" s="2593"/>
      <c r="F38" s="2594"/>
      <c r="G38" s="2607">
        <v>469708</v>
      </c>
      <c r="H38" s="2608"/>
      <c r="I38" s="2609"/>
    </row>
    <row r="39" spans="2:9" ht="16.5" customHeight="1" x14ac:dyDescent="0.2">
      <c r="B39" s="1200">
        <v>84.01</v>
      </c>
      <c r="C39" s="2592" t="s">
        <v>2144</v>
      </c>
      <c r="D39" s="2593"/>
      <c r="E39" s="2593"/>
      <c r="F39" s="2594"/>
      <c r="G39" s="2595">
        <v>772399</v>
      </c>
      <c r="H39" s="2595"/>
      <c r="I39" s="2595"/>
    </row>
    <row r="40" spans="2:9" ht="16.5" customHeight="1" x14ac:dyDescent="0.2">
      <c r="B40" s="1200" t="s">
        <v>2123</v>
      </c>
      <c r="C40" s="2592" t="s">
        <v>407</v>
      </c>
      <c r="D40" s="2593"/>
      <c r="E40" s="2593"/>
      <c r="F40" s="2594"/>
      <c r="G40" s="2595">
        <v>250482</v>
      </c>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1492589</v>
      </c>
      <c r="H43" s="2588"/>
      <c r="I43" s="2588"/>
    </row>
    <row r="44" spans="2:9" ht="12.75" customHeight="1" x14ac:dyDescent="0.2"/>
    <row r="45" spans="2:9" ht="12.75" customHeight="1" x14ac:dyDescent="0.2">
      <c r="B45" s="1918" t="str">
        <f>"Total Federal Expenditures for 7/1/"&amp;MID('AFR20'!E2,3,2)-1&amp;"-6/30/"&amp;MID('AFR20'!E2,3,2)</f>
        <v>Total Federal Expenditures for 7/1/19-6/30/20</v>
      </c>
      <c r="C45" s="1919"/>
      <c r="D45" s="2589">
        <v>1896181</v>
      </c>
      <c r="E45" s="2590"/>
    </row>
    <row r="46" spans="2:9" ht="5.25" customHeight="1" x14ac:dyDescent="0.2">
      <c r="B46" s="1201"/>
      <c r="D46" s="1202"/>
      <c r="E46" s="1203"/>
    </row>
    <row r="47" spans="2:9" ht="12.75" customHeight="1" x14ac:dyDescent="0.2">
      <c r="B47" s="1076" t="s">
        <v>1577</v>
      </c>
      <c r="C47" s="1076"/>
      <c r="D47" s="1204">
        <f>+G43/D45</f>
        <v>0.78715534012839494</v>
      </c>
      <c r="E47" s="1205"/>
      <c r="F47" s="1206"/>
      <c r="I47" s="1207"/>
    </row>
    <row r="48" spans="2:9" ht="9.9499999999999993" customHeight="1" x14ac:dyDescent="0.2"/>
    <row r="49" spans="1:9" x14ac:dyDescent="0.2">
      <c r="B49" s="1138" t="s">
        <v>1262</v>
      </c>
      <c r="C49" s="1058"/>
      <c r="D49" s="1058"/>
      <c r="E49" s="2591">
        <v>750000</v>
      </c>
      <c r="F49" s="2591"/>
      <c r="G49" s="2591"/>
      <c r="H49" s="300"/>
    </row>
    <row r="51" spans="1:9" ht="13.5" customHeight="1" x14ac:dyDescent="0.2">
      <c r="B51" s="1138" t="s">
        <v>1261</v>
      </c>
      <c r="C51" s="1058"/>
      <c r="E51" s="1194"/>
      <c r="F51" s="1076" t="s">
        <v>879</v>
      </c>
      <c r="G51" s="1194" t="s">
        <v>2136</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HOOPESTON AREA CUSD #11</v>
      </c>
      <c r="C1" s="2596"/>
      <c r="D1" s="2596"/>
      <c r="E1" s="2596"/>
      <c r="F1" s="2596"/>
      <c r="G1" s="2596"/>
      <c r="H1" s="2596"/>
      <c r="I1" s="2596"/>
      <c r="J1" s="2596"/>
      <c r="K1" s="2596"/>
      <c r="L1" s="1144"/>
      <c r="M1" s="1144"/>
    </row>
    <row r="2" spans="1:13" ht="12" customHeight="1" x14ac:dyDescent="0.2">
      <c r="B2" s="2598" t="str">
        <f>'Single Audit Cover'!E7</f>
        <v>54-092-0110-26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2138</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HOOPESTON AREA CUSD #11</v>
      </c>
      <c r="C1" s="2619"/>
      <c r="D1" s="2619"/>
      <c r="E1" s="2619"/>
      <c r="F1" s="2619"/>
      <c r="G1" s="2619"/>
      <c r="H1" s="2619"/>
      <c r="I1" s="2619"/>
      <c r="J1" s="2619"/>
      <c r="K1" s="2619"/>
      <c r="L1" s="1221"/>
    </row>
    <row r="2" spans="1:12" ht="12.75" customHeight="1" x14ac:dyDescent="0.2">
      <c r="B2" s="2620" t="str">
        <f>'Single Audit Cover'!E7</f>
        <v>54-092-0110-26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2138</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7"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HOOPESTON AREA CUSD #11</v>
      </c>
      <c r="C1" s="2596"/>
      <c r="D1" s="2596"/>
      <c r="E1" s="1240"/>
    </row>
    <row r="2" spans="2:5" s="1058" customFormat="1" ht="12.75" customHeight="1" x14ac:dyDescent="0.2">
      <c r="B2" s="2598" t="str">
        <f>'Single Audit Cover'!E7</f>
        <v>54-092-0110-26</v>
      </c>
      <c r="C2" s="2598"/>
      <c r="D2" s="2598"/>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2138</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84665554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2.9600000000000001E-2</v>
      </c>
      <c r="E10" s="333" t="s">
        <v>998</v>
      </c>
      <c r="F10" s="332">
        <v>5.0000000000000001E-3</v>
      </c>
      <c r="G10" s="333" t="s">
        <v>998</v>
      </c>
      <c r="H10" s="332">
        <v>2E-3</v>
      </c>
      <c r="I10" s="333" t="s">
        <v>999</v>
      </c>
      <c r="J10" s="1424">
        <f>ROUND(D10+F10+H10,5)</f>
        <v>3.6600000000000001E-2</v>
      </c>
      <c r="K10" s="217"/>
      <c r="L10" s="332">
        <v>5.0000000000000001E-4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14903879</v>
      </c>
      <c r="E16" s="1547"/>
      <c r="F16" s="1546">
        <f>SUM('Acct Summary 7-8'!C17,'Acct Summary 7-8'!D17,'Acct Summary 7-8'!F17)</f>
        <v>14450172</v>
      </c>
      <c r="G16" s="1547"/>
      <c r="H16" s="1546">
        <f>SUM(D16-F16)</f>
        <v>453707</v>
      </c>
      <c r="I16" s="1548"/>
      <c r="J16" s="1546">
        <f>SUM('Acct Summary 7-8'!C81,'Acct Summary 7-8'!D81,'Acct Summary 7-8'!F81,'Acct Summary 7-8'!I81)</f>
        <v>10048709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11683846.452000001</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697061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HOOPESTON AREA CUSD #11</v>
      </c>
      <c r="E7" s="368"/>
      <c r="G7" s="247"/>
      <c r="H7" s="364"/>
      <c r="I7" s="364"/>
      <c r="J7" s="364"/>
      <c r="K7" s="364"/>
      <c r="L7" s="307"/>
      <c r="M7" s="307"/>
      <c r="N7" s="307"/>
      <c r="O7" s="307"/>
      <c r="P7" s="307"/>
    </row>
    <row r="8" spans="1:18" ht="12.75" x14ac:dyDescent="0.2">
      <c r="A8" s="307"/>
      <c r="B8" s="307"/>
      <c r="C8" s="366" t="s">
        <v>1115</v>
      </c>
      <c r="D8" s="369" t="str">
        <f>COVER!A13</f>
        <v>54-092-0110-26</v>
      </c>
      <c r="E8" s="370"/>
      <c r="G8" s="307"/>
      <c r="H8" s="307"/>
      <c r="I8" s="307"/>
      <c r="J8" s="307"/>
      <c r="K8" s="307"/>
      <c r="L8" s="307"/>
      <c r="M8" s="307"/>
      <c r="N8" s="307"/>
      <c r="O8" s="307"/>
      <c r="P8" s="307"/>
    </row>
    <row r="9" spans="1:18" ht="12.75" x14ac:dyDescent="0.2">
      <c r="A9" s="307"/>
      <c r="B9" s="307"/>
      <c r="C9" s="366" t="s">
        <v>708</v>
      </c>
      <c r="D9" s="371" t="str">
        <f>COVER!A15</f>
        <v>VERMILION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10048709</v>
      </c>
      <c r="I12" s="380"/>
      <c r="J12" s="380"/>
      <c r="K12" s="1559">
        <f>TRUNC((H12/H13*100000),5)/100000</f>
        <v>0.67423447270000003</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14903879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14450172</v>
      </c>
      <c r="I17" s="380"/>
      <c r="J17" s="389"/>
      <c r="K17" s="1559">
        <f>TRUNC((H17/H18*100000),5)/100000</f>
        <v>0.96955779089999994</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14903879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10048709</v>
      </c>
      <c r="I24" s="394"/>
      <c r="J24" s="394"/>
      <c r="K24" s="1555">
        <f>TRUNC(((H24/H25*100000)/100000),2)</f>
        <v>250.34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40139.366670000003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2633945.3849399998</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697061</v>
      </c>
      <c r="I32" s="392"/>
      <c r="J32" s="392"/>
      <c r="K32" s="1555">
        <f>TRUNC(100-((((H32/H33*100))*100)/100),2)</f>
        <v>94.03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11683846.452000001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6604519</v>
      </c>
      <c r="D4" s="1573">
        <v>321736</v>
      </c>
      <c r="E4" s="1573">
        <v>10850</v>
      </c>
      <c r="F4" s="1573">
        <v>207292</v>
      </c>
      <c r="G4" s="1573">
        <v>642972</v>
      </c>
      <c r="H4" s="1573"/>
      <c r="I4" s="1573">
        <v>2311662</v>
      </c>
      <c r="J4" s="1574">
        <v>70364</v>
      </c>
      <c r="K4" s="1573">
        <v>285994</v>
      </c>
      <c r="L4" s="1573">
        <v>195465</v>
      </c>
      <c r="M4" s="1575"/>
      <c r="N4" s="1576"/>
    </row>
    <row r="5" spans="1:14" x14ac:dyDescent="0.2">
      <c r="A5" s="427" t="s">
        <v>985</v>
      </c>
      <c r="B5" s="429">
        <v>120</v>
      </c>
      <c r="C5" s="1572">
        <v>603500</v>
      </c>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7208019</v>
      </c>
      <c r="D13" s="1587">
        <f t="shared" ref="D13:L13" si="0">SUM(D4:D12)</f>
        <v>321736</v>
      </c>
      <c r="E13" s="1587">
        <f t="shared" si="0"/>
        <v>10850</v>
      </c>
      <c r="F13" s="1587">
        <f t="shared" si="0"/>
        <v>207292</v>
      </c>
      <c r="G13" s="1587">
        <f t="shared" si="0"/>
        <v>642972</v>
      </c>
      <c r="H13" s="1587">
        <f t="shared" si="0"/>
        <v>0</v>
      </c>
      <c r="I13" s="1587">
        <f t="shared" si="0"/>
        <v>2311662</v>
      </c>
      <c r="J13" s="1587">
        <f t="shared" si="0"/>
        <v>70364</v>
      </c>
      <c r="K13" s="1587">
        <f t="shared" si="0"/>
        <v>285994</v>
      </c>
      <c r="L13" s="1587">
        <f t="shared" si="0"/>
        <v>195465</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218431</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6854157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3486594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6568925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10850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686211</v>
      </c>
    </row>
    <row r="23" spans="1:14" ht="13.5" customHeight="1" thickBot="1" x14ac:dyDescent="0.25">
      <c r="A23" s="1426" t="s">
        <v>638</v>
      </c>
      <c r="B23" s="1429"/>
      <c r="C23" s="1575"/>
      <c r="D23" s="1575"/>
      <c r="E23" s="1575"/>
      <c r="F23" s="1575"/>
      <c r="G23" s="1575"/>
      <c r="H23" s="1575"/>
      <c r="I23" s="1575"/>
      <c r="J23" s="1575"/>
      <c r="K23" s="1575"/>
      <c r="L23" s="1575"/>
      <c r="M23" s="1594">
        <f>SUM(M15:M22)</f>
        <v>17128107</v>
      </c>
      <c r="N23" s="1594">
        <f>SUM(N21:N22)</f>
        <v>697061</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195465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195465</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697061</v>
      </c>
    </row>
    <row r="37" spans="1:14" ht="13.5" thickBot="1" x14ac:dyDescent="0.25">
      <c r="A37" s="1426" t="s">
        <v>648</v>
      </c>
      <c r="B37" s="1429"/>
      <c r="C37" s="1582"/>
      <c r="D37" s="1582"/>
      <c r="E37" s="1582"/>
      <c r="F37" s="1582"/>
      <c r="G37" s="1582"/>
      <c r="H37" s="1582"/>
      <c r="I37" s="1582"/>
      <c r="J37" s="1582"/>
      <c r="K37" s="1582"/>
      <c r="L37" s="1585"/>
      <c r="M37" s="1575"/>
      <c r="N37" s="1594">
        <f>SUM(N36:N36)</f>
        <v>697061</v>
      </c>
    </row>
    <row r="38" spans="1:14" s="307" customFormat="1" ht="13.5" customHeight="1" thickTop="1" x14ac:dyDescent="0.2">
      <c r="A38" s="438" t="s">
        <v>417</v>
      </c>
      <c r="B38" s="432">
        <v>714</v>
      </c>
      <c r="C38" s="1573">
        <v>11572</v>
      </c>
      <c r="D38" s="1573"/>
      <c r="E38" s="1573"/>
      <c r="F38" s="1573"/>
      <c r="G38" s="1573">
        <v>642972</v>
      </c>
      <c r="H38" s="1573"/>
      <c r="I38" s="1573"/>
      <c r="J38" s="1574"/>
      <c r="K38" s="1573"/>
      <c r="L38" s="1586"/>
      <c r="M38" s="1604"/>
      <c r="N38" s="1604"/>
    </row>
    <row r="39" spans="1:14" s="307" customFormat="1" ht="13.5" customHeight="1" x14ac:dyDescent="0.2">
      <c r="A39" s="438" t="s">
        <v>339</v>
      </c>
      <c r="B39" s="432">
        <v>730</v>
      </c>
      <c r="C39" s="1573">
        <v>7196447</v>
      </c>
      <c r="D39" s="1573">
        <v>321736</v>
      </c>
      <c r="E39" s="1573">
        <v>10850</v>
      </c>
      <c r="F39" s="1573">
        <v>207292</v>
      </c>
      <c r="G39" s="1573"/>
      <c r="H39" s="1573"/>
      <c r="I39" s="1573">
        <v>2311662</v>
      </c>
      <c r="J39" s="1574">
        <v>70364</v>
      </c>
      <c r="K39" s="1573">
        <v>285994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17128107</v>
      </c>
      <c r="N40" s="1604"/>
    </row>
    <row r="41" spans="1:14" ht="13.5" customHeight="1" thickBot="1" x14ac:dyDescent="0.25">
      <c r="A41" s="1426" t="s">
        <v>650</v>
      </c>
      <c r="B41" s="1405"/>
      <c r="C41" s="1594">
        <f>(SUM(C34,C37,C38,C39))</f>
        <v>7208019</v>
      </c>
      <c r="D41" s="1594">
        <f t="shared" ref="D41:L41" si="2">SUM(D34,D37,D38:D39)</f>
        <v>321736</v>
      </c>
      <c r="E41" s="1594">
        <f t="shared" si="2"/>
        <v>10850</v>
      </c>
      <c r="F41" s="1594">
        <f t="shared" si="2"/>
        <v>207292</v>
      </c>
      <c r="G41" s="1594">
        <f t="shared" si="2"/>
        <v>642972</v>
      </c>
      <c r="H41" s="1594">
        <f t="shared" si="2"/>
        <v>0</v>
      </c>
      <c r="I41" s="1594">
        <f t="shared" si="2"/>
        <v>2311662</v>
      </c>
      <c r="J41" s="1594">
        <f t="shared" si="2"/>
        <v>70364</v>
      </c>
      <c r="K41" s="1594">
        <f t="shared" si="2"/>
        <v>285994</v>
      </c>
      <c r="L41" s="1594">
        <f t="shared" si="2"/>
        <v>195465</v>
      </c>
      <c r="M41" s="1594">
        <f>SUM(M40)</f>
        <v>17128107</v>
      </c>
      <c r="N41" s="1594">
        <f>SUM(N37)</f>
        <v>697061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3608283</v>
      </c>
      <c r="D4" s="1606">
        <f>'Revenues 9-14'!D109</f>
        <v>425587</v>
      </c>
      <c r="E4" s="1606">
        <f>'Revenues 9-14'!E109</f>
        <v>314689</v>
      </c>
      <c r="F4" s="1606">
        <f>'Revenues 9-14'!F109</f>
        <v>344207</v>
      </c>
      <c r="G4" s="1606">
        <f>'Revenues 9-14'!G109</f>
        <v>434732</v>
      </c>
      <c r="H4" s="1606">
        <f>'Revenues 9-14'!H109</f>
        <v>0</v>
      </c>
      <c r="I4" s="1606">
        <f>'Revenues 9-14'!I109</f>
        <v>59316</v>
      </c>
      <c r="J4" s="1606">
        <f>'Revenues 9-14'!J109</f>
        <v>235793</v>
      </c>
      <c r="K4" s="1606">
        <f>'Revenues 9-14'!K109</f>
        <v>43015</v>
      </c>
      <c r="L4" s="325"/>
    </row>
    <row r="5" spans="1:13" ht="15.75" customHeight="1" x14ac:dyDescent="0.2">
      <c r="A5" s="1314" t="s">
        <v>1483</v>
      </c>
      <c r="B5" s="1315">
        <v>2000</v>
      </c>
      <c r="C5" s="1607">
        <f>'Revenues 9-14'!C114</f>
        <v>7500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8239640</v>
      </c>
      <c r="D6" s="1607">
        <f>'Revenues 9-14'!D170</f>
        <v>0</v>
      </c>
      <c r="E6" s="1607">
        <f>'Revenues 9-14'!E170</f>
        <v>0</v>
      </c>
      <c r="F6" s="1607">
        <f>'Revenues 9-14'!F170</f>
        <v>353408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1865938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13721361</v>
      </c>
      <c r="D8" s="1594">
        <f t="shared" ref="D8:K8" si="0">SUM(D4:D7)</f>
        <v>425587</v>
      </c>
      <c r="E8" s="1594">
        <f t="shared" si="0"/>
        <v>314689</v>
      </c>
      <c r="F8" s="1594">
        <f t="shared" si="0"/>
        <v>697615</v>
      </c>
      <c r="G8" s="1594">
        <f t="shared" si="0"/>
        <v>434732</v>
      </c>
      <c r="H8" s="1594">
        <f t="shared" si="0"/>
        <v>0</v>
      </c>
      <c r="I8" s="1594">
        <f t="shared" si="0"/>
        <v>59316</v>
      </c>
      <c r="J8" s="1594">
        <f t="shared" si="0"/>
        <v>235793</v>
      </c>
      <c r="K8" s="1594">
        <f t="shared" si="0"/>
        <v>43015</v>
      </c>
      <c r="L8" s="325"/>
    </row>
    <row r="9" spans="1:13" ht="15.75" thickTop="1" x14ac:dyDescent="0.2">
      <c r="A9" s="449" t="s">
        <v>1634</v>
      </c>
      <c r="B9" s="450">
        <v>3998</v>
      </c>
      <c r="C9" s="1586">
        <v>4856921</v>
      </c>
      <c r="D9" s="1613"/>
      <c r="E9" s="1586"/>
      <c r="F9" s="1586"/>
      <c r="G9" s="1614"/>
      <c r="H9" s="1586"/>
      <c r="I9" s="1609" t="s">
        <v>1159</v>
      </c>
      <c r="J9" s="1583"/>
      <c r="K9" s="1586"/>
      <c r="L9" s="325"/>
    </row>
    <row r="10" spans="1:13" s="452" customFormat="1" ht="13.5" thickBot="1" x14ac:dyDescent="0.25">
      <c r="A10" s="1426" t="s">
        <v>1163</v>
      </c>
      <c r="B10" s="1407"/>
      <c r="C10" s="1594">
        <f>SUM(C8:C9)</f>
        <v>18578282</v>
      </c>
      <c r="D10" s="1594">
        <f t="shared" ref="D10:K10" si="1">SUM(D8:D9)</f>
        <v>425587</v>
      </c>
      <c r="E10" s="1594">
        <f t="shared" si="1"/>
        <v>314689</v>
      </c>
      <c r="F10" s="1594">
        <f t="shared" si="1"/>
        <v>697615</v>
      </c>
      <c r="G10" s="1594">
        <f t="shared" si="1"/>
        <v>434732</v>
      </c>
      <c r="H10" s="1594">
        <f t="shared" si="1"/>
        <v>0</v>
      </c>
      <c r="I10" s="1594">
        <f t="shared" si="1"/>
        <v>59316</v>
      </c>
      <c r="J10" s="1594">
        <f t="shared" si="1"/>
        <v>235793</v>
      </c>
      <c r="K10" s="1594">
        <f t="shared" si="1"/>
        <v>43015</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8480348</v>
      </c>
      <c r="D12" s="1616" t="s">
        <v>1159</v>
      </c>
      <c r="E12" s="1575" t="s">
        <v>1159</v>
      </c>
      <c r="F12" s="1575" t="s">
        <v>1159</v>
      </c>
      <c r="G12" s="1606">
        <f>'Expenditures 15-22'!K229</f>
        <v>200925</v>
      </c>
      <c r="H12" s="1617"/>
      <c r="I12" s="1575" t="s">
        <v>1159</v>
      </c>
      <c r="J12" s="1575" t="s">
        <v>1159</v>
      </c>
      <c r="K12" s="1617" t="s">
        <v>1159</v>
      </c>
      <c r="L12" s="325"/>
    </row>
    <row r="13" spans="1:13" ht="15.75" customHeight="1" x14ac:dyDescent="0.2">
      <c r="A13" s="1314" t="s">
        <v>454</v>
      </c>
      <c r="B13" s="1316">
        <v>2000</v>
      </c>
      <c r="C13" s="1607">
        <f>'Expenditures 15-22'!K74</f>
        <v>4581593</v>
      </c>
      <c r="D13" s="1607">
        <f>'Expenditures 15-22'!K129</f>
        <v>361854</v>
      </c>
      <c r="E13" s="1576" t="s">
        <v>1159</v>
      </c>
      <c r="F13" s="1607">
        <f>'Expenditures 15-22'!K184</f>
        <v>533974</v>
      </c>
      <c r="G13" s="1607">
        <f>'Expenditures 15-22'!K279</f>
        <v>228978</v>
      </c>
      <c r="H13" s="1607">
        <f>'Expenditures 15-22'!K303</f>
        <v>0</v>
      </c>
      <c r="I13" s="1575" t="s">
        <v>1159</v>
      </c>
      <c r="J13" s="1607">
        <f>'Expenditures 15-22'!K330</f>
        <v>233565</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448481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314306</v>
      </c>
      <c r="F16" s="1607">
        <f>'Expenditures 15-22'!K208</f>
        <v>43922</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13510422</v>
      </c>
      <c r="D17" s="1594">
        <f t="shared" si="2"/>
        <v>361854</v>
      </c>
      <c r="E17" s="1594">
        <f t="shared" si="2"/>
        <v>314306</v>
      </c>
      <c r="F17" s="1594">
        <f t="shared" si="2"/>
        <v>577896</v>
      </c>
      <c r="G17" s="1594">
        <f t="shared" si="2"/>
        <v>429903</v>
      </c>
      <c r="H17" s="1594">
        <f t="shared" si="2"/>
        <v>0</v>
      </c>
      <c r="I17" s="1575"/>
      <c r="J17" s="1594">
        <f>SUM(J12:J16)</f>
        <v>233565</v>
      </c>
      <c r="K17" s="1594">
        <f>SUM(K12:K16)</f>
        <v>0</v>
      </c>
      <c r="L17" s="325"/>
    </row>
    <row r="18" spans="1:12" ht="15" customHeight="1" thickTop="1" x14ac:dyDescent="0.2">
      <c r="A18" s="1430" t="s">
        <v>1635</v>
      </c>
      <c r="B18" s="1431">
        <v>4180</v>
      </c>
      <c r="C18" s="1606">
        <f t="shared" ref="C18:H18" si="3">C9</f>
        <v>4856921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18367343</v>
      </c>
      <c r="D19" s="1594">
        <f t="shared" si="4"/>
        <v>361854</v>
      </c>
      <c r="E19" s="1594">
        <f t="shared" si="4"/>
        <v>314306</v>
      </c>
      <c r="F19" s="1594">
        <f t="shared" si="4"/>
        <v>577896</v>
      </c>
      <c r="G19" s="1594">
        <f t="shared" si="4"/>
        <v>429903</v>
      </c>
      <c r="H19" s="1594">
        <f t="shared" si="4"/>
        <v>0</v>
      </c>
      <c r="I19" s="1575"/>
      <c r="J19" s="1594">
        <f>SUM(J17:J18)</f>
        <v>233565</v>
      </c>
      <c r="K19" s="1594">
        <f>SUM(K17:K18)</f>
        <v>0</v>
      </c>
      <c r="L19" s="325"/>
    </row>
    <row r="20" spans="1:12" ht="16.5" thickTop="1" thickBot="1" x14ac:dyDescent="0.25">
      <c r="A20" s="2234" t="s">
        <v>1636</v>
      </c>
      <c r="B20" s="2235"/>
      <c r="C20" s="1622">
        <f>C8-C17</f>
        <v>210939</v>
      </c>
      <c r="D20" s="1622">
        <f t="shared" ref="D20:K20" si="5">D8-D17</f>
        <v>63733</v>
      </c>
      <c r="E20" s="1622">
        <f t="shared" si="5"/>
        <v>383</v>
      </c>
      <c r="F20" s="1622">
        <f t="shared" si="5"/>
        <v>119719</v>
      </c>
      <c r="G20" s="1622">
        <f t="shared" si="5"/>
        <v>4829</v>
      </c>
      <c r="H20" s="1622">
        <f t="shared" si="5"/>
        <v>0</v>
      </c>
      <c r="I20" s="1622">
        <f t="shared" si="5"/>
        <v>59316</v>
      </c>
      <c r="J20" s="1622">
        <f t="shared" si="5"/>
        <v>2228</v>
      </c>
      <c r="K20" s="1622">
        <f t="shared" si="5"/>
        <v>43015</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210939</v>
      </c>
      <c r="D78" s="1629">
        <f t="shared" si="9"/>
        <v>63733</v>
      </c>
      <c r="E78" s="1629">
        <f t="shared" si="9"/>
        <v>383</v>
      </c>
      <c r="F78" s="1629">
        <f t="shared" si="9"/>
        <v>119719</v>
      </c>
      <c r="G78" s="1629">
        <f t="shared" si="9"/>
        <v>4829</v>
      </c>
      <c r="H78" s="1629">
        <f t="shared" si="9"/>
        <v>0</v>
      </c>
      <c r="I78" s="1629">
        <f t="shared" si="9"/>
        <v>59316</v>
      </c>
      <c r="J78" s="1629">
        <f t="shared" si="9"/>
        <v>2228</v>
      </c>
      <c r="K78" s="1629">
        <f t="shared" si="9"/>
        <v>43015</v>
      </c>
      <c r="L78" s="457"/>
    </row>
    <row r="79" spans="1:12" ht="13.5" thickTop="1" x14ac:dyDescent="0.2">
      <c r="A79" s="1844" t="str">
        <f>"Fund Balances - July 1, "&amp;'AFR20'!E2-1</f>
        <v>Fund Balances - July 1, 2019</v>
      </c>
      <c r="B79" s="458"/>
      <c r="C79" s="1583">
        <v>6997080</v>
      </c>
      <c r="D79" s="1630">
        <v>258003</v>
      </c>
      <c r="E79" s="1630">
        <v>10467</v>
      </c>
      <c r="F79" s="1630">
        <v>87573</v>
      </c>
      <c r="G79" s="1630">
        <v>638143</v>
      </c>
      <c r="H79" s="1630">
        <v>0</v>
      </c>
      <c r="I79" s="1630">
        <v>2252346</v>
      </c>
      <c r="J79" s="1630">
        <v>68136</v>
      </c>
      <c r="K79" s="1630">
        <v>242979</v>
      </c>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7208019</v>
      </c>
      <c r="D81" s="1594">
        <f>SUM(D78:D80)</f>
        <v>321736</v>
      </c>
      <c r="E81" s="1594">
        <f t="shared" ref="E81:K81" si="10">SUM(E78:E80)</f>
        <v>10850</v>
      </c>
      <c r="F81" s="1594">
        <f t="shared" si="10"/>
        <v>207292</v>
      </c>
      <c r="G81" s="1594">
        <f t="shared" si="10"/>
        <v>642972</v>
      </c>
      <c r="H81" s="1594">
        <f t="shared" si="10"/>
        <v>0</v>
      </c>
      <c r="I81" s="1594">
        <f t="shared" si="10"/>
        <v>2311662</v>
      </c>
      <c r="J81" s="1594">
        <f t="shared" si="10"/>
        <v>70364</v>
      </c>
      <c r="K81" s="1594">
        <f t="shared" si="10"/>
        <v>285994</v>
      </c>
      <c r="L81" s="325"/>
    </row>
    <row r="82" spans="1:12" ht="0.75" customHeight="1" thickTop="1" thickBot="1" x14ac:dyDescent="0.25">
      <c r="A82" s="459" t="s">
        <v>340</v>
      </c>
      <c r="B82" s="460"/>
      <c r="C82" s="461">
        <f>(C81-C79)</f>
        <v>210939</v>
      </c>
      <c r="D82" s="461">
        <f t="shared" ref="D82:K82" si="11">(D81-D79)</f>
        <v>63733</v>
      </c>
      <c r="E82" s="461">
        <f t="shared" si="11"/>
        <v>383</v>
      </c>
      <c r="F82" s="461">
        <f t="shared" si="11"/>
        <v>119719</v>
      </c>
      <c r="G82" s="461">
        <f t="shared" si="11"/>
        <v>4829</v>
      </c>
      <c r="H82" s="461">
        <f t="shared" si="11"/>
        <v>0</v>
      </c>
      <c r="I82" s="461">
        <f t="shared" si="11"/>
        <v>59316</v>
      </c>
      <c r="J82" s="461">
        <f t="shared" si="11"/>
        <v>2228</v>
      </c>
      <c r="K82" s="461">
        <f t="shared" si="11"/>
        <v>43015</v>
      </c>
    </row>
    <row r="83" spans="1:12" ht="14.25" hidden="1" thickTop="1" thickBot="1" x14ac:dyDescent="0.25">
      <c r="A83" s="462" t="s">
        <v>341</v>
      </c>
      <c r="B83" s="428"/>
      <c r="C83" s="463">
        <f>C82/C81</f>
        <v>2.9264490007587383E-2</v>
      </c>
      <c r="D83" s="463">
        <f t="shared" ref="D83:K83" si="12">D82/D81</f>
        <v>0.19809098142576523</v>
      </c>
      <c r="E83" s="463">
        <f t="shared" si="12"/>
        <v>3.5299539170506912E-2</v>
      </c>
      <c r="F83" s="463">
        <f t="shared" si="12"/>
        <v>0.57753796576809524</v>
      </c>
      <c r="G83" s="463">
        <f t="shared" si="12"/>
        <v>7.5104359132279475E-3</v>
      </c>
      <c r="H83" s="463" t="e">
        <f t="shared" si="12"/>
        <v>#DIV/0!</v>
      </c>
      <c r="I83" s="463">
        <f t="shared" si="12"/>
        <v>2.5659460595882963E-2</v>
      </c>
      <c r="J83" s="463">
        <f t="shared" si="12"/>
        <v>3.1663919049513954E-2</v>
      </c>
      <c r="K83" s="463">
        <f t="shared" si="12"/>
        <v>0.15040525325706133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2367899</v>
      </c>
      <c r="D5" s="1586">
        <v>399970</v>
      </c>
      <c r="E5" s="1573">
        <v>314689</v>
      </c>
      <c r="F5" s="1631">
        <v>159987</v>
      </c>
      <c r="G5" s="1573">
        <v>209839</v>
      </c>
      <c r="H5" s="1573"/>
      <c r="I5" s="1573">
        <v>39998</v>
      </c>
      <c r="J5" s="1574">
        <v>234811</v>
      </c>
      <c r="K5" s="1573">
        <v>39998</v>
      </c>
    </row>
    <row r="6" spans="1:12" ht="15" x14ac:dyDescent="0.2">
      <c r="A6" s="427" t="s">
        <v>1643</v>
      </c>
      <c r="B6" s="429">
        <v>1130</v>
      </c>
      <c r="C6" s="1573">
        <v>40056</v>
      </c>
      <c r="D6" s="1573"/>
      <c r="E6" s="1580"/>
      <c r="F6" s="1580"/>
      <c r="G6" s="1575"/>
      <c r="H6" s="1575"/>
      <c r="I6" s="1575"/>
      <c r="J6" s="1575"/>
      <c r="K6" s="1575"/>
    </row>
    <row r="7" spans="1:12" x14ac:dyDescent="0.2">
      <c r="A7" s="427" t="s">
        <v>110</v>
      </c>
      <c r="B7" s="471">
        <v>1140</v>
      </c>
      <c r="C7" s="1573">
        <v>32037</v>
      </c>
      <c r="D7" s="1573"/>
      <c r="E7" s="1575"/>
      <c r="F7" s="1574"/>
      <c r="G7" s="1574"/>
      <c r="H7" s="1574"/>
      <c r="I7" s="1575"/>
      <c r="J7" s="1575"/>
      <c r="K7" s="1575"/>
    </row>
    <row r="8" spans="1:12" x14ac:dyDescent="0.2">
      <c r="A8" s="427" t="s">
        <v>410</v>
      </c>
      <c r="B8" s="429">
        <v>1150</v>
      </c>
      <c r="C8" s="1580"/>
      <c r="D8" s="1580"/>
      <c r="E8" s="1582"/>
      <c r="F8" s="1582"/>
      <c r="G8" s="1586">
        <v>209839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2439992</v>
      </c>
      <c r="D12" s="1633">
        <f t="shared" si="0"/>
        <v>399970</v>
      </c>
      <c r="E12" s="1633">
        <f t="shared" si="0"/>
        <v>314689</v>
      </c>
      <c r="F12" s="1633">
        <f t="shared" si="0"/>
        <v>159987</v>
      </c>
      <c r="G12" s="1633">
        <f t="shared" si="0"/>
        <v>419678</v>
      </c>
      <c r="H12" s="1633">
        <f t="shared" si="0"/>
        <v>0</v>
      </c>
      <c r="I12" s="1633">
        <f t="shared" si="0"/>
        <v>39998</v>
      </c>
      <c r="J12" s="1633">
        <f t="shared" si="0"/>
        <v>234811</v>
      </c>
      <c r="K12" s="1594">
        <f t="shared" si="0"/>
        <v>39998</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463849</v>
      </c>
      <c r="D16" s="1573"/>
      <c r="E16" s="1573"/>
      <c r="F16" s="1573">
        <v>180000</v>
      </c>
      <c r="G16" s="1573">
        <v>5500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463849</v>
      </c>
      <c r="D18" s="1635">
        <f t="shared" ref="D18:K18" si="1">SUM(D14:D17)</f>
        <v>0</v>
      </c>
      <c r="E18" s="1635">
        <f t="shared" si="1"/>
        <v>0</v>
      </c>
      <c r="F18" s="1635">
        <f t="shared" si="1"/>
        <v>180000</v>
      </c>
      <c r="G18" s="1635">
        <f t="shared" si="1"/>
        <v>5500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v>27344</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27344</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117460</v>
      </c>
      <c r="D65" s="1573">
        <v>2514</v>
      </c>
      <c r="E65" s="1573"/>
      <c r="F65" s="1574">
        <v>312</v>
      </c>
      <c r="G65" s="1573">
        <v>9554</v>
      </c>
      <c r="H65" s="1573"/>
      <c r="I65" s="1573">
        <v>19318</v>
      </c>
      <c r="J65" s="1574">
        <v>982</v>
      </c>
      <c r="K65" s="1573">
        <v>3017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117460</v>
      </c>
      <c r="D67" s="1594">
        <f t="shared" ref="D67:K67" si="2">SUM(D65:D66)</f>
        <v>2514</v>
      </c>
      <c r="E67" s="1594">
        <f t="shared" si="2"/>
        <v>0</v>
      </c>
      <c r="F67" s="1594">
        <f t="shared" si="2"/>
        <v>312</v>
      </c>
      <c r="G67" s="1594">
        <f t="shared" si="2"/>
        <v>9554</v>
      </c>
      <c r="H67" s="1594">
        <f t="shared" si="2"/>
        <v>0</v>
      </c>
      <c r="I67" s="1594">
        <f t="shared" si="2"/>
        <v>19318</v>
      </c>
      <c r="J67" s="1594">
        <f t="shared" si="2"/>
        <v>982</v>
      </c>
      <c r="K67" s="1594">
        <f t="shared" si="2"/>
        <v>3017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5713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2441</v>
      </c>
      <c r="D73" s="1575"/>
      <c r="E73" s="1575"/>
      <c r="F73" s="1575"/>
      <c r="G73" s="1575"/>
      <c r="H73" s="1575"/>
      <c r="I73" s="1575"/>
      <c r="J73" s="1575"/>
      <c r="K73" s="1575"/>
    </row>
    <row r="74" spans="1:11" ht="12.75" customHeight="1" x14ac:dyDescent="0.2">
      <c r="A74" s="427" t="s">
        <v>25</v>
      </c>
      <c r="B74" s="429">
        <v>1690</v>
      </c>
      <c r="C74" s="1632">
        <v>2042</v>
      </c>
      <c r="D74" s="1575"/>
      <c r="E74" s="1575"/>
      <c r="F74" s="1575"/>
      <c r="G74" s="1575"/>
      <c r="H74" s="1575"/>
      <c r="I74" s="1575"/>
      <c r="J74" s="1575"/>
      <c r="K74" s="1575"/>
    </row>
    <row r="75" spans="1:11" ht="12.75" customHeight="1" thickBot="1" x14ac:dyDescent="0.25">
      <c r="A75" s="1406" t="s">
        <v>544</v>
      </c>
      <c r="B75" s="1407"/>
      <c r="C75" s="1594">
        <f>SUM(C69:C74)</f>
        <v>10196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19404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7127</v>
      </c>
      <c r="D79" s="1573"/>
      <c r="E79" s="1575"/>
      <c r="F79" s="1575"/>
      <c r="G79" s="1575"/>
      <c r="H79" s="1575"/>
      <c r="I79" s="1575"/>
      <c r="J79" s="1575"/>
      <c r="K79" s="1575"/>
    </row>
    <row r="80" spans="1:11" ht="12.75" customHeight="1" x14ac:dyDescent="0.2">
      <c r="A80" s="427" t="s">
        <v>547</v>
      </c>
      <c r="B80" s="429">
        <v>1730</v>
      </c>
      <c r="C80" s="1632">
        <v>40349</v>
      </c>
      <c r="D80" s="1573"/>
      <c r="E80" s="1575"/>
      <c r="F80" s="1575"/>
      <c r="G80" s="1575"/>
      <c r="H80" s="1575"/>
      <c r="I80" s="1575"/>
      <c r="J80" s="1575"/>
      <c r="K80" s="1575"/>
    </row>
    <row r="81" spans="1:11" ht="12.75" customHeight="1" x14ac:dyDescent="0.2">
      <c r="A81" s="427" t="s">
        <v>26</v>
      </c>
      <c r="B81" s="429">
        <v>1790</v>
      </c>
      <c r="C81" s="1632">
        <v>1420</v>
      </c>
      <c r="D81" s="1573"/>
      <c r="E81" s="1575"/>
      <c r="F81" s="1575"/>
      <c r="G81" s="1575"/>
      <c r="H81" s="1575"/>
      <c r="I81" s="1575"/>
      <c r="J81" s="1575"/>
      <c r="K81" s="1575"/>
    </row>
    <row r="82" spans="1:11" ht="12.75" customHeight="1" thickBot="1" x14ac:dyDescent="0.25">
      <c r="A82" s="1406" t="s">
        <v>239</v>
      </c>
      <c r="B82" s="1407"/>
      <c r="C82" s="1633">
        <f>SUM(C77:C81)</f>
        <v>68300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24738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24738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3908</v>
      </c>
      <c r="D95" s="1632">
        <v>1978</v>
      </c>
      <c r="E95" s="1617"/>
      <c r="F95" s="1617"/>
      <c r="G95" s="1617"/>
      <c r="H95" s="1617"/>
      <c r="I95" s="1617"/>
      <c r="J95" s="1617"/>
      <c r="K95" s="1617"/>
    </row>
    <row r="96" spans="1:11" ht="12.75" customHeight="1" x14ac:dyDescent="0.2">
      <c r="A96" s="427" t="s">
        <v>388</v>
      </c>
      <c r="B96" s="429">
        <v>1920</v>
      </c>
      <c r="C96" s="1632">
        <v>166480</v>
      </c>
      <c r="D96" s="1632">
        <v>10000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146954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3600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135462</v>
      </c>
      <c r="D107" s="1573">
        <v>11125</v>
      </c>
      <c r="E107" s="1573"/>
      <c r="F107" s="1573">
        <v>3908</v>
      </c>
      <c r="G107" s="1573"/>
      <c r="H107" s="1573"/>
      <c r="I107" s="1573"/>
      <c r="J107" s="1574"/>
      <c r="K107" s="1573"/>
    </row>
    <row r="108" spans="1:12" ht="12.75" customHeight="1" thickBot="1" x14ac:dyDescent="0.25">
      <c r="A108" s="1406" t="s">
        <v>484</v>
      </c>
      <c r="B108" s="1408"/>
      <c r="C108" s="1633">
        <f>SUM(C95:C107)</f>
        <v>456404</v>
      </c>
      <c r="D108" s="1633">
        <f t="shared" ref="D108:K108" si="3">SUM(D95:D107)</f>
        <v>23103</v>
      </c>
      <c r="E108" s="1633">
        <f t="shared" si="3"/>
        <v>0</v>
      </c>
      <c r="F108" s="1633">
        <f t="shared" si="3"/>
        <v>3908</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3608283</v>
      </c>
      <c r="D109" s="1641">
        <f t="shared" si="4"/>
        <v>425587</v>
      </c>
      <c r="E109" s="1641">
        <f t="shared" si="4"/>
        <v>314689</v>
      </c>
      <c r="F109" s="1641">
        <f t="shared" si="4"/>
        <v>344207</v>
      </c>
      <c r="G109" s="1641">
        <f t="shared" si="4"/>
        <v>434732</v>
      </c>
      <c r="H109" s="1641">
        <f t="shared" si="4"/>
        <v>0</v>
      </c>
      <c r="I109" s="1641">
        <f t="shared" si="4"/>
        <v>59316</v>
      </c>
      <c r="J109" s="1641">
        <f t="shared" si="4"/>
        <v>235793</v>
      </c>
      <c r="K109" s="1629">
        <f t="shared" si="4"/>
        <v>43015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v>7500</v>
      </c>
      <c r="D113" s="1573"/>
      <c r="E113" s="1640"/>
      <c r="F113" s="1573"/>
      <c r="G113" s="1573"/>
      <c r="H113" s="1640"/>
      <c r="I113" s="1575"/>
      <c r="J113" s="1575"/>
      <c r="K113" s="1575"/>
    </row>
    <row r="114" spans="1:11" ht="13.5" thickBot="1" x14ac:dyDescent="0.25">
      <c r="A114" s="1411" t="s">
        <v>801</v>
      </c>
      <c r="B114" s="1412" t="s">
        <v>565</v>
      </c>
      <c r="C114" s="1642">
        <f>SUM(C111:C113)</f>
        <v>7500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7372850</v>
      </c>
      <c r="D117" s="1586"/>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7372850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389323</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43592</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432915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6141</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6141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8489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7868</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312385</v>
      </c>
      <c r="G152" s="1574"/>
      <c r="H152" s="1575"/>
      <c r="I152" s="1575"/>
      <c r="J152" s="1575"/>
      <c r="K152" s="1575"/>
    </row>
    <row r="153" spans="1:11" ht="12.75" customHeight="1" x14ac:dyDescent="0.2">
      <c r="A153" s="427" t="s">
        <v>1048</v>
      </c>
      <c r="B153" s="478">
        <v>3510</v>
      </c>
      <c r="C153" s="1632"/>
      <c r="D153" s="1573"/>
      <c r="E153" s="1640"/>
      <c r="F153" s="1573">
        <v>41023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353408</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204847</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206530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866790</v>
      </c>
      <c r="D169" s="1658">
        <f t="shared" si="6"/>
        <v>0</v>
      </c>
      <c r="E169" s="1658">
        <f t="shared" si="6"/>
        <v>0</v>
      </c>
      <c r="F169" s="1658">
        <f t="shared" si="6"/>
        <v>353408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8239640</v>
      </c>
      <c r="D170" s="1641">
        <f t="shared" si="7"/>
        <v>0</v>
      </c>
      <c r="E170" s="1641">
        <f t="shared" si="7"/>
        <v>0</v>
      </c>
      <c r="F170" s="1641">
        <f t="shared" si="7"/>
        <v>353408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22615</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22615</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400705</v>
      </c>
      <c r="D191" s="1575"/>
      <c r="E191" s="1640"/>
      <c r="F191" s="1575"/>
      <c r="G191" s="1664"/>
      <c r="H191" s="1575"/>
      <c r="I191" s="1575"/>
      <c r="J191" s="1575"/>
      <c r="K191" s="1575"/>
    </row>
    <row r="192" spans="1:11" ht="12.75" customHeight="1" x14ac:dyDescent="0.2">
      <c r="A192" s="427" t="s">
        <v>1038</v>
      </c>
      <c r="B192" s="429">
        <v>4215</v>
      </c>
      <c r="C192" s="1632">
        <v>1142</v>
      </c>
      <c r="D192" s="1575"/>
      <c r="E192" s="1640"/>
      <c r="F192" s="1575"/>
      <c r="G192" s="1664"/>
      <c r="H192" s="1575"/>
      <c r="I192" s="1575"/>
      <c r="J192" s="1575"/>
      <c r="K192" s="1575"/>
    </row>
    <row r="193" spans="1:11" ht="12.75" customHeight="1" x14ac:dyDescent="0.2">
      <c r="A193" s="427" t="s">
        <v>1050</v>
      </c>
      <c r="B193" s="429">
        <v>4220</v>
      </c>
      <c r="C193" s="1632">
        <v>107651</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509498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749043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143864</v>
      </c>
      <c r="D203" s="1573"/>
      <c r="E203" s="1575"/>
      <c r="F203" s="1573"/>
      <c r="G203" s="1573"/>
      <c r="H203" s="1575"/>
      <c r="I203" s="1575"/>
      <c r="J203" s="1575"/>
      <c r="K203" s="1575"/>
    </row>
    <row r="204" spans="1:11" ht="12.75" customHeight="1" thickBot="1" x14ac:dyDescent="0.25">
      <c r="A204" s="1406" t="s">
        <v>397</v>
      </c>
      <c r="B204" s="1407"/>
      <c r="C204" s="1633">
        <f>SUM(C200:C203)</f>
        <v>892907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15397</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232253</v>
      </c>
      <c r="D213" s="1573"/>
      <c r="E213" s="1575"/>
      <c r="F213" s="1573"/>
      <c r="G213" s="1573"/>
      <c r="H213" s="1575"/>
      <c r="I213" s="1575"/>
      <c r="J213" s="1575"/>
      <c r="K213" s="1575"/>
    </row>
    <row r="214" spans="1:11" ht="12.75" customHeight="1" x14ac:dyDescent="0.2">
      <c r="A214" s="427" t="s">
        <v>1045</v>
      </c>
      <c r="B214" s="429">
        <v>4625</v>
      </c>
      <c r="C214" s="1632">
        <v>3832</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251482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74145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19487</v>
      </c>
      <c r="D263" s="1651"/>
      <c r="E263" s="1575"/>
      <c r="F263" s="1651"/>
      <c r="G263" s="1651"/>
      <c r="H263" s="1575"/>
      <c r="I263" s="1575"/>
      <c r="J263" s="1575"/>
      <c r="K263" s="1575"/>
    </row>
    <row r="264" spans="1:11" ht="12.75" customHeight="1" thickTop="1" thickBot="1" x14ac:dyDescent="0.25">
      <c r="A264" s="427" t="s">
        <v>374</v>
      </c>
      <c r="B264" s="429">
        <v>4992</v>
      </c>
      <c r="C264" s="1650">
        <v>95804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1865938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1865938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13721361</v>
      </c>
      <c r="D268" s="1641">
        <f t="shared" si="12"/>
        <v>425587</v>
      </c>
      <c r="E268" s="1641">
        <f t="shared" si="12"/>
        <v>314689</v>
      </c>
      <c r="F268" s="1641">
        <f t="shared" si="12"/>
        <v>697615</v>
      </c>
      <c r="G268" s="1641">
        <f t="shared" si="12"/>
        <v>434732</v>
      </c>
      <c r="H268" s="1641">
        <f t="shared" si="12"/>
        <v>0</v>
      </c>
      <c r="I268" s="1641">
        <f t="shared" si="12"/>
        <v>59316</v>
      </c>
      <c r="J268" s="1641">
        <f t="shared" si="12"/>
        <v>235793</v>
      </c>
      <c r="K268" s="1629">
        <f t="shared" si="12"/>
        <v>43015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C5" sqref="C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3416560</v>
      </c>
      <c r="D5" s="1573">
        <v>569974</v>
      </c>
      <c r="E5" s="1573">
        <v>32153</v>
      </c>
      <c r="F5" s="1573">
        <v>100014</v>
      </c>
      <c r="G5" s="1573">
        <v>12093</v>
      </c>
      <c r="H5" s="1573">
        <v>6724</v>
      </c>
      <c r="I5" s="1574"/>
      <c r="J5" s="1574"/>
      <c r="K5" s="1672">
        <f>SUM(C5:J5)</f>
        <v>4137518</v>
      </c>
      <c r="L5" s="1573">
        <v>4345367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1208302</v>
      </c>
      <c r="D8" s="1573">
        <v>233335</v>
      </c>
      <c r="E8" s="1573">
        <v>1051572</v>
      </c>
      <c r="F8" s="1573">
        <v>2314</v>
      </c>
      <c r="G8" s="1573"/>
      <c r="H8" s="1573"/>
      <c r="I8" s="1574"/>
      <c r="J8" s="1574"/>
      <c r="K8" s="1672">
        <f t="shared" si="0"/>
        <v>2495523</v>
      </c>
      <c r="L8" s="1573">
        <v>2161097</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507699</v>
      </c>
      <c r="D10" s="1573">
        <v>99154</v>
      </c>
      <c r="E10" s="1573">
        <v>39189</v>
      </c>
      <c r="F10" s="1573">
        <v>398673</v>
      </c>
      <c r="G10" s="1573">
        <v>13125</v>
      </c>
      <c r="H10" s="1573"/>
      <c r="I10" s="1574"/>
      <c r="J10" s="1574"/>
      <c r="K10" s="1672">
        <f t="shared" si="0"/>
        <v>1057840</v>
      </c>
      <c r="L10" s="1573">
        <v>1034180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297438</v>
      </c>
      <c r="D13" s="1573">
        <v>46503</v>
      </c>
      <c r="E13" s="1573">
        <v>32231</v>
      </c>
      <c r="F13" s="1573">
        <v>37398</v>
      </c>
      <c r="G13" s="1573"/>
      <c r="H13" s="1573"/>
      <c r="I13" s="1574"/>
      <c r="J13" s="1574"/>
      <c r="K13" s="1672">
        <f t="shared" si="0"/>
        <v>413570</v>
      </c>
      <c r="L13" s="1573">
        <v>385669</v>
      </c>
    </row>
    <row r="14" spans="1:14" x14ac:dyDescent="0.2">
      <c r="A14" s="1274" t="s">
        <v>957</v>
      </c>
      <c r="B14" s="503">
        <v>1500</v>
      </c>
      <c r="C14" s="1573">
        <v>246747</v>
      </c>
      <c r="D14" s="1573">
        <v>26703</v>
      </c>
      <c r="E14" s="1573">
        <v>32587</v>
      </c>
      <c r="F14" s="1573">
        <v>59896</v>
      </c>
      <c r="G14" s="1573">
        <v>2685</v>
      </c>
      <c r="H14" s="1573">
        <v>7279</v>
      </c>
      <c r="I14" s="1574"/>
      <c r="J14" s="1574"/>
      <c r="K14" s="1672">
        <f t="shared" si="0"/>
        <v>375897</v>
      </c>
      <c r="L14" s="1573">
        <v>372711</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5676746</v>
      </c>
      <c r="D33" s="1674">
        <f t="shared" ref="D33:L33" si="1">SUM(D5:D32)</f>
        <v>975669</v>
      </c>
      <c r="E33" s="1674">
        <f t="shared" si="1"/>
        <v>1187732</v>
      </c>
      <c r="F33" s="1674">
        <f t="shared" si="1"/>
        <v>598295</v>
      </c>
      <c r="G33" s="1674">
        <f t="shared" si="1"/>
        <v>27903</v>
      </c>
      <c r="H33" s="1674">
        <f t="shared" si="1"/>
        <v>14003</v>
      </c>
      <c r="I33" s="1674">
        <f t="shared" si="1"/>
        <v>0</v>
      </c>
      <c r="J33" s="1674">
        <f t="shared" si="1"/>
        <v>0</v>
      </c>
      <c r="K33" s="1674">
        <f t="shared" si="1"/>
        <v>8480348</v>
      </c>
      <c r="L33" s="1674">
        <f t="shared" si="1"/>
        <v>8299024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119739</v>
      </c>
      <c r="D36" s="1586">
        <v>12333</v>
      </c>
      <c r="E36" s="1586"/>
      <c r="F36" s="1586"/>
      <c r="G36" s="1586"/>
      <c r="H36" s="1586"/>
      <c r="I36" s="1574"/>
      <c r="J36" s="1574"/>
      <c r="K36" s="1672">
        <f t="shared" ref="K36:K41" si="2">SUM(C36:J36)</f>
        <v>132072</v>
      </c>
      <c r="L36" s="1573">
        <v>141432</v>
      </c>
    </row>
    <row r="37" spans="1:14" x14ac:dyDescent="0.2">
      <c r="A37" s="1274" t="s">
        <v>1081</v>
      </c>
      <c r="B37" s="503">
        <v>2120</v>
      </c>
      <c r="C37" s="1573">
        <v>64466</v>
      </c>
      <c r="D37" s="1573">
        <v>10402</v>
      </c>
      <c r="E37" s="1573"/>
      <c r="F37" s="1573"/>
      <c r="G37" s="1573"/>
      <c r="H37" s="1573"/>
      <c r="I37" s="1574"/>
      <c r="J37" s="1574"/>
      <c r="K37" s="1672">
        <f t="shared" si="2"/>
        <v>74868</v>
      </c>
      <c r="L37" s="1573">
        <v>75459</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v>79100</v>
      </c>
      <c r="D39" s="1573">
        <v>10803</v>
      </c>
      <c r="E39" s="1573"/>
      <c r="F39" s="1573">
        <v>1616</v>
      </c>
      <c r="G39" s="1573"/>
      <c r="H39" s="1573"/>
      <c r="I39" s="1574"/>
      <c r="J39" s="1574"/>
      <c r="K39" s="1672">
        <f t="shared" si="2"/>
        <v>91519</v>
      </c>
      <c r="L39" s="1573">
        <v>90707</v>
      </c>
    </row>
    <row r="40" spans="1:14" x14ac:dyDescent="0.2">
      <c r="A40" s="1274" t="s">
        <v>198</v>
      </c>
      <c r="B40" s="503">
        <v>2150</v>
      </c>
      <c r="C40" s="1573">
        <v>114997</v>
      </c>
      <c r="D40" s="1573">
        <v>18874</v>
      </c>
      <c r="E40" s="1573">
        <v>29660</v>
      </c>
      <c r="F40" s="1573">
        <v>1381</v>
      </c>
      <c r="G40" s="1573"/>
      <c r="H40" s="1573">
        <v>1047</v>
      </c>
      <c r="I40" s="1574"/>
      <c r="J40" s="1574"/>
      <c r="K40" s="1672">
        <f t="shared" si="2"/>
        <v>165959</v>
      </c>
      <c r="L40" s="1573">
        <v>141075</v>
      </c>
    </row>
    <row r="41" spans="1:14" x14ac:dyDescent="0.2">
      <c r="A41" s="1274" t="s">
        <v>1650</v>
      </c>
      <c r="B41" s="503">
        <v>2190</v>
      </c>
      <c r="C41" s="1573">
        <v>196</v>
      </c>
      <c r="D41" s="1573">
        <v>57</v>
      </c>
      <c r="E41" s="1573">
        <v>29410</v>
      </c>
      <c r="F41" s="1573">
        <v>30508</v>
      </c>
      <c r="G41" s="1573"/>
      <c r="H41" s="1573"/>
      <c r="I41" s="1574"/>
      <c r="J41" s="1574"/>
      <c r="K41" s="1672">
        <f t="shared" si="2"/>
        <v>60171</v>
      </c>
      <c r="L41" s="1573"/>
    </row>
    <row r="42" spans="1:14" ht="12.75" customHeight="1" thickBot="1" x14ac:dyDescent="0.25">
      <c r="A42" s="1380" t="s">
        <v>556</v>
      </c>
      <c r="B42" s="1381" t="s">
        <v>711</v>
      </c>
      <c r="C42" s="1674">
        <f>SUM(C36:C41)</f>
        <v>378498</v>
      </c>
      <c r="D42" s="1674">
        <f t="shared" ref="D42:L42" si="3">SUM(D36:D41)</f>
        <v>52469</v>
      </c>
      <c r="E42" s="1674">
        <f t="shared" si="3"/>
        <v>59070</v>
      </c>
      <c r="F42" s="1674">
        <f t="shared" si="3"/>
        <v>33505</v>
      </c>
      <c r="G42" s="1674">
        <f t="shared" si="3"/>
        <v>0</v>
      </c>
      <c r="H42" s="1674">
        <f t="shared" si="3"/>
        <v>1047</v>
      </c>
      <c r="I42" s="1674">
        <f t="shared" si="3"/>
        <v>0</v>
      </c>
      <c r="J42" s="1674">
        <f t="shared" si="3"/>
        <v>0</v>
      </c>
      <c r="K42" s="1674">
        <f t="shared" si="3"/>
        <v>524589</v>
      </c>
      <c r="L42" s="1674">
        <f t="shared" si="3"/>
        <v>448673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73693</v>
      </c>
      <c r="D44" s="1586">
        <v>1428</v>
      </c>
      <c r="E44" s="1586">
        <v>169519</v>
      </c>
      <c r="F44" s="1586">
        <v>132087</v>
      </c>
      <c r="G44" s="1586">
        <v>169655</v>
      </c>
      <c r="H44" s="1586"/>
      <c r="I44" s="1574"/>
      <c r="J44" s="1574"/>
      <c r="K44" s="1678">
        <f>SUM(C44:J44)</f>
        <v>546382</v>
      </c>
      <c r="L44" s="1586">
        <v>498294</v>
      </c>
    </row>
    <row r="45" spans="1:14" x14ac:dyDescent="0.2">
      <c r="A45" s="1274" t="s">
        <v>810</v>
      </c>
      <c r="B45" s="503">
        <v>2220</v>
      </c>
      <c r="C45" s="1573">
        <v>145807</v>
      </c>
      <c r="D45" s="1573">
        <v>25442</v>
      </c>
      <c r="E45" s="1573">
        <v>4754</v>
      </c>
      <c r="F45" s="1573">
        <v>23366</v>
      </c>
      <c r="G45" s="1573"/>
      <c r="H45" s="1573">
        <v>3522</v>
      </c>
      <c r="I45" s="1574"/>
      <c r="J45" s="1574"/>
      <c r="K45" s="1678">
        <f>SUM(C45:J45)</f>
        <v>202891</v>
      </c>
      <c r="L45" s="1573">
        <v>183118</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219500</v>
      </c>
      <c r="D47" s="1674">
        <f t="shared" ref="D47:K47" si="4">SUM(D44:D46)</f>
        <v>26870</v>
      </c>
      <c r="E47" s="1674">
        <f t="shared" si="4"/>
        <v>174273</v>
      </c>
      <c r="F47" s="1674">
        <f t="shared" si="4"/>
        <v>155453</v>
      </c>
      <c r="G47" s="1674">
        <f t="shared" si="4"/>
        <v>169655</v>
      </c>
      <c r="H47" s="1674">
        <f t="shared" si="4"/>
        <v>3522</v>
      </c>
      <c r="I47" s="1674">
        <f t="shared" si="4"/>
        <v>0</v>
      </c>
      <c r="J47" s="1674">
        <f t="shared" si="4"/>
        <v>0</v>
      </c>
      <c r="K47" s="1674">
        <f t="shared" si="4"/>
        <v>749273</v>
      </c>
      <c r="L47" s="1674">
        <f>SUM(L44:L46)</f>
        <v>681412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41057</v>
      </c>
      <c r="F49" s="1586">
        <v>11263</v>
      </c>
      <c r="G49" s="1586"/>
      <c r="H49" s="1586">
        <v>12269</v>
      </c>
      <c r="I49" s="1574"/>
      <c r="J49" s="1574"/>
      <c r="K49" s="1678">
        <f>SUM(C49:J49)</f>
        <v>64589</v>
      </c>
      <c r="L49" s="1586">
        <v>60500</v>
      </c>
    </row>
    <row r="50" spans="1:14" x14ac:dyDescent="0.2">
      <c r="A50" s="1274" t="s">
        <v>813</v>
      </c>
      <c r="B50" s="503">
        <v>2320</v>
      </c>
      <c r="C50" s="1573">
        <v>189826</v>
      </c>
      <c r="D50" s="1573">
        <v>25050</v>
      </c>
      <c r="E50" s="1573">
        <v>10328</v>
      </c>
      <c r="F50" s="1573">
        <v>474</v>
      </c>
      <c r="G50" s="1573"/>
      <c r="H50" s="1573">
        <v>2006</v>
      </c>
      <c r="I50" s="1574"/>
      <c r="J50" s="1574"/>
      <c r="K50" s="1678">
        <f>SUM(C50:J50)</f>
        <v>227684</v>
      </c>
      <c r="L50" s="1573">
        <v>223871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189826</v>
      </c>
      <c r="D53" s="1674">
        <f t="shared" ref="D53:L53" si="5">SUM(D49:D52)</f>
        <v>25050</v>
      </c>
      <c r="E53" s="1674">
        <f t="shared" si="5"/>
        <v>51385</v>
      </c>
      <c r="F53" s="1674">
        <f t="shared" si="5"/>
        <v>11737</v>
      </c>
      <c r="G53" s="1674">
        <f t="shared" si="5"/>
        <v>0</v>
      </c>
      <c r="H53" s="1674">
        <f t="shared" si="5"/>
        <v>14275</v>
      </c>
      <c r="I53" s="1674">
        <f t="shared" si="5"/>
        <v>0</v>
      </c>
      <c r="J53" s="1674">
        <f t="shared" si="5"/>
        <v>0</v>
      </c>
      <c r="K53" s="1674">
        <f t="shared" si="5"/>
        <v>292273</v>
      </c>
      <c r="L53" s="1674">
        <f t="shared" si="5"/>
        <v>284371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902765</v>
      </c>
      <c r="D55" s="1586">
        <v>123661</v>
      </c>
      <c r="E55" s="1586">
        <v>183</v>
      </c>
      <c r="F55" s="1586">
        <v>4101</v>
      </c>
      <c r="G55" s="1586"/>
      <c r="H55" s="1586">
        <v>1098</v>
      </c>
      <c r="I55" s="1574"/>
      <c r="J55" s="1574"/>
      <c r="K55" s="1678">
        <f>SUM(C55:J55)</f>
        <v>1031808</v>
      </c>
      <c r="L55" s="1586">
        <v>1057044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902765</v>
      </c>
      <c r="D57" s="1679">
        <f t="shared" ref="D57:K57" si="6">SUM(D55:D56)</f>
        <v>123661</v>
      </c>
      <c r="E57" s="1679">
        <f t="shared" si="6"/>
        <v>183</v>
      </c>
      <c r="F57" s="1679">
        <f t="shared" si="6"/>
        <v>4101</v>
      </c>
      <c r="G57" s="1679">
        <f t="shared" si="6"/>
        <v>0</v>
      </c>
      <c r="H57" s="1679">
        <f t="shared" si="6"/>
        <v>1098</v>
      </c>
      <c r="I57" s="1679">
        <f t="shared" si="6"/>
        <v>0</v>
      </c>
      <c r="J57" s="1679">
        <f t="shared" si="6"/>
        <v>0</v>
      </c>
      <c r="K57" s="1679">
        <f t="shared" si="6"/>
        <v>1031808</v>
      </c>
      <c r="L57" s="1674">
        <f>SUM(L55:L56)</f>
        <v>1057044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34073</v>
      </c>
      <c r="D60" s="1573">
        <v>5614</v>
      </c>
      <c r="E60" s="1573">
        <v>9812</v>
      </c>
      <c r="F60" s="1573">
        <v>2651</v>
      </c>
      <c r="G60" s="1573"/>
      <c r="H60" s="1573">
        <v>193713</v>
      </c>
      <c r="I60" s="1574"/>
      <c r="J60" s="1574"/>
      <c r="K60" s="1678">
        <f t="shared" si="7"/>
        <v>245863</v>
      </c>
      <c r="L60" s="1573">
        <v>202594</v>
      </c>
      <c r="M60" s="501"/>
      <c r="N60" s="501"/>
    </row>
    <row r="61" spans="1:14" s="321" customFormat="1" x14ac:dyDescent="0.2">
      <c r="A61" s="1274" t="s">
        <v>195</v>
      </c>
      <c r="B61" s="503">
        <v>2540</v>
      </c>
      <c r="C61" s="1573">
        <v>270089</v>
      </c>
      <c r="D61" s="1573">
        <v>57339</v>
      </c>
      <c r="E61" s="1573">
        <v>56362</v>
      </c>
      <c r="F61" s="1573">
        <v>209896</v>
      </c>
      <c r="G61" s="1573">
        <v>654616</v>
      </c>
      <c r="H61" s="1573"/>
      <c r="I61" s="1574"/>
      <c r="J61" s="1574"/>
      <c r="K61" s="1678">
        <f t="shared" si="7"/>
        <v>1248302</v>
      </c>
      <c r="L61" s="1573">
        <v>727317</v>
      </c>
      <c r="M61" s="501"/>
      <c r="N61" s="501"/>
    </row>
    <row r="62" spans="1:14" s="321" customFormat="1" x14ac:dyDescent="0.2">
      <c r="A62" s="1274" t="s">
        <v>947</v>
      </c>
      <c r="B62" s="503">
        <v>2550</v>
      </c>
      <c r="C62" s="1573">
        <v>11869</v>
      </c>
      <c r="D62" s="1573">
        <v>3953</v>
      </c>
      <c r="E62" s="1573"/>
      <c r="F62" s="1573"/>
      <c r="G62" s="1573"/>
      <c r="H62" s="1573"/>
      <c r="I62" s="1574"/>
      <c r="J62" s="1574"/>
      <c r="K62" s="1678">
        <f t="shared" si="7"/>
        <v>15822</v>
      </c>
      <c r="L62" s="1573">
        <v>29255</v>
      </c>
      <c r="M62" s="501"/>
      <c r="N62" s="501"/>
    </row>
    <row r="63" spans="1:14" s="501" customFormat="1" x14ac:dyDescent="0.2">
      <c r="A63" s="1274" t="s">
        <v>100</v>
      </c>
      <c r="B63" s="503">
        <v>2560</v>
      </c>
      <c r="C63" s="1573">
        <v>166945</v>
      </c>
      <c r="D63" s="1573">
        <v>52765</v>
      </c>
      <c r="E63" s="1573">
        <v>30948</v>
      </c>
      <c r="F63" s="1573">
        <v>220777</v>
      </c>
      <c r="G63" s="1573"/>
      <c r="H63" s="1573">
        <v>2228</v>
      </c>
      <c r="I63" s="1574"/>
      <c r="J63" s="1574"/>
      <c r="K63" s="1678">
        <f t="shared" si="7"/>
        <v>473663</v>
      </c>
      <c r="L63" s="1573">
        <v>549639</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482976</v>
      </c>
      <c r="D65" s="1674">
        <f t="shared" ref="D65:L65" si="8">SUM(D59:D64)</f>
        <v>119671</v>
      </c>
      <c r="E65" s="1674">
        <f t="shared" si="8"/>
        <v>97122</v>
      </c>
      <c r="F65" s="1674">
        <f t="shared" si="8"/>
        <v>433324</v>
      </c>
      <c r="G65" s="1674">
        <f t="shared" si="8"/>
        <v>654616</v>
      </c>
      <c r="H65" s="1674">
        <f t="shared" si="8"/>
        <v>195941</v>
      </c>
      <c r="I65" s="1674">
        <f t="shared" si="8"/>
        <v>0</v>
      </c>
      <c r="J65" s="1674">
        <f t="shared" si="8"/>
        <v>0</v>
      </c>
      <c r="K65" s="1674">
        <f t="shared" si="8"/>
        <v>1983650</v>
      </c>
      <c r="L65" s="1674">
        <f t="shared" si="8"/>
        <v>1508805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2173565</v>
      </c>
      <c r="D74" s="1681">
        <f t="shared" ref="D74:K74" si="10">SUM(D42,D47,D53,D57,D65,D72,D73)</f>
        <v>347721</v>
      </c>
      <c r="E74" s="1681">
        <f t="shared" si="10"/>
        <v>382033</v>
      </c>
      <c r="F74" s="1681">
        <f t="shared" si="10"/>
        <v>638120</v>
      </c>
      <c r="G74" s="1681">
        <f t="shared" si="10"/>
        <v>824271</v>
      </c>
      <c r="H74" s="1681">
        <f t="shared" si="10"/>
        <v>215883</v>
      </c>
      <c r="I74" s="1681">
        <f t="shared" si="10"/>
        <v>0</v>
      </c>
      <c r="J74" s="1681">
        <f t="shared" si="10"/>
        <v>0</v>
      </c>
      <c r="K74" s="1681">
        <f t="shared" si="10"/>
        <v>4581593</v>
      </c>
      <c r="L74" s="1681">
        <f>SUM(L42,L47,L53,L57,L65,L72,L73)</f>
        <v>3980305</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446384</v>
      </c>
      <c r="F79" s="1673"/>
      <c r="G79" s="1673"/>
      <c r="H79" s="1573"/>
      <c r="I79" s="1582"/>
      <c r="J79" s="1582"/>
      <c r="K79" s="1672">
        <f t="shared" si="11"/>
        <v>446384</v>
      </c>
      <c r="L79" s="1573">
        <v>132000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2097</v>
      </c>
      <c r="F81" s="1673"/>
      <c r="G81" s="1673"/>
      <c r="H81" s="1573"/>
      <c r="I81" s="1582"/>
      <c r="J81" s="1582"/>
      <c r="K81" s="1672">
        <f t="shared" si="11"/>
        <v>2097</v>
      </c>
      <c r="L81" s="1573">
        <v>2312</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448481</v>
      </c>
      <c r="F84" s="1673"/>
      <c r="G84" s="1673"/>
      <c r="H84" s="1674">
        <f>SUM(H78:H83)</f>
        <v>0</v>
      </c>
      <c r="I84" s="1582"/>
      <c r="J84" s="1582"/>
      <c r="K84" s="1674">
        <f>SUM(K78:K83)</f>
        <v>448481</v>
      </c>
      <c r="L84" s="1674">
        <f>SUM(L78:L83)</f>
        <v>134312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448481</v>
      </c>
      <c r="F102" s="1673"/>
      <c r="G102" s="1673"/>
      <c r="H102" s="1681">
        <f>SUM(H84,H92,H100,H101)</f>
        <v>0</v>
      </c>
      <c r="I102" s="1582"/>
      <c r="J102" s="1582"/>
      <c r="K102" s="1681">
        <f>SUM(K84,K92,K100,K101)</f>
        <v>448481</v>
      </c>
      <c r="L102" s="1681">
        <f>SUM(L84,L92,L100,L101)</f>
        <v>134312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7850311</v>
      </c>
      <c r="D114" s="1674">
        <f t="shared" ref="D114:K114" si="13">SUM(D33,D74,D75,D102,D112,D113)</f>
        <v>1323390</v>
      </c>
      <c r="E114" s="1674">
        <f t="shared" si="13"/>
        <v>2018246</v>
      </c>
      <c r="F114" s="1674">
        <f t="shared" si="13"/>
        <v>1236415</v>
      </c>
      <c r="G114" s="1674">
        <f t="shared" si="13"/>
        <v>852174</v>
      </c>
      <c r="H114" s="1674">
        <f>SUM(H33,H74,H75,H102,H112,H113)</f>
        <v>229886</v>
      </c>
      <c r="I114" s="1674">
        <f t="shared" si="13"/>
        <v>0</v>
      </c>
      <c r="J114" s="1674">
        <f t="shared" si="13"/>
        <v>0</v>
      </c>
      <c r="K114" s="1674">
        <f t="shared" si="13"/>
        <v>13510422</v>
      </c>
      <c r="L114" s="1674">
        <f>SUM(L33,L74,L75,L102,L112,L113)</f>
        <v>12413641</v>
      </c>
    </row>
    <row r="115" spans="1:14" ht="13.5" thickTop="1" x14ac:dyDescent="0.2">
      <c r="A115" s="2289" t="s">
        <v>989</v>
      </c>
      <c r="B115" s="2290"/>
      <c r="C115" s="1675"/>
      <c r="D115" s="1675"/>
      <c r="E115" s="1675"/>
      <c r="F115" s="1675"/>
      <c r="G115" s="1675"/>
      <c r="H115" s="1675"/>
      <c r="I115" s="1675"/>
      <c r="J115" s="1675"/>
      <c r="K115" s="1689">
        <f>'Revenues 9-14'!C268-'Expenditures 15-22'!K114</f>
        <v>210939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v>489000</v>
      </c>
    </row>
    <row r="124" spans="1:14" ht="14.25" thickTop="1" thickBot="1" x14ac:dyDescent="0.25">
      <c r="A124" s="1274" t="s">
        <v>195</v>
      </c>
      <c r="B124" s="503">
        <v>2540</v>
      </c>
      <c r="C124" s="1573"/>
      <c r="D124" s="1573"/>
      <c r="E124" s="1573">
        <v>259295</v>
      </c>
      <c r="F124" s="1573">
        <v>75908</v>
      </c>
      <c r="G124" s="1573">
        <v>26651</v>
      </c>
      <c r="H124" s="1573"/>
      <c r="I124" s="1574"/>
      <c r="J124" s="1574"/>
      <c r="K124" s="1674">
        <f>SUM(C124:J124)</f>
        <v>361854</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259295</v>
      </c>
      <c r="F127" s="1674">
        <f t="shared" si="14"/>
        <v>75908</v>
      </c>
      <c r="G127" s="1674">
        <f t="shared" si="14"/>
        <v>26651</v>
      </c>
      <c r="H127" s="1674">
        <f t="shared" si="14"/>
        <v>0</v>
      </c>
      <c r="I127" s="1674">
        <f t="shared" si="14"/>
        <v>0</v>
      </c>
      <c r="J127" s="1674">
        <f t="shared" si="14"/>
        <v>0</v>
      </c>
      <c r="K127" s="1674">
        <f t="shared" si="14"/>
        <v>361854</v>
      </c>
      <c r="L127" s="1674">
        <f t="shared" si="14"/>
        <v>489000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259295</v>
      </c>
      <c r="F129" s="1681">
        <f t="shared" si="15"/>
        <v>75908</v>
      </c>
      <c r="G129" s="1681">
        <f t="shared" si="15"/>
        <v>26651</v>
      </c>
      <c r="H129" s="1681">
        <f t="shared" si="15"/>
        <v>0</v>
      </c>
      <c r="I129" s="1681">
        <f t="shared" si="15"/>
        <v>0</v>
      </c>
      <c r="J129" s="1681">
        <f t="shared" si="15"/>
        <v>0</v>
      </c>
      <c r="K129" s="1681">
        <f t="shared" si="15"/>
        <v>361854</v>
      </c>
      <c r="L129" s="1681">
        <f t="shared" si="15"/>
        <v>489000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61"/>
      <c r="C151" s="1674">
        <f>SUM(C129,C130,C139,C149,C150)</f>
        <v>0</v>
      </c>
      <c r="D151" s="1674">
        <f t="shared" ref="D151:K151" si="16">SUM(D129,D130,D139,D149,D150)</f>
        <v>0</v>
      </c>
      <c r="E151" s="1674">
        <f t="shared" si="16"/>
        <v>259295</v>
      </c>
      <c r="F151" s="1674">
        <f t="shared" si="16"/>
        <v>75908</v>
      </c>
      <c r="G151" s="1674">
        <f t="shared" si="16"/>
        <v>26651</v>
      </c>
      <c r="H151" s="1674">
        <f t="shared" si="16"/>
        <v>0</v>
      </c>
      <c r="I151" s="1674">
        <f t="shared" si="16"/>
        <v>0</v>
      </c>
      <c r="J151" s="1674">
        <f t="shared" si="16"/>
        <v>0</v>
      </c>
      <c r="K151" s="1674">
        <f t="shared" si="16"/>
        <v>361854</v>
      </c>
      <c r="L151" s="1674">
        <f>SUM(L129,L130,L139,L149,L150)</f>
        <v>489000</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63733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17806</v>
      </c>
      <c r="I169" s="1673"/>
      <c r="J169" s="1673"/>
      <c r="K169" s="1672">
        <f>SUM(C169:H169)</f>
        <v>17806</v>
      </c>
      <c r="L169" s="1695"/>
    </row>
    <row r="170" spans="1:14" ht="33.75" customHeight="1" x14ac:dyDescent="0.2">
      <c r="A170" s="543" t="s">
        <v>1651</v>
      </c>
      <c r="B170" s="545" t="s">
        <v>31</v>
      </c>
      <c r="C170" s="1673"/>
      <c r="D170" s="1673"/>
      <c r="E170" s="1673"/>
      <c r="F170" s="1673"/>
      <c r="G170" s="1673"/>
      <c r="H170" s="1646">
        <v>296500</v>
      </c>
      <c r="I170" s="1673"/>
      <c r="J170" s="1673"/>
      <c r="K170" s="1672">
        <f>SUM(C170:J170)</f>
        <v>296500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314306</v>
      </c>
      <c r="I172" s="1684"/>
      <c r="J172" s="1673"/>
      <c r="K172" s="1681">
        <f>SUM(K168,K169,K170,K171)</f>
        <v>314306</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314306</v>
      </c>
      <c r="I174" s="1684"/>
      <c r="J174" s="1673"/>
      <c r="K174" s="1681">
        <f>SUM(K160,K172,K173)</f>
        <v>314306</v>
      </c>
      <c r="L174" s="1681">
        <f>SUM(L160,L172,L173)</f>
        <v>0</v>
      </c>
    </row>
    <row r="175" spans="1:14" ht="13.5" thickTop="1" x14ac:dyDescent="0.2">
      <c r="A175" s="2289" t="s">
        <v>989</v>
      </c>
      <c r="B175" s="2290"/>
      <c r="C175" s="1673"/>
      <c r="D175" s="1673"/>
      <c r="E175" s="1673"/>
      <c r="F175" s="1673"/>
      <c r="G175" s="1673"/>
      <c r="H175" s="1675"/>
      <c r="I175" s="1673"/>
      <c r="J175" s="1673"/>
      <c r="K175" s="1689">
        <f>'Revenues 9-14'!E268-'Expenditures 15-22'!K174</f>
        <v>383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269669</v>
      </c>
      <c r="D182" s="1573">
        <v>126833</v>
      </c>
      <c r="E182" s="1573">
        <v>27262</v>
      </c>
      <c r="F182" s="1573">
        <v>73160</v>
      </c>
      <c r="G182" s="1573">
        <v>37050</v>
      </c>
      <c r="H182" s="1573"/>
      <c r="I182" s="1574"/>
      <c r="J182" s="1574"/>
      <c r="K182" s="1672">
        <f>SUM(C182:J182)</f>
        <v>533974</v>
      </c>
      <c r="L182" s="1573">
        <v>552722</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269669</v>
      </c>
      <c r="D184" s="1681">
        <f t="shared" ref="D184:J184" si="17">SUM(D180,D182,D183)</f>
        <v>126833</v>
      </c>
      <c r="E184" s="1681">
        <f t="shared" si="17"/>
        <v>27262</v>
      </c>
      <c r="F184" s="1681">
        <f t="shared" si="17"/>
        <v>73160</v>
      </c>
      <c r="G184" s="1681">
        <f t="shared" si="17"/>
        <v>37050</v>
      </c>
      <c r="H184" s="1681">
        <f t="shared" si="17"/>
        <v>0</v>
      </c>
      <c r="I184" s="1681">
        <f t="shared" si="17"/>
        <v>0</v>
      </c>
      <c r="J184" s="1681">
        <f t="shared" si="17"/>
        <v>0</v>
      </c>
      <c r="K184" s="1681">
        <f>SUM(K180,K182,K183)</f>
        <v>533974</v>
      </c>
      <c r="L184" s="1681">
        <f>SUM(L180, L182:L183)</f>
        <v>552722</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6242</v>
      </c>
      <c r="I205" s="1673"/>
      <c r="J205" s="1673"/>
      <c r="K205" s="1696">
        <f>SUM(H205)</f>
        <v>6242</v>
      </c>
      <c r="L205" s="1630"/>
    </row>
    <row r="206" spans="1:14" ht="30" customHeight="1" x14ac:dyDescent="0.2">
      <c r="A206" s="555" t="s">
        <v>1652</v>
      </c>
      <c r="B206" s="546" t="s">
        <v>31</v>
      </c>
      <c r="C206" s="1673"/>
      <c r="D206" s="1673"/>
      <c r="E206" s="1673"/>
      <c r="F206" s="1673"/>
      <c r="G206" s="1673"/>
      <c r="H206" s="1573">
        <v>37680</v>
      </c>
      <c r="I206" s="1673"/>
      <c r="J206" s="1673"/>
      <c r="K206" s="1672">
        <f>SUM(H206)</f>
        <v>37680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43922</v>
      </c>
      <c r="I208" s="1673"/>
      <c r="J208" s="1673"/>
      <c r="K208" s="1681">
        <f>SUM(K204,K205,K206,K207)</f>
        <v>43922</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269669</v>
      </c>
      <c r="D210" s="1674">
        <f>SUM(D184,D185)</f>
        <v>126833</v>
      </c>
      <c r="E210" s="1674">
        <f>SUM(E184,E185,E196)</f>
        <v>27262</v>
      </c>
      <c r="F210" s="1674">
        <f>SUM(F184,F185)</f>
        <v>73160</v>
      </c>
      <c r="G210" s="1674">
        <f>SUM(G184,G185)</f>
        <v>37050</v>
      </c>
      <c r="H210" s="1674">
        <f>SUM(H184,H185,H196,H208,H209)</f>
        <v>43922</v>
      </c>
      <c r="I210" s="1674">
        <f>SUM(I184,I185)</f>
        <v>0</v>
      </c>
      <c r="J210" s="1674">
        <f>SUM(J184,J185)</f>
        <v>0</v>
      </c>
      <c r="K210" s="1672">
        <f>SUM(K184,K185,K196,K208,K209)</f>
        <v>577896</v>
      </c>
      <c r="L210" s="1674">
        <f>SUM(L184,L185,L196,L208,L209)</f>
        <v>552722</v>
      </c>
    </row>
    <row r="211" spans="1:14" ht="13.5" thickTop="1" x14ac:dyDescent="0.2">
      <c r="A211" s="2289" t="s">
        <v>989</v>
      </c>
      <c r="B211" s="2290"/>
      <c r="C211" s="1675"/>
      <c r="D211" s="1675"/>
      <c r="E211" s="1675"/>
      <c r="F211" s="1675"/>
      <c r="G211" s="1675"/>
      <c r="H211" s="1675"/>
      <c r="I211" s="1673"/>
      <c r="J211" s="1673"/>
      <c r="K211" s="1689">
        <f>'Revenues 9-14'!F268-'Expenditures 15-22'!K210</f>
        <v>119719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75410</v>
      </c>
      <c r="E215" s="1673"/>
      <c r="F215" s="1673"/>
      <c r="G215" s="1673"/>
      <c r="H215" s="1673"/>
      <c r="I215" s="1673"/>
      <c r="J215" s="1673"/>
      <c r="K215" s="1672">
        <f>D215</f>
        <v>75410</v>
      </c>
      <c r="L215" s="1573">
        <v>78256</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73580</v>
      </c>
      <c r="E217" s="1673"/>
      <c r="F217" s="1673"/>
      <c r="G217" s="1673"/>
      <c r="H217" s="1673"/>
      <c r="I217" s="1673"/>
      <c r="J217" s="1673"/>
      <c r="K217" s="1672">
        <f t="shared" si="19"/>
        <v>73580</v>
      </c>
      <c r="L217" s="1573">
        <v>83139</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35948</v>
      </c>
      <c r="E219" s="1673"/>
      <c r="F219" s="1673"/>
      <c r="G219" s="1673"/>
      <c r="H219" s="1673"/>
      <c r="I219" s="1673"/>
      <c r="J219" s="1673"/>
      <c r="K219" s="1672">
        <f t="shared" si="19"/>
        <v>35948</v>
      </c>
      <c r="L219" s="1573">
        <v>31780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4194</v>
      </c>
      <c r="E222" s="1673"/>
      <c r="F222" s="1673"/>
      <c r="G222" s="1673"/>
      <c r="H222" s="1673"/>
      <c r="I222" s="1673"/>
      <c r="J222" s="1673"/>
      <c r="K222" s="1672">
        <f t="shared" si="19"/>
        <v>4194</v>
      </c>
      <c r="L222" s="1573">
        <v>3631</v>
      </c>
    </row>
    <row r="223" spans="1:14" x14ac:dyDescent="0.2">
      <c r="A223" s="1274" t="s">
        <v>957</v>
      </c>
      <c r="B223" s="503">
        <v>1500</v>
      </c>
      <c r="C223" s="1673"/>
      <c r="D223" s="1573">
        <v>11793</v>
      </c>
      <c r="E223" s="1673"/>
      <c r="F223" s="1673"/>
      <c r="G223" s="1673"/>
      <c r="H223" s="1673"/>
      <c r="I223" s="1673"/>
      <c r="J223" s="1673"/>
      <c r="K223" s="1672">
        <f t="shared" si="19"/>
        <v>11793</v>
      </c>
      <c r="L223" s="1573">
        <v>10961</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200925</v>
      </c>
      <c r="E229" s="1673"/>
      <c r="F229" s="1673"/>
      <c r="G229" s="1673"/>
      <c r="H229" s="1673"/>
      <c r="I229" s="1673"/>
      <c r="J229" s="1673"/>
      <c r="K229" s="1674">
        <f>SUM(K215:K228)</f>
        <v>200925</v>
      </c>
      <c r="L229" s="1674">
        <f>SUM(L215:L228)</f>
        <v>207767</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1685</v>
      </c>
      <c r="E232" s="1673"/>
      <c r="F232" s="1673"/>
      <c r="G232" s="1673"/>
      <c r="H232" s="1673"/>
      <c r="I232" s="1673"/>
      <c r="J232" s="1673"/>
      <c r="K232" s="1672">
        <f t="shared" ref="K232:K237" si="20">D232</f>
        <v>1685</v>
      </c>
      <c r="L232" s="1573">
        <v>1717</v>
      </c>
    </row>
    <row r="233" spans="1:12" x14ac:dyDescent="0.2">
      <c r="A233" s="1274" t="s">
        <v>1081</v>
      </c>
      <c r="B233" s="503">
        <v>2120</v>
      </c>
      <c r="C233" s="1673"/>
      <c r="D233" s="1573">
        <v>761</v>
      </c>
      <c r="E233" s="1673"/>
      <c r="F233" s="1673"/>
      <c r="G233" s="1673"/>
      <c r="H233" s="1673"/>
      <c r="I233" s="1673"/>
      <c r="J233" s="1673"/>
      <c r="K233" s="1672">
        <f t="shared" si="20"/>
        <v>761</v>
      </c>
      <c r="L233" s="1573">
        <v>774</v>
      </c>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v>1051</v>
      </c>
      <c r="E235" s="1673"/>
      <c r="F235" s="1673"/>
      <c r="G235" s="1673"/>
      <c r="H235" s="1673"/>
      <c r="I235" s="1673"/>
      <c r="J235" s="1673"/>
      <c r="K235" s="1672">
        <f t="shared" si="20"/>
        <v>1051</v>
      </c>
      <c r="L235" s="1573">
        <v>1121</v>
      </c>
    </row>
    <row r="236" spans="1:12" x14ac:dyDescent="0.2">
      <c r="A236" s="1274" t="s">
        <v>198</v>
      </c>
      <c r="B236" s="503">
        <v>2150</v>
      </c>
      <c r="C236" s="1673"/>
      <c r="D236" s="1573">
        <v>1784</v>
      </c>
      <c r="E236" s="1673"/>
      <c r="F236" s="1673"/>
      <c r="G236" s="1673"/>
      <c r="H236" s="1673"/>
      <c r="I236" s="1673"/>
      <c r="J236" s="1673"/>
      <c r="K236" s="1672">
        <f t="shared" si="20"/>
        <v>1784</v>
      </c>
      <c r="L236" s="1573">
        <v>2344</v>
      </c>
    </row>
    <row r="237" spans="1:12" x14ac:dyDescent="0.2">
      <c r="A237" s="1274" t="s">
        <v>164</v>
      </c>
      <c r="B237" s="503">
        <v>2190</v>
      </c>
      <c r="C237" s="1673"/>
      <c r="D237" s="1573">
        <v>3</v>
      </c>
      <c r="E237" s="1673"/>
      <c r="F237" s="1673"/>
      <c r="G237" s="1673"/>
      <c r="H237" s="1673"/>
      <c r="I237" s="1673"/>
      <c r="J237" s="1673"/>
      <c r="K237" s="1672">
        <f t="shared" si="20"/>
        <v>3</v>
      </c>
      <c r="L237" s="1573"/>
    </row>
    <row r="238" spans="1:12" ht="12.75" customHeight="1" thickBot="1" x14ac:dyDescent="0.25">
      <c r="A238" s="1380" t="s">
        <v>556</v>
      </c>
      <c r="B238" s="1383" t="s">
        <v>711</v>
      </c>
      <c r="C238" s="1673"/>
      <c r="D238" s="1674">
        <f>SUM(D232:D237)</f>
        <v>5284</v>
      </c>
      <c r="E238" s="1673"/>
      <c r="F238" s="1673"/>
      <c r="G238" s="1673"/>
      <c r="H238" s="1673"/>
      <c r="I238" s="1673"/>
      <c r="J238" s="1673"/>
      <c r="K238" s="1674">
        <f>SUM(K232:K237)</f>
        <v>5284</v>
      </c>
      <c r="L238" s="1674">
        <f>SUM(L232:L237)</f>
        <v>5956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15830</v>
      </c>
      <c r="E240" s="1673"/>
      <c r="F240" s="1673"/>
      <c r="G240" s="1673"/>
      <c r="H240" s="1673"/>
      <c r="I240" s="1673"/>
      <c r="J240" s="1673"/>
      <c r="K240" s="1678">
        <f>D240</f>
        <v>15830</v>
      </c>
      <c r="L240" s="1586">
        <v>16355</v>
      </c>
    </row>
    <row r="241" spans="1:12" x14ac:dyDescent="0.2">
      <c r="A241" s="1274" t="s">
        <v>810</v>
      </c>
      <c r="B241" s="503">
        <v>2220</v>
      </c>
      <c r="C241" s="1673"/>
      <c r="D241" s="1573">
        <v>16083</v>
      </c>
      <c r="E241" s="1673"/>
      <c r="F241" s="1673"/>
      <c r="G241" s="1673"/>
      <c r="H241" s="1673"/>
      <c r="I241" s="1673"/>
      <c r="J241" s="1673"/>
      <c r="K241" s="1678">
        <f>D241</f>
        <v>16083</v>
      </c>
      <c r="L241" s="1573">
        <v>15442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31913</v>
      </c>
      <c r="E243" s="1673"/>
      <c r="F243" s="1673"/>
      <c r="G243" s="1673"/>
      <c r="H243" s="1673"/>
      <c r="I243" s="1673"/>
      <c r="J243" s="1673"/>
      <c r="K243" s="1674">
        <f>SUM(K240:K242)</f>
        <v>31913</v>
      </c>
      <c r="L243" s="1674">
        <f>SUM(L240:L242)</f>
        <v>31797</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v>4000</v>
      </c>
    </row>
    <row r="246" spans="1:12" x14ac:dyDescent="0.2">
      <c r="A246" s="1274" t="s">
        <v>813</v>
      </c>
      <c r="B246" s="503">
        <v>2320</v>
      </c>
      <c r="C246" s="1673"/>
      <c r="D246" s="1573">
        <v>8556</v>
      </c>
      <c r="E246" s="1673"/>
      <c r="F246" s="1673"/>
      <c r="G246" s="1673"/>
      <c r="H246" s="1673"/>
      <c r="I246" s="1673"/>
      <c r="J246" s="1673"/>
      <c r="K246" s="1678">
        <f t="shared" ref="K246:K256" si="21">D246</f>
        <v>8556</v>
      </c>
      <c r="L246" s="1573">
        <v>10431</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8556</v>
      </c>
      <c r="E257" s="1673"/>
      <c r="F257" s="1673"/>
      <c r="G257" s="1673"/>
      <c r="H257" s="1673"/>
      <c r="I257" s="1673"/>
      <c r="J257" s="1673"/>
      <c r="K257" s="1674">
        <f>SUM(K245:K256)</f>
        <v>8556</v>
      </c>
      <c r="L257" s="1674">
        <f>SUM(L245:L256)</f>
        <v>14431</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35576</v>
      </c>
      <c r="E259" s="1673"/>
      <c r="F259" s="1673"/>
      <c r="G259" s="1673"/>
      <c r="H259" s="1673"/>
      <c r="I259" s="1673"/>
      <c r="J259" s="1673"/>
      <c r="K259" s="1678">
        <f>D259</f>
        <v>35576</v>
      </c>
      <c r="L259" s="1586">
        <v>35242</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35576</v>
      </c>
      <c r="E261" s="1673"/>
      <c r="F261" s="1673"/>
      <c r="G261" s="1673"/>
      <c r="H261" s="1673"/>
      <c r="I261" s="1673"/>
      <c r="J261" s="1673"/>
      <c r="K261" s="1674">
        <f>SUM(K259:K260)</f>
        <v>35576</v>
      </c>
      <c r="L261" s="1674">
        <f>SUM(L259:L260)</f>
        <v>35242</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7042</v>
      </c>
      <c r="E264" s="1673"/>
      <c r="F264" s="1673"/>
      <c r="G264" s="1673"/>
      <c r="H264" s="1673"/>
      <c r="I264" s="1673"/>
      <c r="J264" s="1673"/>
      <c r="K264" s="1678">
        <f t="shared" ref="K264:K269" si="22">D264</f>
        <v>7042</v>
      </c>
      <c r="L264" s="1573">
        <v>6795</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48743</v>
      </c>
      <c r="E266" s="1673"/>
      <c r="F266" s="1673"/>
      <c r="G266" s="1673"/>
      <c r="H266" s="1673"/>
      <c r="I266" s="1673"/>
      <c r="J266" s="1673"/>
      <c r="K266" s="1678">
        <f t="shared" si="22"/>
        <v>48743</v>
      </c>
      <c r="L266" s="1573">
        <v>68171</v>
      </c>
    </row>
    <row r="267" spans="1:14" x14ac:dyDescent="0.2">
      <c r="A267" s="1274" t="s">
        <v>947</v>
      </c>
      <c r="B267" s="503">
        <v>2550</v>
      </c>
      <c r="C267" s="1673"/>
      <c r="D267" s="1573">
        <v>58754</v>
      </c>
      <c r="E267" s="1673"/>
      <c r="F267" s="1673"/>
      <c r="G267" s="1673"/>
      <c r="H267" s="1673"/>
      <c r="I267" s="1673"/>
      <c r="J267" s="1673"/>
      <c r="K267" s="1678">
        <f t="shared" si="22"/>
        <v>58754</v>
      </c>
      <c r="L267" s="1573">
        <v>54000</v>
      </c>
    </row>
    <row r="268" spans="1:14" x14ac:dyDescent="0.2">
      <c r="A268" s="1274" t="s">
        <v>100</v>
      </c>
      <c r="B268" s="503">
        <v>2560</v>
      </c>
      <c r="C268" s="1673"/>
      <c r="D268" s="1573">
        <v>33110</v>
      </c>
      <c r="E268" s="1673"/>
      <c r="F268" s="1673"/>
      <c r="G268" s="1673"/>
      <c r="H268" s="1673"/>
      <c r="I268" s="1673"/>
      <c r="J268" s="1673"/>
      <c r="K268" s="1678">
        <f t="shared" si="22"/>
        <v>33110</v>
      </c>
      <c r="L268" s="1573">
        <v>30277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147649</v>
      </c>
      <c r="E270" s="1673"/>
      <c r="F270" s="1673"/>
      <c r="G270" s="1673"/>
      <c r="H270" s="1673"/>
      <c r="I270" s="1673"/>
      <c r="J270" s="1673"/>
      <c r="K270" s="1674">
        <f>SUM(K263:K269)</f>
        <v>147649</v>
      </c>
      <c r="L270" s="1674">
        <f>SUM(L263:L269)</f>
        <v>159243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228978</v>
      </c>
      <c r="E279" s="1673"/>
      <c r="F279" s="1673"/>
      <c r="G279" s="1673"/>
      <c r="H279" s="1673"/>
      <c r="I279" s="1673"/>
      <c r="J279" s="1673"/>
      <c r="K279" s="1681">
        <f>SUM(K238,K243,K257,K261,K270,K277,K278)</f>
        <v>228978</v>
      </c>
      <c r="L279" s="1681">
        <f>SUM(L238,L243,L257,L261,L270,L277,L278)</f>
        <v>246669</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429903</v>
      </c>
      <c r="E295" s="1673"/>
      <c r="F295" s="1673"/>
      <c r="G295" s="1673"/>
      <c r="H295" s="1674">
        <f>H293</f>
        <v>0</v>
      </c>
      <c r="I295" s="1673"/>
      <c r="J295" s="1673"/>
      <c r="K295" s="1674">
        <f>SUM(K229,K279,K280,K285,K293,K294)</f>
        <v>429903</v>
      </c>
      <c r="L295" s="1674">
        <f>SUM(L229,L279,L280,L285,L293,L294)</f>
        <v>454436</v>
      </c>
    </row>
    <row r="296" spans="1:14" ht="13.5" thickTop="1" x14ac:dyDescent="0.2">
      <c r="A296" s="2289" t="s">
        <v>989</v>
      </c>
      <c r="B296" s="2290"/>
      <c r="C296" s="1673"/>
      <c r="D296" s="1675"/>
      <c r="E296" s="1673"/>
      <c r="F296" s="1673"/>
      <c r="G296" s="1673"/>
      <c r="H296" s="1707"/>
      <c r="I296" s="1673"/>
      <c r="J296" s="1673"/>
      <c r="K296" s="1689">
        <f>'Revenues 9-14'!G268-'Expenditures 15-22'!K295</f>
        <v>4829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41590</v>
      </c>
      <c r="F320" s="1574"/>
      <c r="G320" s="1574"/>
      <c r="H320" s="1574"/>
      <c r="I320" s="1574"/>
      <c r="J320" s="1574"/>
      <c r="K320" s="1672">
        <f t="shared" ref="K320:K327" si="24">SUM(C320:J320)</f>
        <v>41590</v>
      </c>
      <c r="L320" s="1574">
        <v>210000</v>
      </c>
      <c r="M320" s="539"/>
      <c r="N320" s="539"/>
    </row>
    <row r="321" spans="1:14" s="548" customFormat="1" x14ac:dyDescent="0.2">
      <c r="A321" s="1289" t="s">
        <v>297</v>
      </c>
      <c r="B321" s="567" t="s">
        <v>281</v>
      </c>
      <c r="C321" s="1574"/>
      <c r="D321" s="1574"/>
      <c r="E321" s="1574">
        <v>18868</v>
      </c>
      <c r="F321" s="1574"/>
      <c r="G321" s="1574"/>
      <c r="H321" s="1574"/>
      <c r="I321" s="1574"/>
      <c r="J321" s="1574"/>
      <c r="K321" s="1672">
        <f t="shared" si="24"/>
        <v>18868</v>
      </c>
      <c r="L321" s="1574"/>
      <c r="M321" s="539"/>
      <c r="N321" s="539"/>
    </row>
    <row r="322" spans="1:14" s="548" customFormat="1" x14ac:dyDescent="0.2">
      <c r="A322" s="1289" t="s">
        <v>236</v>
      </c>
      <c r="B322" s="567" t="s">
        <v>282</v>
      </c>
      <c r="C322" s="1574"/>
      <c r="D322" s="1574"/>
      <c r="E322" s="1574">
        <v>139989</v>
      </c>
      <c r="F322" s="1574"/>
      <c r="G322" s="1574"/>
      <c r="H322" s="1574"/>
      <c r="I322" s="1574"/>
      <c r="J322" s="1574"/>
      <c r="K322" s="1672">
        <f t="shared" si="24"/>
        <v>139989</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10526</v>
      </c>
      <c r="F325" s="1574"/>
      <c r="G325" s="1574"/>
      <c r="H325" s="1574"/>
      <c r="I325" s="1574"/>
      <c r="J325" s="1574"/>
      <c r="K325" s="1672">
        <f t="shared" si="24"/>
        <v>10526</v>
      </c>
      <c r="L325" s="1574">
        <v>50000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22592</v>
      </c>
      <c r="F327" s="1574"/>
      <c r="G327" s="1574"/>
      <c r="H327" s="1574"/>
      <c r="I327" s="1574"/>
      <c r="J327" s="1574"/>
      <c r="K327" s="1672">
        <f t="shared" si="24"/>
        <v>22592</v>
      </c>
      <c r="L327" s="1574">
        <v>40000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233565</v>
      </c>
      <c r="F330" s="1674">
        <f t="shared" si="25"/>
        <v>0</v>
      </c>
      <c r="G330" s="1674">
        <f t="shared" si="25"/>
        <v>0</v>
      </c>
      <c r="H330" s="1674">
        <f t="shared" si="25"/>
        <v>0</v>
      </c>
      <c r="I330" s="1674">
        <f t="shared" si="25"/>
        <v>0</v>
      </c>
      <c r="J330" s="1674">
        <f t="shared" si="25"/>
        <v>0</v>
      </c>
      <c r="K330" s="1674">
        <f>SUM(K319:K329)</f>
        <v>233565</v>
      </c>
      <c r="L330" s="1674">
        <f>SUM(L319:L329)</f>
        <v>300000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233565</v>
      </c>
      <c r="F342" s="1674">
        <f>SUM(F330)</f>
        <v>0</v>
      </c>
      <c r="G342" s="1674">
        <f>SUM(G330)</f>
        <v>0</v>
      </c>
      <c r="H342" s="1674">
        <f>SUM(H330,H334,H340)</f>
        <v>0</v>
      </c>
      <c r="I342" s="1674">
        <f>SUM(I330)</f>
        <v>0</v>
      </c>
      <c r="J342" s="1674">
        <f>SUM(J330)</f>
        <v>0</v>
      </c>
      <c r="K342" s="1674">
        <f>SUM(K330,K334,K340)</f>
        <v>233565</v>
      </c>
      <c r="L342" s="1681">
        <f>SUM(L330,L334,L340,L341)</f>
        <v>300000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2228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210000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210000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210000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210000</v>
      </c>
    </row>
    <row r="368" spans="1:14" ht="13.5" thickTop="1" x14ac:dyDescent="0.2">
      <c r="A368" s="2289" t="s">
        <v>989</v>
      </c>
      <c r="B368" s="2290"/>
      <c r="C368" s="1694"/>
      <c r="D368" s="1694"/>
      <c r="E368" s="1677"/>
      <c r="F368" s="1677"/>
      <c r="G368" s="1677"/>
      <c r="H368" s="1677"/>
      <c r="I368" s="1677"/>
      <c r="J368" s="1676"/>
      <c r="K368" s="1672">
        <f>'Revenues 9-14'!K268-'Expenditures 15-22'!K367</f>
        <v>43015</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http://purl.org/dc/elements/1.1/"/>
    <ds:schemaRef ds:uri="6ce3111e-7420-4802-b50a-75d4e9a0b980"/>
    <ds:schemaRef ds:uri="http://schemas.microsoft.com/sharepoint/v3"/>
    <ds:schemaRef ds:uri="http://schemas.microsoft.com/office/2006/metadata/properties"/>
    <ds:schemaRef ds:uri="d21dc803-237d-4c68-8692-8d731fd29118"/>
    <ds:schemaRef ds:uri="4d435f69-8686-490b-bd6d-b153bf22ab50"/>
    <ds:schemaRef ds:uri="http://www.w3.org/XML/1998/namespace"/>
    <ds:schemaRef ds:uri="http://purl.org/dc/dcmitype/"/>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 (3)</vt:lpstr>
      <vt:lpstr> SEFA</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2020-11-09T01:07:49Z</cp:lastPrinted>
  <dcterms:created xsi:type="dcterms:W3CDTF">2003-10-29T19:06:34Z</dcterms:created>
  <dcterms:modified xsi:type="dcterms:W3CDTF">2020-11-17T23:58:33Z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