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62ED6F5-FFFD-4A52-A355-91F602BEDBBB}" xr6:coauthVersionLast="36" xr6:coauthVersionMax="36" xr10:uidLastSave="{00000000-0000-0000-0000-000000000000}"/>
  <bookViews>
    <workbookView xWindow="-15" yWindow="13650" windowWidth="2532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3" l="1"/>
  <c r="C4" i="3" l="1"/>
  <c r="E322" i="29" l="1"/>
  <c r="H30" i="29"/>
  <c r="A40" i="24"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35" i="106"/>
  <c r="D7135" i="106" s="1"/>
  <c r="E58" i="184"/>
  <c r="N58" i="184" s="1"/>
  <c r="F50" i="34"/>
  <c r="B7705" i="106"/>
  <c r="D7705" i="106" s="1"/>
  <c r="E67" i="184"/>
  <c r="N67" i="184" s="1"/>
  <c r="B7198" i="106"/>
  <c r="D7198" i="106" s="1"/>
  <c r="E65" i="184"/>
  <c r="N65" i="184" s="1"/>
  <c r="B7180" i="106"/>
  <c r="D7180" i="106" s="1"/>
  <c r="E63" i="184"/>
  <c r="N63" i="184" s="1"/>
  <c r="B7126" i="106"/>
  <c r="D7126" i="106" s="1"/>
  <c r="E57" i="184"/>
  <c r="N57" i="184" s="1"/>
  <c r="H15" i="184"/>
  <c r="G33" i="108"/>
  <c r="E17" i="184"/>
  <c r="H17" i="184" s="1"/>
  <c r="D31" i="108"/>
  <c r="E16" i="184"/>
  <c r="H16" i="184" s="1"/>
  <c r="B7171" i="106"/>
  <c r="D7171" i="106" s="1"/>
  <c r="E62" i="184"/>
  <c r="N62" i="184" s="1"/>
  <c r="B7153" i="106"/>
  <c r="D7153" i="106" s="1"/>
  <c r="E60" i="184"/>
  <c r="N60" i="184" s="1"/>
  <c r="C342" i="29"/>
  <c r="B7216" i="106" s="1"/>
  <c r="D7216" i="106" s="1"/>
  <c r="B7162" i="106"/>
  <c r="D7162" i="106" s="1"/>
  <c r="E61" i="184"/>
  <c r="E19" i="184"/>
  <c r="H12" i="184"/>
  <c r="H19" i="184" s="1"/>
  <c r="L20" i="184" s="1"/>
  <c r="B7826" i="106"/>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328" i="106" l="1"/>
  <c r="D1328" i="106" s="1"/>
  <c r="E367" i="29"/>
  <c r="B3635" i="106"/>
  <c r="B7215" i="106"/>
  <c r="D7215" i="106" s="1"/>
  <c r="N23" i="3"/>
  <c r="B284" i="106" s="1"/>
  <c r="D284" i="106" s="1"/>
  <c r="B7220" i="106"/>
  <c r="D7220" i="106" s="1"/>
  <c r="F75" i="34"/>
  <c r="B7886" i="106" s="1"/>
  <c r="D7886" i="106" s="1"/>
  <c r="B7222" i="106"/>
  <c r="D7222" i="106" s="1"/>
  <c r="F76" i="34"/>
  <c r="B7887" i="106" s="1"/>
  <c r="D7887" i="106" s="1"/>
  <c r="B7235" i="106"/>
  <c r="D7235" i="106" s="1"/>
  <c r="L16" i="11"/>
  <c r="B2061" i="106" s="1"/>
  <c r="D2061" i="106" s="1"/>
  <c r="N61" i="184"/>
  <c r="N68" i="184" s="1"/>
  <c r="E68" i="184"/>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B7834" i="106" l="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6214" i="106" l="1"/>
  <c r="D6214" i="106" s="1"/>
  <c r="J41" i="3"/>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535" i="106" l="1"/>
  <c r="D2535" i="106" s="1"/>
  <c r="H41" i="3"/>
  <c r="B2912" i="106"/>
  <c r="D2912" i="106" s="1"/>
  <c r="I41" i="3"/>
  <c r="B3566" i="106"/>
  <c r="D3566" i="106" s="1"/>
  <c r="K41" i="3"/>
  <c r="D51" i="36"/>
  <c r="B6216" i="106"/>
  <c r="D6216" i="106" s="1"/>
  <c r="B123" i="106"/>
  <c r="D123" i="106" s="1"/>
  <c r="D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9"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C41" i="3"/>
  <c r="B2504" i="106"/>
  <c r="D2504" i="106" s="1"/>
  <c r="E41" i="3"/>
  <c r="B3568" i="106"/>
  <c r="D3568" i="106" s="1"/>
  <c r="D52" i="36"/>
  <c r="B2913" i="106"/>
  <c r="D2913" i="106" s="1"/>
  <c r="D50" i="36"/>
  <c r="B213" i="106"/>
  <c r="D213" i="106" s="1"/>
  <c r="D49" i="36"/>
  <c r="D75" i="36"/>
  <c r="B2477" i="106"/>
  <c r="D2477" i="106" s="1"/>
  <c r="G41" i="3"/>
  <c r="B170" i="106"/>
  <c r="D170" i="106" s="1"/>
  <c r="F41" i="3"/>
  <c r="D76" i="36"/>
  <c r="D45" i="36"/>
  <c r="B124" i="106"/>
  <c r="D12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93" i="106"/>
  <c r="D93" i="106" s="1"/>
  <c r="D44" i="36"/>
  <c r="D48" i="36"/>
  <c r="B190" i="106"/>
  <c r="D190" i="106" s="1"/>
  <c r="D47" i="36"/>
  <c r="B171" i="106"/>
  <c r="D171"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<sst xmlns="http://schemas.openxmlformats.org/spreadsheetml/2006/main" count="5145" uniqueCount="2079">
  <si>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</si>
  <si>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</si>
  <si>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</si>
  <si>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</si>
  <si>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</si>
  <si>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</si>
  <si>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</si>
  <si>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</si>
  <si>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</si>
  <si>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</si>
  <si>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</si>
  <si>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</si>
  <si>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</si>
  <si>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</si>
  <si>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</si>
  <si>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</si>
  <si>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</si>
  <si>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</si>
  <si>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</si>
  <si>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</si>
  <si>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</si>
  <si>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</si>
  <si>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</si>
  <si>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</si>
  <si>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</si>
  <si>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</si>
  <si>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</si>
  <si>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</si>
  <si>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</si>
  <si>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</si>
  <si>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</si>
  <si>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</si>
  <si>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</si>
  <si>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</si>
  <si>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</si>
  <si>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</si>
  <si>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</si>
  <si>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</si>
  <si>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</si>
  <si>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</si>
  <si>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</si>
  <si>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</si>
  <si>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</si>
  <si>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</si>
  <si>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</si>
  <si>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</si>
  <si>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</si>
  <si>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</si>
  <si>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</si>
  <si>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</si>
  <si>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</si>
  <si>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</si>
  <si>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</si>
  <si>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</si>
  <si>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</si>
  <si>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</si>
  <si>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</si>
  <si>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</si>
  <si>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</si>
  <si>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</si>
  <si>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</si>
  <si>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</si>
  <si>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</si>
  <si>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</si>
  <si>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</si>
  <si>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</si>
  <si>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</si>
  <si>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</si>
  <si>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</si>
  <si>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</si>
  <si>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</si>
  <si>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</si>
  <si>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</si>
  <si>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</si>
  <si>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</si>
  <si>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</si>
  <si>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</si>
  <si>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</si>
  <si>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</si>
  <si>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</si>
  <si>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</si>
  <si>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</si>
  <si>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</si>
  <si>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</si>
  <si>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</si>
  <si>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</si>
  <si>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</si>
  <si>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</si>
  <si>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</si>
  <si>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</si>
  <si>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</si>
  <si>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</si>
  <si>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</si>
  <si>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</si>
  <si>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</si>
  <si>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</si>
  <si>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</si>
  <si>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</si>
  <si>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</si>
  <si>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</si>
  <si>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</si>
  <si>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</si>
  <si>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</si>
  <si>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</si>
  <si>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</si>
  <si>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</si>
  <si>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</si>
  <si>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</si>
  <si>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</si>
  <si>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</si>
  <si>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</si>
  <si>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</si>
  <si>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</si>
  <si>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</si>
  <si>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</si>
  <si>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</si>
  <si>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</si>
  <si>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</si>
  <si>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</si>
  <si>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</si>
  <si>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</si>
  <si>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</si>
  <si>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</si>
  <si>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</si>
  <si>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</si>
  <si>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</si>
  <si>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</si>
  <si>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</si>
  <si>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</si>
  <si>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</si>
  <si>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</si>
  <si>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</si>
  <si>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</si>
  <si>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</si>
  <si>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</si>
  <si>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</si>
  <si>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</si>
  <si>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</si>
  <si>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</si>
  <si>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</si>
  <si>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</si>
  <si>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</si>
  <si>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</si>
  <si>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</si>
  <si>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</si>
  <si>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</si>
  <si>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</si>
  <si>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</si>
  <si>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</si>
  <si>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</si>
  <si>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</si>
  <si>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</si>
  <si>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</si>
  <si>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</si>
  <si>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</si>
  <si>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</si>
  <si>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</si>
  <si>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</si>
  <si>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</si>
  <si>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</si>
  <si>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</si>
  <si>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</si>
  <si>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</si>
  <si>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</si>
  <si>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</si>
  <si>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</si>
  <si>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</si>
  <si>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</si>
  <si>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</si>
  <si>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</si>
  <si>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</si>
  <si>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</si>
  <si>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</si>
  <si>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</si>
  <si>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</si>
  <si>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</si>
  <si>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</si>
  <si>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</si>
  <si>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</si>
  <si>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</si>
  <si>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</si>
  <si>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</si>
  <si>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</si>
  <si>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</si>
  <si>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</si>
  <si>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</si>
  <si>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</si>
  <si>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</si>
  <si>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</si>
  <si>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</si>
  <si>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</si>
  <si>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</si>
  <si>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</si>
  <si>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</si>
  <si>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</si>
  <si>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</si>
  <si>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</si>
  <si>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</si>
  <si>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</si>
  <si>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</si>
  <si>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</si>
  <si>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</si>
  <si>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</si>
  <si>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</si>
  <si>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</si>
  <si>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</si>
  <si>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</si>
  <si>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</si>
  <si>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</si>
  <si>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</si>
  <si>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</si>
  <si>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</si>
  <si>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</si>
  <si>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</si>
  <si>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</si>
  <si>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</si>
  <si>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</si>
  <si>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</si>
  <si>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</si>
  <si>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</si>
  <si>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</si>
  <si>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</si>
  <si>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</si>
  <si>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</si>
  <si>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</si>
  <si>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</si>
  <si>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</si>
  <si>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</si>
  <si>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</si>
  <si>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</si>
  <si>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</si>
  <si>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</si>
  <si>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</si>
  <si>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</si>
  <si>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</si>
  <si>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</si>
  <si>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</si>
  <si>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</si>
  <si>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</si>
  <si>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</si>
  <si>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</si>
  <si>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</si>
  <si>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</si>
  <si>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</si>
  <si>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</si>
  <si>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</si>
  <si>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</si>
  <si>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</si>
  <si>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</si>
  <si>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</si>
  <si>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</si>
  <si>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</si>
  <si>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</si>
  <si>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</si>
  <si>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</si>
  <si>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</si>
  <si>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</si>
  <si>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</si>
  <si>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</si>
  <si>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</si>
  <si>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</si>
  <si>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</si>
  <si>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</si>
  <si>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</si>
  <si>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</si>
  <si>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</si>
  <si>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</si>
  <si>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</si>
  <si>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</si>
  <si>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</si>
  <si>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</si>
  <si>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</si>
  <si>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</si>
  <si>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</si>
  <si>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</si>
  <si>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</si>
  <si>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</si>
  <si>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</si>
  <si>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</si>
  <si>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</si>
  <si>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</si>
  <si>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</si>
  <si>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</si>
  <si>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</si>
  <si>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</si>
  <si>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</si>
  <si>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</si>
  <si>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</si>
  <si>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</si>
  <si>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</si>
  <si>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</si>
  <si>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</si>
  <si>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</si>
  <si>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</si>
  <si>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</si>
  <si>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</si>
  <si>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</si>
  <si>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</si>
  <si>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</si>
  <si>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</si>
  <si>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</si>
  <si>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</si>
  <si>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</si>
  <si>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</si>
  <si>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</si>
  <si>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</si>
  <si>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</si>
  <si>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</si>
  <si>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</si>
  <si>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</si>
  <si>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</si>
  <si>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</si>
  <si>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</si>
  <si>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</si>
  <si>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</si>
  <si>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</si>
  <si>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</si>
  <si>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</si>
  <si>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</si>
  <si>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</si>
  <si>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</si>
  <si>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</si>
  <si>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</si>
  <si>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</si>
  <si>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</si>
  <si>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</si>
  <si>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</si>
  <si>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</si>
  <si>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</si>
  <si>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</si>
  <si>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</si>
  <si>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</si>
  <si>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</si>
  <si>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</si>
  <si>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</si>
  <si>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</si>
  <si>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</si>
  <si>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</si>
  <si>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</si>
  <si>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</si>
  <si>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</si>
  <si>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</si>
  <si>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</si>
  <si>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</si>
  <si>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</si>
  <si>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</si>
  <si>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</si>
  <si>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</si>
  <si>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</si>
  <si>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</si>
  <si>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</si>
  <si>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</si>
  <si>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</si>
  <si>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</si>
  <si>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</si>
  <si>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</si>
  <si>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</si>
  <si>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</si>
  <si>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</si>
  <si>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</si>
  <si>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</si>
  <si>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</si>
  <si>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</si>
  <si>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</si>
  <si>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</si>
  <si>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</si>
  <si>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</si>
  <si>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</si>
  <si>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</si>
  <si>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</si>
  <si>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</si>
  <si>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</si>
  <si>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</si>
  <si>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</si>
  <si>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</si>
  <si>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</si>
  <si>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</si>
  <si>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</si>
  <si>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</si>
  <si>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</si>
  <si>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</si>
  <si>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</si>
  <si>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</si>
  <si>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</si>
  <si>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</si>
  <si>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</si>
  <si>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</si>
  <si>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</si>
  <si>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</si>
  <si>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</si>
  <si>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</si>
  <si>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</si>
  <si>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</si>
  <si>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</si>
  <si>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</si>
  <si>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</si>
  <si>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</si>
  <si>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</si>
  <si>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</si>
  <si>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</si>
  <si>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</si>
  <si>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</si>
  <si>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</si>
  <si>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</si>
  <si>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</si>
  <si>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</si>
  <si>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</si>
  <si>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</si>
  <si>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</si>
  <si>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</si>
  <si>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</si>
  <si>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</si>
  <si>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</si>
  <si>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</si>
  <si>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</si>
  <si>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</si>
  <si>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</si>
  <si>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</si>
  <si>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</si>
  <si>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</si>
  <si>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</si>
  <si>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</si>
  <si>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</si>
  <si>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</si>
  <si>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</si>
  <si>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</si>
  <si>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</si>
  <si>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</si>
  <si>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</si>
  <si>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</si>
  <si>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</si>
  <si>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</si>
  <si>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</si>
  <si>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</si>
  <si>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</si>
  <si>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</si>
  <si>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</si>
  <si>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</si>
  <si>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</si>
  <si>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</si>
  <si>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</si>
  <si>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</si>
  <si>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</si>
  <si>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</si>
  <si>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</si>
  <si>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</si>
  <si>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</si>
  <si>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</si>
  <si>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</si>
  <si>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</si>
  <si>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</si>
  <si>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</si>
  <si>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</si>
  <si>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</si>
  <si>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</si>
  <si>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</si>
  <si>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</si>
  <si>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</si>
  <si>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</si>
  <si>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</si>
  <si>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</si>
  <si>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</si>
  <si>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</si>
  <si>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</si>
  <si>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</si>
  <si>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</si>
  <si>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</si>
  <si>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</si>
  <si>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</si>
  <si>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</si>
  <si>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</si>
  <si>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</si>
  <si>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</si>
  <si>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</si>
  <si>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</si>
  <si>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</si>
  <si>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</si>
  <si>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</si>
  <si>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</si>
  <si>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</si>
  <si>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</si>
  <si>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</si>
  <si>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</si>
  <si>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</si>
  <si>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</si>
  <si>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</si>
  <si>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</si>
  <si>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</si>
  <si>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</si>
  <si>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</si>
  <si>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</si>
  <si>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</si>
  <si>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</si>
  <si>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</si>
  <si>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</si>
  <si>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</si>
  <si>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</si>
  <si>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</si>
  <si>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</si>
  <si>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</si>
  <si>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</si>
  <si>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</si>
  <si>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</si>
  <si>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</si>
  <si>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</si>
  <si>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</si>
  <si>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</si>
  <si>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</si>
  <si>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</si>
  <si>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</si>
  <si>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</si>
  <si>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</si>
  <si>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</si>
  <si>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</si>
  <si>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</si>
  <si>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</si>
  <si>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</si>
  <si>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</si>
  <si>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</si>
  <si>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</si>
  <si>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</si>
  <si>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</si>
  <si>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</si>
  <si>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</si>
  <si>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</si>
  <si>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</si>
  <si>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</si>
  <si>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</si>
  <si>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</si>
  <si>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</si>
  <si>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</si>
  <si>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</si>
  <si>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</si>
  <si>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</si>
  <si>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</si>
  <si>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</si>
  <si>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</si>
  <si>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</si>
  <si>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</si>
  <si>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</si>
  <si>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</si>
  <si>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</si>
  <si>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</si>
  <si>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</si>
  <si>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</si>
  <si>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</si>
  <si>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</si>
  <si>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</si>
  <si>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</si>
  <si>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</si>
  <si>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</si>
  <si>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</si>
  <si>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</si>
  <si>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</si>
  <si>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</si>
  <si>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</si>
  <si>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</si>
  <si>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</si>
  <si>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</si>
  <si>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</si>
  <si>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</si>
  <si>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</si>
  <si>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</si>
  <si>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</si>
  <si>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</si>
  <si>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</si>
  <si>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</si>
  <si>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</si>
  <si>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</si>
  <si>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</si>
  <si>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</si>
  <si>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</si>
  <si>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</si>
  <si>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</si>
  <si>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</si>
  <si>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</si>
  <si>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</si>
  <si>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</si>
  <si>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</si>
  <si>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</si>
  <si>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</si>
  <si>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</si>
  <si>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</si>
  <si>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</si>
  <si>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</si>
  <si>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</si>
  <si>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</si>
  <si>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</si>
  <si>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</si>
  <si>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</si>
  <si>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</si>
  <si>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</si>
  <si>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</si>
  <si>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</si>
  <si>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</si>
  <si>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</si>
  <si>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</si>
  <si>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</si>
  <si>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</si>
  <si>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</si>
  <si>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</si>
  <si>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</si>
  <si>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</si>
  <si>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</si>
  <si>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</si>
  <si>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</si>
  <si>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</si>
  <si>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</si>
  <si>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</si>
  <si>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</si>
  <si>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</si>
  <si>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</si>
  <si>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</si>
  <si>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</si>
  <si>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</si>
  <si>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</si>
  <si>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</si>
  <si>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</si>
  <si>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</si>
  <si>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</si>
  <si>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</si>
  <si>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</si>
  <si>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</si>
  <si>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</si>
  <si>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</si>
  <si>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</si>
  <si>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</si>
  <si>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</si>
  <si>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</si>
  <si>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</si>
  <si>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</si>
  <si>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</si>
  <si>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</si>
  <si>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</si>
  <si>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</si>
  <si>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</si>
  <si>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</si>
  <si>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</si>
  <si>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</si>
  <si>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</si>
  <si>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</si>
  <si>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</si>
  <si>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</si>
  <si>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</si>
  <si>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</si>
  <si>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</si>
  <si>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</si>
  <si>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</si>
  <si>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</si>
  <si>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</si>
  <si>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</si>
  <si>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</si>
  <si>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</si>
  <si>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</si>
  <si>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</si>
  <si>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</si>
  <si>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</si>
  <si>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</si>
  <si>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</si>
  <si>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</si>
  <si>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</si>
  <si>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</si>
  <si>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</si>
  <si>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</si>
  <si>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</si>
  <si>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</si>
  <si>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</si>
  <si>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</si>
  <si>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</si>
  <si>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</si>
  <si>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</si>
  <si>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</si>
  <si>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</si>
  <si>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</si>
  <si>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</si>
  <si>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</si>
  <si>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</si>
  <si>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</si>
  <si>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</si>
  <si>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</si>
  <si>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</si>
  <si>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</si>
  <si>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</si>
  <si>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</si>
  <si>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</si>
  <si>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</si>
  <si>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</si>
  <si>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</si>
  <si>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</si>
  <si>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</si>
  <si>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</si>
  <si>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</si>
  <si>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</si>
  <si>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</si>
  <si>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</si>
  <si>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</si>
  <si>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</si>
  <si>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</si>
  <si>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</si>
  <si>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</si>
  <si>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</si>
  <si>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</si>
  <si>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</si>
  <si>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</si>
  <si>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</si>
  <si>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</si>
  <si>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</si>
  <si>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</si>
  <si>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</si>
  <si>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</si>
  <si>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</si>
  <si>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</si>
  <si>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</si>
  <si>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</si>
  <si>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</si>
  <si>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</si>
  <si>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</si>
  <si>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</si>
  <si>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</si>
  <si>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</si>
  <si>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</si>
  <si>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</si>
  <si>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</si>
  <si>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</si>
  <si>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</si>
  <si>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</si>
  <si>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</si>
  <si>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</si>
  <si>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</si>
  <si>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</si>
  <si>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</si>
  <si>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</si>
  <si>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</si>
  <si>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</si>
  <si>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</si>
  <si>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</si>
  <si>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</si>
  <si>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</si>
  <si>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</si>
  <si>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</si>
  <si>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</si>
  <si>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</si>
  <si>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</si>
  <si>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</si>
  <si>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</si>
  <si>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</si>
  <si>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</si>
  <si>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</si>
  <si>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</si>
  <si>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</si>
  <si>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</si>
  <si>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</si>
  <si>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</si>
  <si>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</si>
  <si>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</si>
  <si>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</si>
  <si>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</si>
  <si>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</si>
  <si>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</si>
  <si>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</si>
  <si>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</si>
  <si>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</si>
  <si>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</si>
  <si>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</si>
  <si>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</si>
  <si>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</si>
  <si>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</si>
  <si>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</si>
  <si>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</si>
  <si>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</si>
  <si>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</si>
  <si>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</si>
  <si>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</si>
  <si>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</si>
  <si>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</si>
  <si>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</si>
  <si>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</si>
  <si>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</si>
  <si>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</si>
  <si>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</si>
  <si>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</si>
  <si>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</si>
  <si>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</si>
  <si>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</si>
  <si>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</si>
  <si>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</si>
  <si>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</si>
  <si>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</si>
  <si>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</si>
  <si>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</si>
  <si>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</si>
  <si>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</si>
  <si>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</si>
  <si>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</si>
  <si>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</si>
  <si>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</si>
  <si>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</si>
  <si>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</si>
  <si>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</si>
  <si>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</si>
  <si>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</si>
  <si>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</si>
  <si>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</si>
  <si>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</si>
  <si>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</si>
  <si>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</si>
  <si>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</si>
  <si>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</si>
  <si>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</si>
  <si>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</si>
  <si>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</si>
  <si>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</si>
  <si>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</si>
  <si>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</si>
  <si>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</si>
  <si>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</si>
  <si>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</si>
  <si>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</si>
  <si>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</si>
  <si>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</si>
  <si>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</si>
  <si>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</si>
  <si>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</si>
  <si>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</si>
  <si>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</si>
  <si>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</si>
  <si>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</si>
  <si>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</si>
  <si>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</si>
  <si>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</si>
  <si>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</si>
  <si>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</si>
  <si>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</si>
  <si>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</si>
  <si>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</si>
  <si>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</si>
  <si>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</si>
  <si>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</si>
  <si>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</si>
  <si>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</si>
  <si>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</si>
  <si>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</si>
  <si>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</si>
  <si>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</si>
  <si>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</si>
  <si>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</si>
  <si>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</si>
  <si>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</si>
  <si>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</si>
  <si>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</si>
  <si>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</si>
  <si>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</si>
  <si>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</si>
  <si>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</si>
  <si>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</si>
  <si>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</si>
  <si>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</si>
  <si>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</si>
  <si>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</si>
  <si>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</si>
  <si>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</si>
  <si>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</si>
  <si>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</si>
  <si>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</si>
  <si>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</si>
  <si>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</si>
  <si>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</si>
  <si>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</si>
  <si>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</si>
  <si>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</si>
  <si>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</si>
  <si>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</si>
  <si>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</si>
  <si>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</si>
  <si>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</si>
  <si>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</si>
  <si>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</si>
  <si>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</si>
  <si>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</si>
  <si>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</si>
  <si>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</si>
  <si>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</si>
  <si>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</si>
  <si>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</si>
  <si>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</si>
  <si>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</si>
  <si>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</si>
  <si>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</si>
  <si>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</si>
  <si>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</si>
  <si>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</si>
  <si>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</si>
  <si>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</si>
  <si>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</si>
  <si>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</si>
  <si>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</si>
  <si>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</si>
  <si>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</si>
  <si>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</si>
  <si>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</si>
  <si>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</si>
  <si>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</si>
  <si>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</si>
  <si>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</si>
  <si>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</si>
  <si>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</si>
  <si>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</si>
  <si>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</si>
  <si>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</si>
  <si>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</si>
  <si>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</si>
  <si>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</si>
  <si>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</si>
  <si>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</si>
  <si>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</si>
  <si>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</si>
  <si>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</si>
  <si>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</si>
  <si>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</si>
  <si>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</si>
  <si>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</si>
  <si>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</si>
  <si>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</si>
  <si>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</si>
  <si>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</si>
  <si>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</si>
  <si>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</si>
  <si>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</si>
  <si>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</si>
  <si>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</si>
  <si>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</si>
  <si>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</si>
  <si>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</si>
  <si>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</si>
  <si>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</si>
  <si>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</si>
  <si>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</si>
  <si>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</si>
  <si>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</si>
  <si>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</si>
  <si>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</si>
  <si>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</si>
  <si>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</si>
  <si>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</si>
  <si>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</si>
  <si>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</si>
  <si>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</si>
  <si>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</si>
  <si>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</si>
  <si>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</si>
  <si>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</si>
  <si>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</si>
  <si>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</si>
  <si>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</si>
  <si>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</si>
  <si>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</si>
  <si>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</si>
  <si>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</si>
  <si>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</si>
  <si>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</si>
  <si>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</si>
  <si>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</si>
  <si>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</si>
  <si>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</si>
  <si>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</si>
  <si>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</si>
  <si>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</si>
  <si>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</si>
  <si>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</si>
  <si>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</si>
  <si>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</si>
  <si>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</si>
  <si>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</si>
  <si>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</si>
  <si>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</si>
  <si>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</si>
  <si>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</si>
  <si>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</si>
  <si>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</si>
  <si>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</si>
  <si>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</si>
  <si>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</si>
  <si>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</si>
  <si>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</si>
  <si>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</si>
  <si>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</si>
  <si>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</si>
  <si>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</si>
  <si>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</si>
  <si>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</si>
  <si>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</si>
  <si>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</si>
  <si>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</si>
  <si>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</si>
  <si>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</si>
  <si>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</si>
  <si>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</si>
  <si>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</si>
  <si>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</si>
  <si>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</si>
  <si>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</si>
  <si>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</si>
  <si>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</si>
  <si>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</si>
  <si>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</si>
  <si>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</si>
  <si>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</si>
  <si>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</si>
  <si>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</si>
  <si>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</si>
  <si>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</si>
  <si>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</si>
  <si>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</si>
  <si>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</si>
  <si>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</si>
  <si>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</si>
  <si>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</si>
  <si>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</si>
  <si>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</si>
  <si>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</si>
  <si>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</si>
  <si>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</si>
  <si>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</si>
  <si>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</si>
  <si>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</si>
  <si>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</si>
  <si>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</si>
  <si>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</si>
  <si>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</si>
  <si>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</si>
  <si>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</si>
  <si>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</si>
  <si>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</si>
  <si>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</si>
  <si>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</si>
  <si>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</si>
  <si>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</si>
  <si>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</si>
  <si>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</si>
  <si>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</si>
  <si>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</si>
  <si>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</si>
  <si>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</si>
  <si>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</si>
  <si>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</si>
  <si>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</si>
  <si>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</si>
  <si>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</si>
  <si>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</si>
  <si>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</si>
  <si>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</si>
  <si>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</si>
  <si>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</si>
  <si>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</si>
  <si>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</si>
  <si>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</si>
  <si>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</si>
  <si>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</si>
  <si>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</si>
  <si>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</si>
  <si>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</si>
  <si>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</si>
  <si>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</si>
  <si>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</si>
  <si>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</si>
  <si>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</si>
  <si>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</si>
  <si>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</si>
  <si>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</si>
  <si>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</si>
  <si>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</si>
  <si>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</si>
  <si>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</si>
  <si>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</si>
  <si>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</si>
  <si>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</si>
  <si>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</si>
  <si>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</si>
  <si>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</si>
  <si>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</si>
  <si>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</si>
  <si>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</si>
  <si>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</si>
  <si>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</si>
  <si>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</si>
  <si>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</si>
  <si>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</si>
  <si>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</si>
  <si>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</si>
  <si>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</si>
  <si>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</si>
  <si>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</si>
  <si>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</si>
  <si>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</si>
  <si>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</si>
  <si>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</si>
  <si>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</si>
  <si>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</si>
  <si>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</si>
  <si>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</si>
  <si>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</si>
  <si>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</si>
  <si>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</si>
  <si>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</si>
  <si>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</si>
  <si>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</si>
  <si>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</si>
  <si>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</si>
  <si>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</si>
  <si>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</si>
  <si>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</si>
  <si>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</si>
  <si>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</si>
  <si>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</si>
  <si>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</si>
  <si>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</si>
  <si>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</si>
  <si>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</si>
  <si>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</si>
  <si>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</si>
  <si>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</si>
  <si>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</si>
  <si>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</si>
  <si>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</si>
  <si>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</si>
  <si>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</si>
  <si>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</si>
  <si>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</si>
  <si>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</si>
  <si>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</si>
  <si>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</si>
  <si>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</si>
  <si>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</si>
  <si>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</si>
  <si>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</si>
  <si>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</si>
  <si>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</si>
  <si>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</si>
  <si>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</si>
  <si>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</si>
  <si>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</si>
  <si>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</si>
  <si>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</si>
  <si>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</si>
  <si>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</si>
  <si>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</si>
  <si>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</si>
  <si>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</si>
  <si>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</si>
  <si>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</si>
  <si>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</si>
  <si>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</si>
  <si>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</si>
  <si>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</si>
  <si>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</si>
  <si>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</si>
  <si>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</si>
  <si>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</si>
  <si>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</si>
  <si>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</si>
  <si>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</si>
  <si>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</si>
  <si>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</si>
  <si>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</si>
  <si>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</si>
  <si>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</si>
  <si>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</si>
  <si>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</si>
  <si>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</si>
  <si>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</si>
  <si>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</si>
  <si>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</si>
  <si>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</si>
  <si>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</si>
  <si>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</si>
  <si>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</si>
  <si>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</si>
  <si>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</si>
  <si>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</si>
  <si>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</si>
  <si>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</si>
  <si>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</si>
  <si>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</si>
  <si>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</si>
  <si>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</si>
  <si>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</si>
  <si>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</si>
  <si>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</si>
  <si>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</si>
  <si>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</si>
  <si>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</si>
  <si>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</si>
  <si>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</si>
  <si>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</si>
  <si>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</si>
  <si>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</si>
  <si>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</si>
  <si>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</si>
  <si>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</si>
  <si>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</si>
  <si>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</si>
  <si>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</si>
  <si>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</si>
  <si>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</si>
  <si>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</si>
  <si>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</si>
  <si>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</si>
  <si>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</si>
  <si>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</si>
  <si>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</si>
  <si>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</si>
  <si>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</si>
  <si>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</si>
  <si>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</si>
  <si>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</si>
  <si>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</si>
  <si>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</si>
  <si>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</si>
  <si>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</si>
  <si>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</si>
  <si>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</si>
  <si>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</si>
  <si>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</si>
  <si>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</si>
  <si>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</si>
  <si>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</si>
  <si>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</si>
  <si>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</si>
  <si>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</si>
  <si>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</si>
  <si>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</si>
  <si>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</si>
  <si>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</si>
  <si>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</si>
  <si>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</si>
  <si>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</si>
  <si>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</si>
  <si>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</si>
  <si>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</si>
  <si>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</si>
  <si>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</si>
  <si>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</si>
  <si>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</si>
  <si>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</si>
  <si>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</si>
  <si>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</si>
  <si>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</si>
  <si>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</si>
  <si>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</si>
  <si>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</si>
  <si>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</si>
  <si>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</si>
  <si>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</si>
  <si>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</si>
  <si>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</si>
  <si>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</si>
  <si>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</si>
  <si>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</si>
  <si>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</si>
  <si>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</si>
  <si>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</si>
  <si>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</si>
  <si>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</si>
  <si>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</si>
  <si>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</si>
  <si>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</si>
  <si>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</si>
  <si>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</si>
  <si>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</si>
  <si>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</si>
  <si>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</si>
  <si>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</si>
  <si>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</si>
  <si>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</si>
  <si>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</si>
  <si>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</si>
  <si>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</si>
  <si>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</si>
  <si>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</si>
  <si>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</si>
  <si>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</si>
  <si>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</si>
  <si>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</si>
  <si>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</si>
  <si>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</si>
  <si>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</si>
  <si>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</si>
  <si>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</si>
  <si>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</si>
  <si>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</si>
  <si>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</si>
  <si>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</si>
  <si>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</si>
  <si>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</si>
  <si>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</si>
  <si>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</si>
  <si>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</si>
  <si>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</si>
  <si>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</si>
  <si>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</si>
  <si>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</si>
  <si>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</si>
  <si>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</si>
  <si>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</si>
  <si>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</si>
  <si>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</si>
  <si>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</si>
  <si>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</si>
  <si>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</si>
  <si>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</si>
  <si>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</si>
  <si>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</si>
  <si>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</si>
  <si>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</si>
  <si>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</si>
  <si>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</si>
  <si>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</si>
  <si>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</si>
  <si>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</si>
  <si>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</si>
  <si>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</si>
  <si>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</si>
  <si>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</si>
  <si>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</si>
  <si>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</si>
  <si>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</si>
  <si>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</si>
  <si>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</si>
  <si>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</si>
  <si>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</si>
  <si>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</si>
  <si>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</si>
  <si>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</si>
  <si>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</si>
  <si>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</si>
  <si>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</si>
  <si>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</si>
  <si>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</si>
  <si>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</si>
  <si>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</si>
  <si>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</si>
  <si>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</si>
  <si>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</si>
  <si>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</si>
  <si>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</si>
  <si>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</si>
  <si>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</si>
  <si>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</si>
  <si>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</si>
  <si>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</si>
  <si>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</si>
  <si>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</si>
  <si>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</si>
  <si>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</si>
  <si>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</si>
  <si>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</si>
  <si>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</si>
  <si>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</si>
  <si>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</si>
  <si>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</si>
  <si>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</si>
  <si>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</si>
  <si>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</si>
  <si>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</si>
  <si>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</si>
  <si>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</si>
  <si>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</si>
  <si>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</si>
  <si>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</si>
  <si>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</si>
  <si>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</si>
  <si>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</si>
  <si>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</si>
  <si>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</si>
  <si>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</si>
  <si>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</si>
  <si>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</si>
  <si>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</si>
  <si>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</si>
  <si>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</si>
  <si>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</si>
  <si>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</si>
  <si>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</si>
  <si>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</si>
  <si>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</si>
  <si>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</si>
  <si>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</si>
  <si>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</si>
  <si>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</si>
  <si>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</si>
  <si>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</si>
  <si>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</si>
  <si>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</si>
  <si>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</si>
  <si>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</si>
  <si>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</si>
  <si>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</si>
  <si>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</si>
  <si>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</si>
  <si>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</si>
  <si>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</si>
  <si>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</si>
  <si>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</si>
  <si>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</si>
  <si>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</si>
  <si>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</si>
  <si>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</si>
  <si>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</si>
  <si>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</si>
  <si>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</si>
  <si>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</si>
  <si>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</si>
  <si>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</si>
  <si>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</si>
  <si>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</si>
  <si>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</si>
  <si>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</si>
  <si>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</si>
  <si>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</si>
  <si>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</si>
  <si>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</si>
  <si>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</si>
  <si>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</si>
  <si>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</si>
  <si>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</si>
  <si>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</si>
  <si>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</si>
  <si>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</si>
  <si>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</si>
  <si>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</si>
  <si>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</si>
  <si>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</si>
  <si>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</si>
  <si>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</si>
  <si>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</si>
  <si>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</si>
  <si>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</si>
  <si>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</si>
  <si>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</si>
  <si>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</si>
  <si>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</si>
  <si>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</si>
  <si>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</si>
  <si>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</si>
  <si>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</si>
  <si>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</si>
  <si>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</si>
  <si>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</si>
  <si>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</si>
  <si>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</si>
  <si>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</si>
  <si>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</si>
  <si>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</si>
  <si>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</si>
  <si>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</si>
  <si>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</si>
  <si>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</si>
  <si>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</si>
  <si>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</si>
  <si>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</si>
  <si>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</si>
  <si>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</si>
  <si>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</si>
  <si>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</si>
  <si>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</si>
  <si>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</si>
  <si>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</si>
  <si>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</si>
  <si>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</si>
  <si>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</si>
  <si>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</si>
  <si>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</si>
  <si>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</si>
  <si>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</si>
  <si>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</si>
  <si>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</si>
  <si>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</si>
  <si>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</si>
  <si>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</si>
  <si>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</si>
  <si>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</si>
  <si>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</si>
  <si>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</si>
  <si>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</si>
  <si>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</si>
  <si>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</si>
  <si>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</si>
  <si>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</si>
  <si>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</si>
  <si>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</si>
  <si>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</si>
  <si>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</si>
  <si>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</si>
  <si>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</si>
  <si>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</si>
  <si>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</si>
  <si>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</si>
  <si>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</si>
  <si>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</si>
  <si>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</si>
  <si>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</si>
  <si>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</si>
  <si>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</si>
  <si>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</si>
  <si>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</si>
  <si>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</si>
  <si>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</si>
  <si>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</si>
  <si>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</si>
  <si>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</si>
  <si>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</si>
  <si>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</si>
  <si>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</si>
  <si>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</si>
  <si>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</si>
  <si>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</si>
  <si>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</si>
  <si>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</si>
  <si>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</si>
  <si>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</si>
  <si>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</si>
  <si>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</si>
  <si>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</si>
  <si>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</si>
  <si>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</si>
  <si>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</si>
  <si>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</si>
  <si>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</si>
  <si>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</si>
  <si>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</si>
  <si>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</si>
  <si>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</si>
  <si>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</si>
  <si>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</si>
  <si>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</si>
  <si>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</si>
  <si>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</si>
  <si>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</si>
  <si>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</si>
  <si>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</si>
  <si>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</si>
  <si>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</si>
  <si>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</si>
  <si>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</si>
  <si>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</si>
  <si>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</si>
  <si>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</si>
  <si>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</si>
  <si>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</si>
  <si>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</si>
  <si>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</si>
  <si>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</si>
  <si>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</si>
  <si>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</si>
  <si>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</si>
  <si>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</si>
  <si>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</si>
  <si>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</si>
  <si>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</si>
  <si>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</si>
  <si>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</si>
  <si>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</si>
  <si>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</si>
  <si>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</si>
  <si>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</si>
  <si>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</si>
  <si>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</si>
  <si>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</si>
  <si>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</si>
  <si>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</si>
  <si>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</si>
  <si>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</si>
  <si>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</si>
  <si>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</si>
  <si>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</si>
  <si>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</si>
  <si>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</si>
  <si>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</si>
  <si>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</si>
  <si>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</si>
  <si>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</si>
  <si>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</si>
  <si>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</si>
  <si>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</si>
  <si>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</si>
  <si>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</si>
  <si>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</si>
  <si>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</si>
  <si>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</si>
  <si>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</si>
  <si>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</si>
  <si>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</si>
  <si>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</si>
  <si>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</si>
  <si>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</si>
  <si>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</si>
  <si>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</si>
  <si>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</si>
  <si>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</si>
  <si>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</si>
  <si>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</si>
  <si>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</si>
  <si>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</si>
  <si>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</si>
  <si>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</si>
  <si>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</si>
  <si>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</si>
  <si>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</si>
  <si>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</si>
  <si>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</si>
  <si>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</si>
  <si>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</si>
  <si>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</si>
  <si>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</si>
  <si>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</si>
  <si>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</si>
  <si>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</si>
  <si>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</si>
  <si>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</si>
  <si>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</si>
  <si>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</si>
  <si>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</si>
  <si>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</si>
  <si>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</si>
  <si>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</si>
  <si>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</si>
  <si>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</si>
  <si>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</si>
  <si>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</si>
  <si>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</si>
  <si>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</si>
  <si>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</si>
  <si>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</si>
  <si>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</si>
  <si>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</si>
  <si>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</si>
  <si>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</si>
  <si>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</si>
  <si>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</si>
  <si>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</si>
  <si>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</si>
  <si>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</si>
  <si>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</si>
  <si>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</si>
  <si>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</si>
  <si>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</si>
  <si>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</si>
  <si>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</si>
  <si>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</si>
  <si>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</si>
  <si>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</si>
  <si>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</si>
  <si>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</si>
  <si>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</si>
  <si>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</si>
  <si>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</si>
  <si>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</si>
  <si>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</si>
  <si>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</si>
  <si>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</si>
  <si>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</si>
  <si>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</si>
  <si>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</si>
  <si>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</si>
  <si>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</si>
  <si>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</si>
  <si>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</si>
  <si>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</si>
  <si>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</si>
  <si>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</si>
  <si>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</si>
  <si>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</si>
  <si>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</si>
  <si>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</si>
  <si>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</si>
  <si>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</si>
  <si>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</si>
  <si>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</si>
  <si>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</si>
  <si>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</si>
  <si>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</si>
  <si>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</si>
  <si>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</si>
  <si>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</si>
  <si>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</si>
  <si>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</si>
  <si>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</si>
  <si>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</si>
  <si>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</si>
  <si>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</si>
  <si>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</si>
  <si>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</si>
  <si>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</si>
  <si>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</si>
  <si>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</si>
  <si>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</si>
  <si>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</si>
  <si>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</si>
  <si>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</si>
  <si>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</si>
  <si>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</si>
  <si>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</si>
  <si>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</si>
  <si>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</si>
  <si>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</si>
  <si>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</si>
  <si>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</si>
  <si>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</si>
  <si>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</si>
  <si>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</si>
  <si>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</si>
  <si>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</si>
  <si>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</si>
  <si>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</si>
  <si>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</si>
  <si>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</si>
  <si>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</si>
  <si>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</si>
  <si>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</si>
  <si>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</si>
  <si>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</si>
  <si>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</si>
  <si>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</si>
  <si>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</si>
  <si>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</si>
  <si>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</si>
  <si>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</si>
  <si>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</si>
  <si>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</si>
  <si>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</si>
  <si>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</si>
  <si>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</si>
  <si>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</si>
  <si>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</si>
  <si>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</si>
  <si>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</si>
  <si>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</si>
  <si>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</si>
  <si>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</si>
  <si>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</si>
  <si>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</si>
  <si>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</si>
  <si>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</si>
  <si>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</si>
  <si>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</si>
  <si>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</si>
  <si>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</si>
  <si>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</si>
  <si>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</si>
  <si>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</si>
  <si>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</si>
  <si>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</si>
  <si>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</si>
  <si>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</si>
  <si>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</si>
  <si>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</si>
  <si>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</si>
  <si>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</si>
  <si>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</si>
  <si>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</si>
  <si>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</si>
  <si>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</si>
  <si>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</si>
  <si>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</si>
  <si>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</si>
  <si>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</si>
  <si>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</si>
  <si>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</si>
  <si>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</si>
  <si>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</si>
  <si>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</si>
  <si>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</si>
  <si>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</si>
  <si>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</si>
  <si>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</si>
  <si>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</si>
  <si>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</si>
  <si>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</si>
  <si>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</si>
  <si>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</si>
  <si>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</si>
  <si>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</si>
  <si>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</si>
  <si>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</si>
  <si>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</si>
  <si>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</si>
  <si>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</si>
  <si>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</si>
  <si>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</si>
  <si>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</si>
  <si>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</si>
  <si>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</si>
  <si>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</si>
  <si>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</si>
  <si>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</si>
  <si>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</si>
  <si>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</si>
  <si>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</si>
  <si>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</si>
  <si>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</si>
  <si>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</si>
  <si>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</si>
  <si>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</si>
  <si>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</si>
  <si>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</si>
  <si>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</si>
  <si>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</si>
  <si>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</si>
  <si>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</si>
  <si>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</si>
  <si>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</si>
  <si>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</si>
  <si>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</si>
  <si>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</si>
  <si>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</si>
  <si>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</si>
  <si>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</si>
  <si>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</si>
  <si>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</si>
  <si>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</si>
  <si>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</si>
  <si>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</si>
  <si>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</si>
  <si>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</si>
  <si>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</si>
  <si>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</si>
  <si>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</si>
  <si>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</si>
  <si>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</si>
  <si>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</si>
  <si>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</si>
  <si>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</si>
  <si>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</si>
  <si>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</si>
  <si>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</si>
  <si>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</si>
  <si>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</si>
  <si>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</si>
  <si>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</si>
  <si>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</si>
  <si>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</si>
  <si>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</si>
  <si>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</si>
  <si>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</si>
  <si>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</si>
  <si>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</si>
  <si>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</si>
  <si>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</si>
  <si>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</si>
  <si>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</si>
  <si>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</si>
  <si>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</si>
  <si>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</si>
  <si>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</si>
  <si>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</si>
  <si>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</si>
  <si>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</si>
  <si>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</si>
  <si>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</si>
  <si>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</si>
  <si>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</si>
  <si>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</si>
  <si>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</si>
  <si>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</si>
  <si>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</si>
  <si>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</si>
  <si>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</si>
  <si>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</si>
  <si>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</si>
  <si>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</si>
  <si>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</si>
  <si>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</si>
  <si>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</si>
  <si>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</si>
  <si>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</si>
  <si>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</si>
  <si>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</si>
  <si>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</si>
  <si>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</si>
  <si>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</si>
  <si>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</si>
  <si>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</si>
  <si>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</si>
  <si>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</si>
  <si>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</si>
  <si>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</si>
  <si>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</si>
  <si>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</si>
  <si>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</si>
  <si>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</si>
  <si>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</si>
  <si>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</si>
  <si>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</si>
  <si>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</si>
  <si>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</si>
  <si>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</si>
  <si>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</si>
  <si>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</si>
  <si>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</si>
  <si>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</si>
  <si>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</si>
  <si>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</si>
  <si>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</si>
  <si>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</si>
  <si>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</si>
  <si>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</si>
  <si>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</si>
  <si>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</si>
  <si>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</si>
  <si>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</si>
  <si>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</si>
  <si>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</si>
  <si>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</si>
  <si>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</si>
  <si>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</si>
  <si>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</si>
  <si>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</si>
  <si>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</si>
  <si>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</si>
  <si>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</si>
  <si>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</si>
  <si>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</si>
  <si>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</si>
  <si>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</si>
  <si>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</si>
  <si>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</si>
  <si>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</si>
  <si>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</si>
  <si>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</si>
  <si>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</si>
  <si>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</si>
  <si>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</si>
  <si>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</si>
  <si>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</si>
  <si>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</si>
  <si>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</si>
  <si>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</si>
  <si>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</si>
  <si>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</si>
  <si>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</si>
  <si>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</si>
  <si>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</si>
  <si>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</si>
  <si>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</si>
  <si>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</si>
  <si>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</si>
  <si>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</si>
  <si>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</si>
  <si>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</si>
  <si>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</si>
  <si>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</si>
  <si>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</si>
  <si>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</si>
  <si>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</si>
  <si>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</si>
  <si>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</si>
  <si>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</si>
  <si>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</si>
  <si>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</si>
  <si>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</si>
  <si>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</si>
  <si>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</si>
  <si>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</si>
  <si>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</si>
  <si>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</si>
  <si>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</si>
  <si>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</si>
  <si>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</si>
  <si>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</si>
  <si>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</si>
  <si>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</si>
  <si>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</si>
  <si>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</si>
  <si>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</si>
  <si>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</si>
  <si>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</si>
  <si>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</si>
  <si>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</si>
  <si>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</si>
  <si>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</si>
  <si>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</si>
  <si>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</si>
  <si>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</si>
  <si>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</si>
  <si>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</si>
  <si>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</si>
  <si>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</si>
  <si>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</si>
  <si>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</si>
  <si>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</si>
  <si>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</si>
  <si>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</si>
  <si>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</si>
  <si>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</si>
  <si>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</si>
  <si>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</si>
  <si>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</si>
  <si>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</si>
  <si>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</si>
  <si>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</si>
  <si>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</si>
  <si>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</si>
  <si>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</si>
  <si>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</si>
  <si>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</si>
  <si>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</si>
  <si>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</si>
  <si>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</si>
  <si>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</si>
  <si>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</si>
  <si>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</si>
  <si>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</si>
  <si>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</si>
  <si>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</si>
  <si>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</si>
  <si>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</si>
  <si>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</si>
  <si>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</si>
  <si>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</si>
  <si>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</si>
  <si>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</si>
  <si>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</si>
  <si>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</si>
  <si>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</si>
  <si>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</si>
  <si>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</si>
  <si>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</si>
  <si>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</si>
  <si>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</si>
  <si>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</si>
  <si>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</si>
  <si>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</si>
  <si>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</si>
  <si>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</si>
  <si>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</si>
  <si>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</si>
  <si>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</si>
  <si>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</si>
  <si>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</si>
  <si>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</si>
  <si>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</si>
  <si>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</si>
  <si>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</si>
  <si>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</si>
  <si>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</si>
  <si>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</si>
  <si>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</si>
  <si>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</si>
  <si>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</si>
  <si>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</si>
  <si>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</si>
  <si>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</si>
  <si>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 xml:space="preserve">Vermilion </t>
  </si>
  <si>
    <t>7915 U.S 136</t>
  </si>
  <si>
    <t>Potomac</t>
  </si>
  <si>
    <t>owensj@potomac.k12.il.us</t>
  </si>
  <si>
    <t>James Owens</t>
  </si>
  <si>
    <t>217-987-6155</t>
  </si>
  <si>
    <t>Daughetee and Parks Management Consulting PC</t>
  </si>
  <si>
    <t>Phyllis Parks</t>
  </si>
  <si>
    <t>2200 Kickapoo Drive STE a</t>
  </si>
  <si>
    <t>Danville</t>
  </si>
  <si>
    <t>IL</t>
  </si>
  <si>
    <t>217-431-2727</t>
  </si>
  <si>
    <t>217-431-3273</t>
  </si>
  <si>
    <t>065-019320</t>
  </si>
  <si>
    <t>pparkscpa@gmail.com</t>
  </si>
  <si>
    <t>2016 Working Cash Bond</t>
  </si>
  <si>
    <t>2013 Life Safety Bond</t>
  </si>
  <si>
    <t>2011 Working Cash Bond</t>
  </si>
  <si>
    <t>2006 Life Safety Bond</t>
  </si>
  <si>
    <t>2020 Working Cash Series A</t>
  </si>
  <si>
    <t>2020 Working Cash Series B</t>
  </si>
  <si>
    <t>None</t>
  </si>
  <si>
    <t>Vermilion Association of Special Education</t>
  </si>
  <si>
    <t>Vermilion Vocational Educational Delivery System</t>
  </si>
  <si>
    <t>Potomac Armstrong Sports Cooperative</t>
  </si>
  <si>
    <t>Daughhetee &amp; Parks Management Consulting, PC</t>
  </si>
  <si>
    <t xml:space="preserve">   Potomac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</si>
</sst>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1</xdr:row>
          <xdr:rowOff>142875</xdr:rowOff>
        </xdr:from>
        <xdr:to>
          <xdr:col>6</xdr:col>
          <xdr:colOff>95250</xdr:colOff>
          <xdr:row>6</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2562225</xdr:colOff>
          <xdr:row>3</xdr:row>
          <xdr:rowOff>19050</xdr:rowOff>
        </xdr:from>
        <xdr:to>
          <xdr:col>1</xdr:col>
          <xdr:colOff>3476625</xdr:colOff>
          <xdr:row>7</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6"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54092010026</v>
      </c>
      <c r="B13" s="2101"/>
      <c r="C13" s="2101"/>
      <c r="D13" s="2101"/>
      <c r="E13" s="2101"/>
      <c r="F13" s="2101"/>
      <c r="G13" s="2101"/>
      <c r="H13" s="2102"/>
      <c r="I13" s="31"/>
      <c r="J13" s="30"/>
      <c r="K13" s="28"/>
      <c r="L13" s="30"/>
      <c r="M13" s="30"/>
      <c r="N13" s="30"/>
      <c r="O13" s="30"/>
      <c r="P13" s="30"/>
      <c r="Q13" s="30"/>
      <c r="R13" s="30"/>
      <c r="S13" s="30"/>
      <c r="T13" s="2106" t="s">
        <v>2058</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2052</v>
      </c>
      <c r="B15" s="2104"/>
      <c r="C15" s="2104"/>
      <c r="D15" s="2104"/>
      <c r="E15" s="2104"/>
      <c r="F15" s="2104"/>
      <c r="G15" s="2104"/>
      <c r="H15" s="2105"/>
      <c r="T15" s="2110" t="s">
        <v>2059</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2078</v>
      </c>
      <c r="B17" s="2074"/>
      <c r="C17" s="2074"/>
      <c r="D17" s="2074"/>
      <c r="E17" s="2074"/>
      <c r="F17" s="2074"/>
      <c r="G17" s="2074"/>
      <c r="H17" s="2099"/>
      <c r="T17" s="2117" t="s">
        <v>2060</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2053</v>
      </c>
      <c r="B19" s="2059"/>
      <c r="C19" s="2059"/>
      <c r="D19" s="2059"/>
      <c r="E19" s="2059"/>
      <c r="F19" s="2059"/>
      <c r="G19" s="2059"/>
      <c r="H19" s="2039"/>
      <c r="I19" s="30"/>
      <c r="J19" s="96"/>
      <c r="K19" s="40"/>
      <c r="L19" s="38"/>
      <c r="M19" s="109" t="s">
        <v>312</v>
      </c>
      <c r="P19" s="27"/>
      <c r="Q19" s="27"/>
      <c r="R19" s="27"/>
      <c r="S19" s="31"/>
      <c r="T19" s="2103" t="s">
        <v>2061</v>
      </c>
      <c r="U19" s="2038"/>
      <c r="V19" s="2038"/>
      <c r="W19" s="2039"/>
      <c r="X19" s="2115" t="s">
        <v>2062</v>
      </c>
      <c r="Y19" s="2116"/>
      <c r="Z19" s="2113">
        <v>61832</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2054</v>
      </c>
      <c r="B21" s="2038"/>
      <c r="C21" s="2038"/>
      <c r="D21" s="2038"/>
      <c r="E21" s="2038"/>
      <c r="F21" s="2038"/>
      <c r="G21" s="2038"/>
      <c r="H21" s="2039"/>
      <c r="I21" s="2093" t="s">
        <v>673</v>
      </c>
      <c r="J21" s="2088"/>
      <c r="K21" s="2088"/>
      <c r="L21" s="2088"/>
      <c r="M21" s="2088"/>
      <c r="N21" s="2088"/>
      <c r="O21" s="2088"/>
      <c r="P21" s="2088"/>
      <c r="Q21" s="2088"/>
      <c r="R21" s="2088"/>
      <c r="S21" s="2094"/>
      <c r="T21" s="2128" t="s">
        <v>2063</v>
      </c>
      <c r="U21" s="2129"/>
      <c r="V21" s="2129"/>
      <c r="W21" s="2129"/>
      <c r="X21" s="2134" t="s">
        <v>2064</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2055</v>
      </c>
      <c r="B23" s="2091"/>
      <c r="C23" s="2091"/>
      <c r="D23" s="2091"/>
      <c r="E23" s="2091"/>
      <c r="F23" s="2091"/>
      <c r="G23" s="2091"/>
      <c r="H23" s="2092"/>
      <c r="T23" s="2073" t="s">
        <v>2065</v>
      </c>
      <c r="U23" s="2127"/>
      <c r="V23" s="2127"/>
      <c r="W23" s="2127"/>
      <c r="X23" s="2131">
        <v>44469</v>
      </c>
      <c r="Y23" s="2132"/>
      <c r="Z23" s="2132"/>
      <c r="AA23" s="2133"/>
    </row>
    <row r="24" spans="1:27" ht="14.1" customHeight="1" x14ac:dyDescent="0.2">
      <c r="A24" s="85" t="s">
        <v>672</v>
      </c>
      <c r="B24" s="46"/>
      <c r="C24" s="46"/>
      <c r="D24" s="46"/>
      <c r="E24" s="46"/>
      <c r="F24" s="46"/>
      <c r="G24" s="46"/>
      <c r="H24" s="58"/>
      <c r="J24" s="2060" t="str">
        <f>IF(B5="x",IF(AUDITCHECK!D29="AFR form Incomplete.","",IF(AUDITCHECK!D29="Deficit reduction plan is required.","School District must complete a deficit reduction plan in the 2020-2021 Budget",)),"")</f>
        <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61865</v>
      </c>
      <c r="B25" s="2038"/>
      <c r="C25" s="2038"/>
      <c r="D25" s="2038"/>
      <c r="E25" s="2038"/>
      <c r="F25" s="2038"/>
      <c r="G25" s="2038"/>
      <c r="H25" s="2039"/>
      <c r="I25" s="110"/>
      <c r="J25" s="2062"/>
      <c r="K25" s="2062"/>
      <c r="L25" s="2062"/>
      <c r="M25" s="2062"/>
      <c r="N25" s="2062"/>
      <c r="O25" s="2062"/>
      <c r="P25" s="2062"/>
      <c r="Q25" s="2062"/>
      <c r="R25" s="2062"/>
      <c r="S25" s="2063"/>
      <c r="T25" s="2124" t="s">
        <v>2066</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2056</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tr">
        <f>A23</f>
        <v>owensj@potomac.k12.il.us</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2057</v>
      </c>
      <c r="B42" s="2057"/>
      <c r="C42" s="2058"/>
      <c r="D42" s="2056"/>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C117" sqref="C117:H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2077</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23586081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2.7E-2</v>
      </c>
      <c r="E10" s="333" t="s">
        <v>998</v>
      </c>
      <c r="F10" s="332">
        <v>5.1316000000000001E-3</v>
      </c>
      <c r="G10" s="333" t="s">
        <v>998</v>
      </c>
      <c r="H10" s="332">
        <v>2E-3</v>
      </c>
      <c r="I10" s="333" t="s">
        <v>999</v>
      </c>
      <c r="J10" s="1424">
        <f>ROUND(D10+F10+H10,5)</f>
        <v>3.4130000000000001E-2</v>
      </c>
      <c r="K10" s="217"/>
      <c r="L10" s="332">
        <v>5.0000000000000001E-3</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2287491</v>
      </c>
      <c r="E16" s="1547"/>
      <c r="F16" s="1546">
        <f>SUM('Acct Summary 7-8'!C17,'Acct Summary 7-8'!D17,'Acct Summary 7-8'!F17)</f>
        <v>2075624</v>
      </c>
      <c r="G16" s="1547"/>
      <c r="H16" s="1546">
        <f>SUM(D16-F16)</f>
        <v>211867</v>
      </c>
      <c r="I16" s="1548"/>
      <c r="J16" s="1546">
        <f>SUM('Acct Summary 7-8'!C81,'Acct Summary 7-8'!D81,'Acct Summary 7-8'!F81,'Acct Summary 7-8'!I81)</f>
        <v>2893001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1627439.5890000002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1188300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Potomac CUSD 10</v>
      </c>
      <c r="E7" s="368"/>
      <c r="G7" s="247"/>
      <c r="H7" s="364"/>
      <c r="I7" s="364"/>
      <c r="J7" s="364"/>
      <c r="K7" s="364"/>
      <c r="L7" s="307"/>
      <c r="M7" s="307"/>
      <c r="N7" s="307"/>
      <c r="O7" s="307"/>
      <c r="P7" s="307"/>
    </row>
    <row r="8" spans="1:18" ht="12.75" x14ac:dyDescent="0.2">
      <c r="A8" s="307"/>
      <c r="B8" s="307"/>
      <c r="C8" s="366" t="s">
        <v>1115</v>
      </c>
      <c r="D8" s="369">
        <f>COVER!A13</f>
        <v>54092010026</v>
      </c>
      <c r="E8" s="370"/>
      <c r="G8" s="307"/>
      <c r="H8" s="307"/>
      <c r="I8" s="307"/>
      <c r="J8" s="307"/>
      <c r="K8" s="307"/>
      <c r="L8" s="307"/>
      <c r="M8" s="307"/>
      <c r="N8" s="307"/>
      <c r="O8" s="307"/>
      <c r="P8" s="307"/>
    </row>
    <row r="9" spans="1:18" ht="12.75" x14ac:dyDescent="0.2">
      <c r="A9" s="307"/>
      <c r="B9" s="307"/>
      <c r="C9" s="366" t="s">
        <v>708</v>
      </c>
      <c r="D9" s="371" t="str">
        <f>COVER!A15</f>
        <v xml:space="preserve">Vermilion </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2893001</v>
      </c>
      <c r="I12" s="380"/>
      <c r="J12" s="380"/>
      <c r="K12" s="1559">
        <f>TRUNC((H12/H13*100000),5)/100000</f>
        <v>1.2647048665</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2287491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2075624</v>
      </c>
      <c r="I17" s="380"/>
      <c r="J17" s="389"/>
      <c r="K17" s="1559">
        <f>TRUNC((H17/H18*100000),5)/100000</f>
        <v>0.90738018200000004</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2287491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2889592</v>
      </c>
      <c r="I24" s="394"/>
      <c r="J24" s="394"/>
      <c r="K24" s="1555">
        <f>TRUNC(((H24/H25*100000)/100000),2)</f>
        <v>501.17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5765.6222200000002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684244.00285000005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1188300</v>
      </c>
      <c r="I32" s="392"/>
      <c r="J32" s="392"/>
      <c r="K32" s="1555">
        <f>TRUNC(100-((((H32/H33*100))*100)/100),2)</f>
        <v>26.98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1627439.5890000002</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C13" sqref="C13:L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1330227-560100</f>
        <v>770127</v>
      </c>
      <c r="D4" s="1573">
        <v>167977</v>
      </c>
      <c r="E4" s="1573">
        <v>35</v>
      </c>
      <c r="F4" s="1573">
        <v>113736</v>
      </c>
      <c r="G4" s="1573">
        <v>46721</v>
      </c>
      <c r="H4" s="1573">
        <v>31719</v>
      </c>
      <c r="I4" s="1573">
        <v>1277652</v>
      </c>
      <c r="J4" s="1574">
        <v>9372</v>
      </c>
      <c r="K4" s="1573">
        <v>82129</v>
      </c>
      <c r="L4" s="1573">
        <v>32989</v>
      </c>
      <c r="M4" s="1575"/>
      <c r="N4" s="1576"/>
    </row>
    <row r="5" spans="1:14" x14ac:dyDescent="0.2">
      <c r="A5" s="427" t="s">
        <v>985</v>
      </c>
      <c r="B5" s="429">
        <v>120</v>
      </c>
      <c r="C5" s="1572">
        <v>560100</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v>3409</v>
      </c>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1333636</v>
      </c>
      <c r="D13" s="1587">
        <f t="shared" ref="D13:L13" si="0">SUM(D4:D12)</f>
        <v>167977</v>
      </c>
      <c r="E13" s="1587">
        <f t="shared" si="0"/>
        <v>35</v>
      </c>
      <c r="F13" s="1587">
        <f t="shared" si="0"/>
        <v>113736</v>
      </c>
      <c r="G13" s="1587">
        <f t="shared" si="0"/>
        <v>46721</v>
      </c>
      <c r="H13" s="1587">
        <f t="shared" si="0"/>
        <v>31719</v>
      </c>
      <c r="I13" s="1587">
        <f t="shared" si="0"/>
        <v>1277652</v>
      </c>
      <c r="J13" s="1587">
        <f t="shared" si="0"/>
        <v>9372</v>
      </c>
      <c r="K13" s="1587">
        <f t="shared" si="0"/>
        <v>82129</v>
      </c>
      <c r="L13" s="1587">
        <f t="shared" si="0"/>
        <v>32989</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6010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268799+249834</f>
        <v>518633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14315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1188300</v>
      </c>
    </row>
    <row r="23" spans="1:14" ht="13.5" customHeight="1" thickBot="1" x14ac:dyDescent="0.25">
      <c r="A23" s="1426" t="s">
        <v>638</v>
      </c>
      <c r="B23" s="1429"/>
      <c r="C23" s="1575"/>
      <c r="D23" s="1575"/>
      <c r="E23" s="1575"/>
      <c r="F23" s="1575"/>
      <c r="G23" s="1575"/>
      <c r="H23" s="1575"/>
      <c r="I23" s="1575"/>
      <c r="J23" s="1575"/>
      <c r="K23" s="1575"/>
      <c r="L23" s="1575"/>
      <c r="M23" s="1594">
        <f>SUM(M15:M22)</f>
        <v>538958</v>
      </c>
      <c r="N23" s="1594">
        <f>SUM(N21:N22)</f>
        <v>1188300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32989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32989</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1188300</v>
      </c>
    </row>
    <row r="37" spans="1:14" ht="13.5" thickBot="1" x14ac:dyDescent="0.25">
      <c r="A37" s="1426" t="s">
        <v>648</v>
      </c>
      <c r="B37" s="1429"/>
      <c r="C37" s="1582"/>
      <c r="D37" s="1582"/>
      <c r="E37" s="1582"/>
      <c r="F37" s="1582"/>
      <c r="G37" s="1582"/>
      <c r="H37" s="1582"/>
      <c r="I37" s="1582"/>
      <c r="J37" s="1582"/>
      <c r="K37" s="1582"/>
      <c r="L37" s="1585"/>
      <c r="M37" s="1575"/>
      <c r="N37" s="1594">
        <f>SUM(N36:N36)</f>
        <v>1188300</v>
      </c>
    </row>
    <row r="38" spans="1:14" s="307" customFormat="1" ht="13.5" customHeight="1" thickTop="1" x14ac:dyDescent="0.2">
      <c r="A38" s="438" t="s">
        <v>417</v>
      </c>
      <c r="B38" s="432">
        <v>714</v>
      </c>
      <c r="C38" s="1573"/>
      <c r="D38" s="1573"/>
      <c r="E38" s="1573">
        <f>'Acct Summary 7-8'!E81</f>
        <v>35</v>
      </c>
      <c r="F38" s="1573"/>
      <c r="G38" s="1573">
        <f>'Acct Summary 7-8'!G81</f>
        <v>46721</v>
      </c>
      <c r="H38" s="1573">
        <f>'Acct Summary 7-8'!H81</f>
        <v>31719</v>
      </c>
      <c r="I38" s="1573"/>
      <c r="J38" s="1574">
        <f>'Acct Summary 7-8'!J81</f>
        <v>9372</v>
      </c>
      <c r="K38" s="1573">
        <f>'Acct Summary 7-8'!K81</f>
        <v>82129</v>
      </c>
      <c r="L38" s="1586"/>
      <c r="M38" s="1604"/>
      <c r="N38" s="1604"/>
    </row>
    <row r="39" spans="1:14" s="307" customFormat="1" ht="13.5" customHeight="1" x14ac:dyDescent="0.2">
      <c r="A39" s="438" t="s">
        <v>339</v>
      </c>
      <c r="B39" s="432">
        <v>730</v>
      </c>
      <c r="C39" s="1573">
        <f>'Acct Summary 7-8'!C81</f>
        <v>1333636</v>
      </c>
      <c r="D39" s="1573">
        <f>'Acct Summary 7-8'!D81</f>
        <v>167977</v>
      </c>
      <c r="E39" s="1573"/>
      <c r="F39" s="1573">
        <f>'Acct Summary 7-8'!F81</f>
        <v>113736</v>
      </c>
      <c r="G39" s="1573"/>
      <c r="H39" s="1573"/>
      <c r="I39" s="1573">
        <f>'Acct Summary 7-8'!I81</f>
        <v>1277652</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538958</v>
      </c>
      <c r="N40" s="1604"/>
    </row>
    <row r="41" spans="1:14" ht="13.5" customHeight="1" thickBot="1" x14ac:dyDescent="0.25">
      <c r="A41" s="1426" t="s">
        <v>650</v>
      </c>
      <c r="B41" s="1405"/>
      <c r="C41" s="1594">
        <f>(SUM(C34,C37,C38,C39))</f>
        <v>1333636</v>
      </c>
      <c r="D41" s="1594">
        <f t="shared" ref="D41:L41" si="2">SUM(D34,D37,D38:D39)</f>
        <v>167977</v>
      </c>
      <c r="E41" s="1594">
        <f t="shared" si="2"/>
        <v>35</v>
      </c>
      <c r="F41" s="1594">
        <f t="shared" si="2"/>
        <v>113736</v>
      </c>
      <c r="G41" s="1594">
        <f t="shared" si="2"/>
        <v>46721</v>
      </c>
      <c r="H41" s="1594">
        <f t="shared" si="2"/>
        <v>31719</v>
      </c>
      <c r="I41" s="1594">
        <f t="shared" si="2"/>
        <v>1277652</v>
      </c>
      <c r="J41" s="1594">
        <f t="shared" si="2"/>
        <v>9372</v>
      </c>
      <c r="K41" s="1594">
        <f t="shared" si="2"/>
        <v>82129</v>
      </c>
      <c r="L41" s="1594">
        <f t="shared" si="2"/>
        <v>32989</v>
      </c>
      <c r="M41" s="1594">
        <f>SUM(M40)</f>
        <v>538958</v>
      </c>
      <c r="N41" s="1594">
        <f>SUM(N37)</f>
        <v>1188300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794457</v>
      </c>
      <c r="D4" s="1606">
        <f>'Revenues 9-14'!D109</f>
        <v>120566</v>
      </c>
      <c r="E4" s="1606">
        <f>'Revenues 9-14'!E109</f>
        <v>120098</v>
      </c>
      <c r="F4" s="1606">
        <f>'Revenues 9-14'!F109</f>
        <v>45202</v>
      </c>
      <c r="G4" s="1606">
        <f>'Revenues 9-14'!G109</f>
        <v>64244</v>
      </c>
      <c r="H4" s="1606">
        <f>'Revenues 9-14'!H109</f>
        <v>11124</v>
      </c>
      <c r="I4" s="1606">
        <f>'Revenues 9-14'!I109</f>
        <v>12186</v>
      </c>
      <c r="J4" s="1606">
        <f>'Revenues 9-14'!J109</f>
        <v>100105</v>
      </c>
      <c r="K4" s="1606">
        <f>'Revenues 9-14'!K109</f>
        <v>11352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1021572</v>
      </c>
      <c r="D6" s="1607">
        <f>'Revenues 9-14'!D170</f>
        <v>50000</v>
      </c>
      <c r="E6" s="1607">
        <f>'Revenues 9-14'!E170</f>
        <v>3300</v>
      </c>
      <c r="F6" s="1607">
        <f>'Revenues 9-14'!F170</f>
        <v>22749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220759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2036788</v>
      </c>
      <c r="D8" s="1594">
        <f t="shared" ref="D8:K8" si="0">SUM(D4:D7)</f>
        <v>170566</v>
      </c>
      <c r="E8" s="1594">
        <f t="shared" si="0"/>
        <v>123398</v>
      </c>
      <c r="F8" s="1594">
        <f t="shared" si="0"/>
        <v>67951</v>
      </c>
      <c r="G8" s="1594">
        <f t="shared" si="0"/>
        <v>64244</v>
      </c>
      <c r="H8" s="1594">
        <f t="shared" si="0"/>
        <v>11124</v>
      </c>
      <c r="I8" s="1594">
        <f t="shared" si="0"/>
        <v>12186</v>
      </c>
      <c r="J8" s="1594">
        <f t="shared" si="0"/>
        <v>100105</v>
      </c>
      <c r="K8" s="1594">
        <f t="shared" si="0"/>
        <v>11352</v>
      </c>
      <c r="L8" s="325"/>
    </row>
    <row r="9" spans="1:13" ht="15.75" thickTop="1" x14ac:dyDescent="0.2">
      <c r="A9" s="449" t="s">
        <v>1634</v>
      </c>
      <c r="B9" s="450">
        <v>3998</v>
      </c>
      <c r="C9" s="1586">
        <v>588197</v>
      </c>
      <c r="D9" s="1613"/>
      <c r="E9" s="1586"/>
      <c r="F9" s="1586"/>
      <c r="G9" s="1614"/>
      <c r="H9" s="1586"/>
      <c r="I9" s="1609" t="s">
        <v>1159</v>
      </c>
      <c r="J9" s="1583"/>
      <c r="K9" s="1586"/>
      <c r="L9" s="325"/>
    </row>
    <row r="10" spans="1:13" s="452" customFormat="1" ht="13.5" thickBot="1" x14ac:dyDescent="0.25">
      <c r="A10" s="1426" t="s">
        <v>1163</v>
      </c>
      <c r="B10" s="1407"/>
      <c r="C10" s="1594">
        <f>SUM(C8:C9)</f>
        <v>2624985</v>
      </c>
      <c r="D10" s="1594">
        <f t="shared" ref="D10:K10" si="1">SUM(D8:D9)</f>
        <v>170566</v>
      </c>
      <c r="E10" s="1594">
        <f t="shared" si="1"/>
        <v>123398</v>
      </c>
      <c r="F10" s="1594">
        <f t="shared" si="1"/>
        <v>67951</v>
      </c>
      <c r="G10" s="1594">
        <f t="shared" si="1"/>
        <v>64244</v>
      </c>
      <c r="H10" s="1594">
        <f t="shared" si="1"/>
        <v>11124</v>
      </c>
      <c r="I10" s="1594">
        <f t="shared" si="1"/>
        <v>12186</v>
      </c>
      <c r="J10" s="1594">
        <f t="shared" si="1"/>
        <v>100105</v>
      </c>
      <c r="K10" s="1594">
        <f t="shared" si="1"/>
        <v>11352</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789515</v>
      </c>
      <c r="D12" s="1616" t="s">
        <v>1159</v>
      </c>
      <c r="E12" s="1575" t="s">
        <v>1159</v>
      </c>
      <c r="F12" s="1575" t="s">
        <v>1159</v>
      </c>
      <c r="G12" s="1606">
        <f>'Expenditures 15-22'!K229</f>
        <v>16809</v>
      </c>
      <c r="H12" s="1617"/>
      <c r="I12" s="1575" t="s">
        <v>1159</v>
      </c>
      <c r="J12" s="1575" t="s">
        <v>1159</v>
      </c>
      <c r="K12" s="1617" t="s">
        <v>1159</v>
      </c>
      <c r="L12" s="325"/>
    </row>
    <row r="13" spans="1:13" ht="15.75" customHeight="1" x14ac:dyDescent="0.2">
      <c r="A13" s="1314" t="s">
        <v>454</v>
      </c>
      <c r="B13" s="1316">
        <v>2000</v>
      </c>
      <c r="C13" s="1607">
        <f>'Expenditures 15-22'!K74</f>
        <v>436033</v>
      </c>
      <c r="D13" s="1607">
        <f>'Expenditures 15-22'!K129</f>
        <v>104426</v>
      </c>
      <c r="E13" s="1576" t="s">
        <v>1159</v>
      </c>
      <c r="F13" s="1607">
        <f>'Expenditures 15-22'!K184</f>
        <v>102665</v>
      </c>
      <c r="G13" s="1607">
        <f>'Expenditures 15-22'!K279</f>
        <v>28405</v>
      </c>
      <c r="H13" s="1607">
        <f>'Expenditures 15-22'!K303</f>
        <v>0</v>
      </c>
      <c r="I13" s="1575" t="s">
        <v>1159</v>
      </c>
      <c r="J13" s="1607">
        <f>'Expenditures 15-22'!K330</f>
        <v>100523</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642985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421363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1868533</v>
      </c>
      <c r="D17" s="1594">
        <f t="shared" si="2"/>
        <v>104426</v>
      </c>
      <c r="E17" s="1594">
        <f t="shared" si="2"/>
        <v>421363</v>
      </c>
      <c r="F17" s="1594">
        <f t="shared" si="2"/>
        <v>102665</v>
      </c>
      <c r="G17" s="1594">
        <f t="shared" si="2"/>
        <v>45214</v>
      </c>
      <c r="H17" s="1594">
        <f t="shared" si="2"/>
        <v>0</v>
      </c>
      <c r="I17" s="1575"/>
      <c r="J17" s="1594">
        <f>SUM(J12:J16)</f>
        <v>100523</v>
      </c>
      <c r="K17" s="1594">
        <f>SUM(K12:K16)</f>
        <v>0</v>
      </c>
      <c r="L17" s="325"/>
    </row>
    <row r="18" spans="1:12" ht="15" customHeight="1" thickTop="1" x14ac:dyDescent="0.2">
      <c r="A18" s="1430" t="s">
        <v>1635</v>
      </c>
      <c r="B18" s="1431">
        <v>4180</v>
      </c>
      <c r="C18" s="1606">
        <f t="shared" ref="C18:H18" si="3">C9</f>
        <v>588197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2456730</v>
      </c>
      <c r="D19" s="1594">
        <f t="shared" si="4"/>
        <v>104426</v>
      </c>
      <c r="E19" s="1594">
        <f t="shared" si="4"/>
        <v>421363</v>
      </c>
      <c r="F19" s="1594">
        <f t="shared" si="4"/>
        <v>102665</v>
      </c>
      <c r="G19" s="1594">
        <f t="shared" si="4"/>
        <v>45214</v>
      </c>
      <c r="H19" s="1594">
        <f t="shared" si="4"/>
        <v>0</v>
      </c>
      <c r="I19" s="1575"/>
      <c r="J19" s="1594">
        <f>SUM(J17:J18)</f>
        <v>100523</v>
      </c>
      <c r="K19" s="1594">
        <f>SUM(K17:K18)</f>
        <v>0</v>
      </c>
      <c r="L19" s="325"/>
    </row>
    <row r="20" spans="1:12" ht="16.5" thickTop="1" thickBot="1" x14ac:dyDescent="0.25">
      <c r="A20" s="2231" t="s">
        <v>1636</v>
      </c>
      <c r="B20" s="2232"/>
      <c r="C20" s="1622">
        <f>C8-C17</f>
        <v>168255</v>
      </c>
      <c r="D20" s="1622">
        <f t="shared" ref="D20:K20" si="5">D8-D17</f>
        <v>66140</v>
      </c>
      <c r="E20" s="1622">
        <f t="shared" si="5"/>
        <v>-297965</v>
      </c>
      <c r="F20" s="1622">
        <f t="shared" si="5"/>
        <v>-34714</v>
      </c>
      <c r="G20" s="1622">
        <f t="shared" si="5"/>
        <v>19030</v>
      </c>
      <c r="H20" s="1622">
        <f t="shared" si="5"/>
        <v>11124</v>
      </c>
      <c r="I20" s="1622">
        <f t="shared" si="5"/>
        <v>12186</v>
      </c>
      <c r="J20" s="1622">
        <f t="shared" si="5"/>
        <v>-418</v>
      </c>
      <c r="K20" s="1622">
        <f t="shared" si="5"/>
        <v>11352</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v>297937</v>
      </c>
      <c r="F33" s="1574"/>
      <c r="G33" s="1582"/>
      <c r="H33" s="1574"/>
      <c r="I33" s="1574">
        <v>850363</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297937</v>
      </c>
      <c r="F44" s="1624">
        <f t="shared" si="6"/>
        <v>0</v>
      </c>
      <c r="G44" s="1624">
        <f t="shared" si="6"/>
        <v>0</v>
      </c>
      <c r="H44" s="1624">
        <f t="shared" si="6"/>
        <v>0</v>
      </c>
      <c r="I44" s="1624">
        <f t="shared" si="6"/>
        <v>850363</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297937</v>
      </c>
      <c r="F77" s="1624">
        <f t="shared" si="8"/>
        <v>0</v>
      </c>
      <c r="G77" s="1624">
        <f t="shared" si="8"/>
        <v>0</v>
      </c>
      <c r="H77" s="1624">
        <f t="shared" si="8"/>
        <v>0</v>
      </c>
      <c r="I77" s="1624">
        <f t="shared" si="8"/>
        <v>850363</v>
      </c>
      <c r="J77" s="1624">
        <f t="shared" si="8"/>
        <v>0</v>
      </c>
      <c r="K77" s="1624">
        <f t="shared" si="8"/>
        <v>0</v>
      </c>
      <c r="L77" s="325"/>
    </row>
    <row r="78" spans="1:12" ht="21.75" customHeight="1" thickTop="1" thickBot="1" x14ac:dyDescent="0.25">
      <c r="A78" s="2227" t="s">
        <v>593</v>
      </c>
      <c r="B78" s="2228"/>
      <c r="C78" s="1629">
        <f t="shared" ref="C78:K78" si="9">C20+C77</f>
        <v>168255</v>
      </c>
      <c r="D78" s="1629">
        <f t="shared" si="9"/>
        <v>66140</v>
      </c>
      <c r="E78" s="1629">
        <f t="shared" si="9"/>
        <v>-28</v>
      </c>
      <c r="F78" s="1629">
        <f t="shared" si="9"/>
        <v>-34714</v>
      </c>
      <c r="G78" s="1629">
        <f t="shared" si="9"/>
        <v>19030</v>
      </c>
      <c r="H78" s="1629">
        <f t="shared" si="9"/>
        <v>11124</v>
      </c>
      <c r="I78" s="1629">
        <f t="shared" si="9"/>
        <v>862549</v>
      </c>
      <c r="J78" s="1629">
        <f t="shared" si="9"/>
        <v>-418</v>
      </c>
      <c r="K78" s="1629">
        <f t="shared" si="9"/>
        <v>11352</v>
      </c>
      <c r="L78" s="457"/>
    </row>
    <row r="79" spans="1:12" ht="13.5" thickTop="1" x14ac:dyDescent="0.2">
      <c r="A79" s="1844" t="str">
        <f>"Fund Balances - July 1, "&amp;'AFR20'!E2-1</f>
        <v>Fund Balances - July 1, 2019</v>
      </c>
      <c r="B79" s="458"/>
      <c r="C79" s="1583">
        <v>1165381</v>
      </c>
      <c r="D79" s="1630">
        <v>101837</v>
      </c>
      <c r="E79" s="1630">
        <v>63</v>
      </c>
      <c r="F79" s="1630">
        <v>148450</v>
      </c>
      <c r="G79" s="1630">
        <v>27691</v>
      </c>
      <c r="H79" s="1630">
        <v>20595</v>
      </c>
      <c r="I79" s="1630">
        <v>415103</v>
      </c>
      <c r="J79" s="1630">
        <v>9790</v>
      </c>
      <c r="K79" s="1630">
        <v>70777</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1333636</v>
      </c>
      <c r="D81" s="1594">
        <f>SUM(D78:D80)</f>
        <v>167977</v>
      </c>
      <c r="E81" s="1594">
        <f t="shared" ref="E81:K81" si="10">SUM(E78:E80)</f>
        <v>35</v>
      </c>
      <c r="F81" s="1594">
        <f t="shared" si="10"/>
        <v>113736</v>
      </c>
      <c r="G81" s="1594">
        <f t="shared" si="10"/>
        <v>46721</v>
      </c>
      <c r="H81" s="1594">
        <f t="shared" si="10"/>
        <v>31719</v>
      </c>
      <c r="I81" s="1594">
        <f t="shared" si="10"/>
        <v>1277652</v>
      </c>
      <c r="J81" s="1594">
        <f t="shared" si="10"/>
        <v>9372</v>
      </c>
      <c r="K81" s="1594">
        <f t="shared" si="10"/>
        <v>82129</v>
      </c>
      <c r="L81" s="325"/>
    </row>
    <row r="82" spans="1:12" ht="0.75" customHeight="1" thickTop="1" thickBot="1" x14ac:dyDescent="0.25">
      <c r="A82" s="459" t="s">
        <v>340</v>
      </c>
      <c r="B82" s="460"/>
      <c r="C82" s="461">
        <f>(C81-C79)</f>
        <v>168255</v>
      </c>
      <c r="D82" s="461">
        <f t="shared" ref="D82:K82" si="11">(D81-D79)</f>
        <v>66140</v>
      </c>
      <c r="E82" s="461">
        <f t="shared" si="11"/>
        <v>-28</v>
      </c>
      <c r="F82" s="461">
        <f t="shared" si="11"/>
        <v>-34714</v>
      </c>
      <c r="G82" s="461">
        <f t="shared" si="11"/>
        <v>19030</v>
      </c>
      <c r="H82" s="461">
        <f t="shared" si="11"/>
        <v>11124</v>
      </c>
      <c r="I82" s="461">
        <f t="shared" si="11"/>
        <v>862549</v>
      </c>
      <c r="J82" s="461">
        <f t="shared" si="11"/>
        <v>-418</v>
      </c>
      <c r="K82" s="461">
        <f t="shared" si="11"/>
        <v>11352</v>
      </c>
    </row>
    <row r="83" spans="1:12" ht="14.25" hidden="1" thickTop="1" thickBot="1" x14ac:dyDescent="0.25">
      <c r="A83" s="462" t="s">
        <v>341</v>
      </c>
      <c r="B83" s="428"/>
      <c r="C83" s="463">
        <f>C82/C81</f>
        <v>0.12616261108728319</v>
      </c>
      <c r="D83" s="463">
        <f t="shared" ref="D83:K83" si="12">D82/D81</f>
        <v>0.39374438167130021</v>
      </c>
      <c r="E83" s="463">
        <f t="shared" si="12"/>
        <v>-0.8</v>
      </c>
      <c r="F83" s="463">
        <f t="shared" si="12"/>
        <v>-0.30521558697334178</v>
      </c>
      <c r="G83" s="463">
        <f t="shared" si="12"/>
        <v>0.40731148733974015</v>
      </c>
      <c r="H83" s="463">
        <f t="shared" si="12"/>
        <v>0.35070462498817745</v>
      </c>
      <c r="I83" s="463">
        <f t="shared" si="12"/>
        <v>0.67510480162047259</v>
      </c>
      <c r="J83" s="463">
        <f t="shared" si="12"/>
        <v>-4.4600938967136149E-2</v>
      </c>
      <c r="K83" s="463">
        <f t="shared" si="12"/>
        <v>0.13822157824885242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6" activePane="bottomLeft" state="frozen"/>
      <selection pane="bottomLeft"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593683</v>
      </c>
      <c r="D5" s="1586">
        <v>109941</v>
      </c>
      <c r="E5" s="1573">
        <v>119999</v>
      </c>
      <c r="F5" s="1631">
        <v>43977</v>
      </c>
      <c r="G5" s="1573">
        <v>26272</v>
      </c>
      <c r="H5" s="1573">
        <v>10995</v>
      </c>
      <c r="I5" s="1573">
        <v>10941</v>
      </c>
      <c r="J5" s="1574">
        <v>99633</v>
      </c>
      <c r="K5" s="1573">
        <v>10995</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8797</v>
      </c>
      <c r="D7" s="1573"/>
      <c r="E7" s="1575"/>
      <c r="F7" s="1574"/>
      <c r="G7" s="1574"/>
      <c r="H7" s="1574"/>
      <c r="I7" s="1575"/>
      <c r="J7" s="1575"/>
      <c r="K7" s="1575"/>
    </row>
    <row r="8" spans="1:12" x14ac:dyDescent="0.2">
      <c r="A8" s="427" t="s">
        <v>410</v>
      </c>
      <c r="B8" s="429">
        <v>1150</v>
      </c>
      <c r="C8" s="1580"/>
      <c r="D8" s="1580"/>
      <c r="E8" s="1582"/>
      <c r="F8" s="1582"/>
      <c r="G8" s="1586">
        <v>32716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602480</v>
      </c>
      <c r="D12" s="1633">
        <f t="shared" si="0"/>
        <v>109941</v>
      </c>
      <c r="E12" s="1633">
        <f t="shared" si="0"/>
        <v>119999</v>
      </c>
      <c r="F12" s="1633">
        <f t="shared" si="0"/>
        <v>43977</v>
      </c>
      <c r="G12" s="1633">
        <f t="shared" si="0"/>
        <v>58988</v>
      </c>
      <c r="H12" s="1633">
        <f t="shared" si="0"/>
        <v>10995</v>
      </c>
      <c r="I12" s="1633">
        <f t="shared" si="0"/>
        <v>10941</v>
      </c>
      <c r="J12" s="1633">
        <f t="shared" si="0"/>
        <v>99633</v>
      </c>
      <c r="K12" s="1594">
        <f t="shared" si="0"/>
        <v>10995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113184</v>
      </c>
      <c r="D16" s="1573">
        <v>8803</v>
      </c>
      <c r="E16" s="1573"/>
      <c r="F16" s="1573"/>
      <c r="G16" s="1573">
        <v>3773</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113184</v>
      </c>
      <c r="D18" s="1635">
        <f t="shared" ref="D18:K18" si="1">SUM(D14:D17)</f>
        <v>8803</v>
      </c>
      <c r="E18" s="1635">
        <f t="shared" si="1"/>
        <v>0</v>
      </c>
      <c r="F18" s="1635">
        <f t="shared" si="1"/>
        <v>0</v>
      </c>
      <c r="G18" s="1635">
        <f t="shared" si="1"/>
        <v>3773</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12061</v>
      </c>
      <c r="D65" s="1573">
        <v>694</v>
      </c>
      <c r="E65" s="1573">
        <v>99</v>
      </c>
      <c r="F65" s="1574">
        <v>1225</v>
      </c>
      <c r="G65" s="1573">
        <v>1483</v>
      </c>
      <c r="H65" s="1573">
        <v>129</v>
      </c>
      <c r="I65" s="1573">
        <v>1245</v>
      </c>
      <c r="J65" s="1574">
        <v>472</v>
      </c>
      <c r="K65" s="1573">
        <v>357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12061</v>
      </c>
      <c r="D67" s="1594">
        <f t="shared" ref="D67:K67" si="2">SUM(D65:D66)</f>
        <v>694</v>
      </c>
      <c r="E67" s="1594">
        <f t="shared" si="2"/>
        <v>99</v>
      </c>
      <c r="F67" s="1594">
        <f t="shared" si="2"/>
        <v>1225</v>
      </c>
      <c r="G67" s="1594">
        <f t="shared" si="2"/>
        <v>1483</v>
      </c>
      <c r="H67" s="1594">
        <f t="shared" si="2"/>
        <v>129</v>
      </c>
      <c r="I67" s="1594">
        <f t="shared" si="2"/>
        <v>1245</v>
      </c>
      <c r="J67" s="1594">
        <f t="shared" si="2"/>
        <v>472</v>
      </c>
      <c r="K67" s="1594">
        <f t="shared" si="2"/>
        <v>357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15246</v>
      </c>
      <c r="D69" s="1575"/>
      <c r="E69" s="1575"/>
      <c r="F69" s="1575"/>
      <c r="G69" s="1575"/>
      <c r="H69" s="1575"/>
      <c r="I69" s="1575"/>
      <c r="J69" s="1575"/>
      <c r="K69" s="1575"/>
    </row>
    <row r="70" spans="1:11" ht="12.75" customHeight="1" x14ac:dyDescent="0.2">
      <c r="A70" s="427" t="s">
        <v>990</v>
      </c>
      <c r="B70" s="429">
        <v>1612</v>
      </c>
      <c r="C70" s="1632">
        <v>73</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152</v>
      </c>
      <c r="D72" s="1575"/>
      <c r="E72" s="1575"/>
      <c r="F72" s="1575"/>
      <c r="G72" s="1575"/>
      <c r="H72" s="1575"/>
      <c r="I72" s="1575"/>
      <c r="J72" s="1575"/>
      <c r="K72" s="1575"/>
    </row>
    <row r="73" spans="1:11" ht="12.75" customHeight="1" x14ac:dyDescent="0.2">
      <c r="A73" s="427" t="s">
        <v>991</v>
      </c>
      <c r="B73" s="429">
        <v>1620</v>
      </c>
      <c r="C73" s="1632">
        <v>1435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16906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3953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77</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4030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3160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3160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211</v>
      </c>
      <c r="E95" s="1617"/>
      <c r="F95" s="1617"/>
      <c r="G95" s="1617"/>
      <c r="H95" s="1617"/>
      <c r="I95" s="1617"/>
      <c r="J95" s="1617"/>
      <c r="K95" s="1617"/>
    </row>
    <row r="96" spans="1:11" ht="12.75" customHeight="1" x14ac:dyDescent="0.2">
      <c r="A96" s="427" t="s">
        <v>388</v>
      </c>
      <c r="B96" s="429">
        <v>1920</v>
      </c>
      <c r="C96" s="1632">
        <v>2891</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39129</v>
      </c>
      <c r="D104" s="1573"/>
      <c r="E104" s="1586"/>
      <c r="F104" s="1574"/>
      <c r="G104" s="1574"/>
      <c r="H104" s="1573"/>
      <c r="I104" s="1575"/>
      <c r="J104" s="1575"/>
      <c r="K104" s="1575"/>
    </row>
    <row r="105" spans="1:12" ht="12.75" customHeight="1" x14ac:dyDescent="0.2">
      <c r="A105" s="427" t="s">
        <v>817</v>
      </c>
      <c r="B105" s="429">
        <v>1992</v>
      </c>
      <c r="C105" s="1573">
        <v>451</v>
      </c>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165</v>
      </c>
      <c r="D107" s="1573">
        <v>917</v>
      </c>
      <c r="E107" s="1573"/>
      <c r="F107" s="1573"/>
      <c r="G107" s="1573"/>
      <c r="H107" s="1573"/>
      <c r="I107" s="1573"/>
      <c r="J107" s="1574"/>
      <c r="K107" s="1573"/>
    </row>
    <row r="108" spans="1:12" ht="12.75" customHeight="1" thickBot="1" x14ac:dyDescent="0.25">
      <c r="A108" s="1406" t="s">
        <v>484</v>
      </c>
      <c r="B108" s="1408"/>
      <c r="C108" s="1633">
        <f>SUM(C95:C107)</f>
        <v>42636</v>
      </c>
      <c r="D108" s="1633">
        <f t="shared" ref="D108:K108" si="3">SUM(D95:D107)</f>
        <v>1128</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794457</v>
      </c>
      <c r="D109" s="1641">
        <f t="shared" si="4"/>
        <v>120566</v>
      </c>
      <c r="E109" s="1641">
        <f t="shared" si="4"/>
        <v>120098</v>
      </c>
      <c r="F109" s="1641">
        <f t="shared" si="4"/>
        <v>45202</v>
      </c>
      <c r="G109" s="1641">
        <f t="shared" si="4"/>
        <v>64244</v>
      </c>
      <c r="H109" s="1641">
        <f t="shared" si="4"/>
        <v>11124</v>
      </c>
      <c r="I109" s="1641">
        <f t="shared" si="4"/>
        <v>12186</v>
      </c>
      <c r="J109" s="1641">
        <f t="shared" si="4"/>
        <v>100105</v>
      </c>
      <c r="K109" s="1629">
        <f t="shared" si="4"/>
        <v>11352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1008412</v>
      </c>
      <c r="D117" s="1586"/>
      <c r="E117" s="1573">
        <v>3300</v>
      </c>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v>50000</v>
      </c>
      <c r="E121" s="1573"/>
      <c r="F121" s="1573"/>
      <c r="G121" s="1573"/>
      <c r="H121" s="1573"/>
      <c r="I121" s="1575"/>
      <c r="J121" s="1574"/>
      <c r="K121" s="1573"/>
    </row>
    <row r="122" spans="1:11" ht="12.6" customHeight="1" thickBot="1" x14ac:dyDescent="0.25">
      <c r="A122" s="1406" t="s">
        <v>485</v>
      </c>
      <c r="B122" s="1413"/>
      <c r="C122" s="1633">
        <f t="shared" ref="C122:H122" si="5">SUM(C117:C121)</f>
        <v>1008412</v>
      </c>
      <c r="D122" s="1633">
        <f t="shared" si="5"/>
        <v>50000</v>
      </c>
      <c r="E122" s="1633">
        <f t="shared" si="5"/>
        <v>3300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12708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12708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452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22749</v>
      </c>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22749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13160</v>
      </c>
      <c r="D169" s="1658">
        <f t="shared" si="6"/>
        <v>0</v>
      </c>
      <c r="E169" s="1658">
        <f t="shared" si="6"/>
        <v>0</v>
      </c>
      <c r="F169" s="1658">
        <f t="shared" si="6"/>
        <v>22749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1021572</v>
      </c>
      <c r="D170" s="1641">
        <f t="shared" si="7"/>
        <v>50000</v>
      </c>
      <c r="E170" s="1641">
        <f t="shared" si="7"/>
        <v>3300</v>
      </c>
      <c r="F170" s="1641">
        <f t="shared" si="7"/>
        <v>22749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11182</v>
      </c>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11182</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23414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11883</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35297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125719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125719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2361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43655</v>
      </c>
      <c r="D213" s="1573"/>
      <c r="E213" s="1575"/>
      <c r="F213" s="1573"/>
      <c r="G213" s="1573"/>
      <c r="H213" s="1575"/>
      <c r="I213" s="1575"/>
      <c r="J213" s="1575"/>
      <c r="K213" s="1575"/>
    </row>
    <row r="214" spans="1:11" ht="12.75" customHeight="1" x14ac:dyDescent="0.2">
      <c r="A214" s="427" t="s">
        <v>1045</v>
      </c>
      <c r="B214" s="429">
        <v>4625</v>
      </c>
      <c r="C214" s="1632">
        <v>61</v>
      </c>
      <c r="D214" s="1573">
        <v>0</v>
      </c>
      <c r="E214" s="1575"/>
      <c r="F214" s="1573">
        <v>0</v>
      </c>
      <c r="G214" s="1573">
        <v>0</v>
      </c>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46077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2484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220759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220759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2036788</v>
      </c>
      <c r="D268" s="1641">
        <f t="shared" si="12"/>
        <v>170566</v>
      </c>
      <c r="E268" s="1641">
        <f t="shared" si="12"/>
        <v>123398</v>
      </c>
      <c r="F268" s="1641">
        <f t="shared" si="12"/>
        <v>67951</v>
      </c>
      <c r="G268" s="1641">
        <f t="shared" si="12"/>
        <v>64244</v>
      </c>
      <c r="H268" s="1641">
        <f t="shared" si="12"/>
        <v>11124</v>
      </c>
      <c r="I268" s="1641">
        <f t="shared" si="12"/>
        <v>12186</v>
      </c>
      <c r="J268" s="1641">
        <f t="shared" si="12"/>
        <v>100105</v>
      </c>
      <c r="K268" s="1629">
        <f t="shared" si="12"/>
        <v>11352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C1" colorId="8" zoomScale="110" zoomScaleNormal="110" workbookViewId="0">
      <pane ySplit="2" topLeftCell="A348" activePane="bottomLeft" state="frozen"/>
      <selection pane="bottomLeft" activeCell="L323" sqref="L3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449026</v>
      </c>
      <c r="D5" s="1573">
        <v>53231</v>
      </c>
      <c r="E5" s="1573">
        <v>7362</v>
      </c>
      <c r="F5" s="1573">
        <v>11783</v>
      </c>
      <c r="G5" s="1573"/>
      <c r="H5" s="1573">
        <v>151</v>
      </c>
      <c r="I5" s="1574"/>
      <c r="J5" s="1574"/>
      <c r="K5" s="1672">
        <f>SUM(C5:J5)</f>
        <v>521553</v>
      </c>
      <c r="L5" s="1573">
        <v>431265</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28145</v>
      </c>
      <c r="D7" s="1574"/>
      <c r="E7" s="1574"/>
      <c r="F7" s="1574">
        <v>533</v>
      </c>
      <c r="G7" s="1574"/>
      <c r="H7" s="1574"/>
      <c r="I7" s="1574"/>
      <c r="J7" s="1574"/>
      <c r="K7" s="1672">
        <f t="shared" ref="K7:K32" si="0">SUM(C7:J7)</f>
        <v>28678</v>
      </c>
      <c r="L7" s="1573">
        <v>1700</v>
      </c>
    </row>
    <row r="8" spans="1:14" x14ac:dyDescent="0.2">
      <c r="A8" s="1274" t="s">
        <v>163</v>
      </c>
      <c r="B8" s="503">
        <v>1200</v>
      </c>
      <c r="C8" s="1573">
        <v>66337</v>
      </c>
      <c r="D8" s="1573">
        <v>4685</v>
      </c>
      <c r="E8" s="1573"/>
      <c r="F8" s="1573">
        <v>415</v>
      </c>
      <c r="G8" s="1573"/>
      <c r="H8" s="1573"/>
      <c r="I8" s="1574"/>
      <c r="J8" s="1574"/>
      <c r="K8" s="1672">
        <f t="shared" si="0"/>
        <v>71437</v>
      </c>
      <c r="L8" s="1573">
        <v>127276</v>
      </c>
    </row>
    <row r="9" spans="1:14" x14ac:dyDescent="0.2">
      <c r="A9" s="1274" t="s">
        <v>716</v>
      </c>
      <c r="B9" s="503" t="s">
        <v>962</v>
      </c>
      <c r="C9" s="1574">
        <v>42403</v>
      </c>
      <c r="D9" s="1574">
        <v>4821</v>
      </c>
      <c r="E9" s="1574"/>
      <c r="F9" s="1574">
        <v>2826</v>
      </c>
      <c r="G9" s="1574"/>
      <c r="H9" s="1574"/>
      <c r="I9" s="1574"/>
      <c r="J9" s="1574"/>
      <c r="K9" s="1672">
        <f t="shared" si="0"/>
        <v>50050</v>
      </c>
      <c r="L9" s="1573">
        <v>42860</v>
      </c>
    </row>
    <row r="10" spans="1:14" x14ac:dyDescent="0.2">
      <c r="A10" s="1274" t="s">
        <v>717</v>
      </c>
      <c r="B10" s="503">
        <v>1250</v>
      </c>
      <c r="C10" s="1573">
        <v>64263</v>
      </c>
      <c r="D10" s="1573">
        <v>13284</v>
      </c>
      <c r="E10" s="1573"/>
      <c r="F10" s="1573"/>
      <c r="G10" s="1573"/>
      <c r="H10" s="1573"/>
      <c r="I10" s="1574"/>
      <c r="J10" s="1574"/>
      <c r="K10" s="1672">
        <f t="shared" si="0"/>
        <v>77547</v>
      </c>
      <c r="L10" s="1573">
        <v>86500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19320</v>
      </c>
      <c r="D14" s="1573">
        <v>2671</v>
      </c>
      <c r="E14" s="1573">
        <v>6824</v>
      </c>
      <c r="F14" s="1573">
        <v>2861</v>
      </c>
      <c r="G14" s="1573"/>
      <c r="H14" s="1573">
        <v>1080</v>
      </c>
      <c r="I14" s="1574"/>
      <c r="J14" s="1574"/>
      <c r="K14" s="1672">
        <f t="shared" si="0"/>
        <v>32756</v>
      </c>
      <c r="L14" s="1573">
        <v>35700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f>3390+2604+1500</f>
        <v>7494</v>
      </c>
      <c r="I30" s="1673"/>
      <c r="J30" s="1582"/>
      <c r="K30" s="1672">
        <f t="shared" si="0"/>
        <v>7494</v>
      </c>
      <c r="L30" s="1577">
        <v>0</v>
      </c>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669494</v>
      </c>
      <c r="D33" s="1674">
        <f t="shared" ref="D33:L33" si="1">SUM(D5:D32)</f>
        <v>78692</v>
      </c>
      <c r="E33" s="1674">
        <f t="shared" si="1"/>
        <v>14186</v>
      </c>
      <c r="F33" s="1674">
        <f t="shared" si="1"/>
        <v>18418</v>
      </c>
      <c r="G33" s="1674">
        <f t="shared" si="1"/>
        <v>0</v>
      </c>
      <c r="H33" s="1674">
        <f t="shared" si="1"/>
        <v>8725</v>
      </c>
      <c r="I33" s="1674">
        <f t="shared" si="1"/>
        <v>0</v>
      </c>
      <c r="J33" s="1674">
        <f t="shared" si="1"/>
        <v>0</v>
      </c>
      <c r="K33" s="1674">
        <f t="shared" si="1"/>
        <v>789515</v>
      </c>
      <c r="L33" s="1674">
        <f t="shared" si="1"/>
        <v>725301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28192</v>
      </c>
      <c r="D41" s="1573"/>
      <c r="E41" s="1573"/>
      <c r="F41" s="1573"/>
      <c r="G41" s="1573"/>
      <c r="H41" s="1573"/>
      <c r="I41" s="1574"/>
      <c r="J41" s="1574"/>
      <c r="K41" s="1672">
        <f t="shared" si="2"/>
        <v>28192</v>
      </c>
      <c r="L41" s="1573">
        <v>32560</v>
      </c>
    </row>
    <row r="42" spans="1:14" ht="12.75" customHeight="1" thickBot="1" x14ac:dyDescent="0.25">
      <c r="A42" s="1380" t="s">
        <v>556</v>
      </c>
      <c r="B42" s="1381" t="s">
        <v>711</v>
      </c>
      <c r="C42" s="1674">
        <f>SUM(C36:C41)</f>
        <v>28192</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28192</v>
      </c>
      <c r="L42" s="1674">
        <f t="shared" si="3"/>
        <v>32560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22862</v>
      </c>
      <c r="F44" s="1586"/>
      <c r="G44" s="1586"/>
      <c r="H44" s="1586">
        <v>830</v>
      </c>
      <c r="I44" s="1574"/>
      <c r="J44" s="1574"/>
      <c r="K44" s="1678">
        <f>SUM(C44:J44)</f>
        <v>23692</v>
      </c>
      <c r="L44" s="1586">
        <v>9797</v>
      </c>
    </row>
    <row r="45" spans="1:14" x14ac:dyDescent="0.2">
      <c r="A45" s="1274" t="s">
        <v>810</v>
      </c>
      <c r="B45" s="503">
        <v>2220</v>
      </c>
      <c r="C45" s="1573"/>
      <c r="D45" s="1573"/>
      <c r="E45" s="1573">
        <v>2954</v>
      </c>
      <c r="F45" s="1573">
        <v>4663</v>
      </c>
      <c r="G45" s="1573"/>
      <c r="H45" s="1573"/>
      <c r="I45" s="1574"/>
      <c r="J45" s="1574"/>
      <c r="K45" s="1678">
        <f>SUM(C45:J45)</f>
        <v>7617</v>
      </c>
      <c r="L45" s="1573">
        <v>32733</v>
      </c>
    </row>
    <row r="46" spans="1:14" x14ac:dyDescent="0.2">
      <c r="A46" s="1274" t="s">
        <v>811</v>
      </c>
      <c r="B46" s="503">
        <v>2230</v>
      </c>
      <c r="C46" s="1573">
        <v>7634</v>
      </c>
      <c r="D46" s="1573"/>
      <c r="E46" s="1573"/>
      <c r="F46" s="1573"/>
      <c r="G46" s="1573"/>
      <c r="H46" s="1573"/>
      <c r="I46" s="1574"/>
      <c r="J46" s="1574"/>
      <c r="K46" s="1678">
        <f>SUM(C46:J46)</f>
        <v>7634</v>
      </c>
      <c r="L46" s="1573">
        <v>8507</v>
      </c>
    </row>
    <row r="47" spans="1:14" ht="12.75" customHeight="1" thickBot="1" x14ac:dyDescent="0.25">
      <c r="A47" s="1380" t="s">
        <v>557</v>
      </c>
      <c r="B47" s="1381" t="s">
        <v>32</v>
      </c>
      <c r="C47" s="1674">
        <f>SUM(C44:C46)</f>
        <v>7634</v>
      </c>
      <c r="D47" s="1674">
        <f t="shared" ref="D47:K47" si="4">SUM(D44:D46)</f>
        <v>0</v>
      </c>
      <c r="E47" s="1674">
        <f t="shared" si="4"/>
        <v>25816</v>
      </c>
      <c r="F47" s="1674">
        <f t="shared" si="4"/>
        <v>4663</v>
      </c>
      <c r="G47" s="1674">
        <f t="shared" si="4"/>
        <v>0</v>
      </c>
      <c r="H47" s="1674">
        <f t="shared" si="4"/>
        <v>830</v>
      </c>
      <c r="I47" s="1674">
        <f t="shared" si="4"/>
        <v>0</v>
      </c>
      <c r="J47" s="1674">
        <f t="shared" si="4"/>
        <v>0</v>
      </c>
      <c r="K47" s="1674">
        <f t="shared" si="4"/>
        <v>38943</v>
      </c>
      <c r="L47" s="1674">
        <f>SUM(L44:L46)</f>
        <v>51037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900</v>
      </c>
      <c r="D49" s="1586"/>
      <c r="E49" s="1586">
        <v>39219</v>
      </c>
      <c r="F49" s="1586">
        <v>461</v>
      </c>
      <c r="G49" s="1586"/>
      <c r="H49" s="1586"/>
      <c r="I49" s="1574"/>
      <c r="J49" s="1574"/>
      <c r="K49" s="1678">
        <f>SUM(C49:J49)</f>
        <v>40580</v>
      </c>
      <c r="L49" s="1586">
        <v>169039</v>
      </c>
    </row>
    <row r="50" spans="1:14" x14ac:dyDescent="0.2">
      <c r="A50" s="1274" t="s">
        <v>813</v>
      </c>
      <c r="B50" s="503">
        <v>2320</v>
      </c>
      <c r="C50" s="1573">
        <v>42230</v>
      </c>
      <c r="D50" s="1573">
        <v>209</v>
      </c>
      <c r="E50" s="1573">
        <v>3633</v>
      </c>
      <c r="F50" s="1573"/>
      <c r="G50" s="1573"/>
      <c r="H50" s="1573">
        <v>140</v>
      </c>
      <c r="I50" s="1574"/>
      <c r="J50" s="1574"/>
      <c r="K50" s="1678">
        <f>SUM(C50:J50)</f>
        <v>46212</v>
      </c>
      <c r="L50" s="1573">
        <v>63300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43130</v>
      </c>
      <c r="D53" s="1674">
        <f t="shared" ref="D53:L53" si="5">SUM(D49:D52)</f>
        <v>209</v>
      </c>
      <c r="E53" s="1674">
        <f t="shared" si="5"/>
        <v>42852</v>
      </c>
      <c r="F53" s="1674">
        <f t="shared" si="5"/>
        <v>461</v>
      </c>
      <c r="G53" s="1674">
        <f t="shared" si="5"/>
        <v>0</v>
      </c>
      <c r="H53" s="1674">
        <f t="shared" si="5"/>
        <v>140</v>
      </c>
      <c r="I53" s="1674">
        <f t="shared" si="5"/>
        <v>0</v>
      </c>
      <c r="J53" s="1674">
        <f t="shared" si="5"/>
        <v>0</v>
      </c>
      <c r="K53" s="1674">
        <f t="shared" si="5"/>
        <v>86792</v>
      </c>
      <c r="L53" s="1674">
        <f t="shared" si="5"/>
        <v>232339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81618</v>
      </c>
      <c r="D55" s="1586">
        <v>8007</v>
      </c>
      <c r="E55" s="1586">
        <v>175</v>
      </c>
      <c r="F55" s="1586">
        <v>2098</v>
      </c>
      <c r="G55" s="1586"/>
      <c r="H55" s="1586">
        <v>808</v>
      </c>
      <c r="I55" s="1574"/>
      <c r="J55" s="1574"/>
      <c r="K55" s="1678">
        <f>SUM(C55:J55)</f>
        <v>92706</v>
      </c>
      <c r="L55" s="1586">
        <v>97400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81618</v>
      </c>
      <c r="D57" s="1679">
        <f t="shared" ref="D57:K57" si="6">SUM(D55:D56)</f>
        <v>8007</v>
      </c>
      <c r="E57" s="1679">
        <f t="shared" si="6"/>
        <v>175</v>
      </c>
      <c r="F57" s="1679">
        <f t="shared" si="6"/>
        <v>2098</v>
      </c>
      <c r="G57" s="1679">
        <f t="shared" si="6"/>
        <v>0</v>
      </c>
      <c r="H57" s="1679">
        <f t="shared" si="6"/>
        <v>808</v>
      </c>
      <c r="I57" s="1679">
        <f t="shared" si="6"/>
        <v>0</v>
      </c>
      <c r="J57" s="1679">
        <f t="shared" si="6"/>
        <v>0</v>
      </c>
      <c r="K57" s="1679">
        <f t="shared" si="6"/>
        <v>92706</v>
      </c>
      <c r="L57" s="1674">
        <f>SUM(L55:L56)</f>
        <v>97400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44846</v>
      </c>
      <c r="D60" s="1573"/>
      <c r="E60" s="1573">
        <v>10150</v>
      </c>
      <c r="F60" s="1573">
        <v>1175</v>
      </c>
      <c r="G60" s="1573"/>
      <c r="H60" s="1573">
        <v>7100</v>
      </c>
      <c r="I60" s="1574"/>
      <c r="J60" s="1574"/>
      <c r="K60" s="1678">
        <f t="shared" si="7"/>
        <v>63271</v>
      </c>
      <c r="L60" s="1573">
        <v>61720</v>
      </c>
      <c r="M60" s="501"/>
      <c r="N60" s="501"/>
    </row>
    <row r="61" spans="1:14" s="321" customFormat="1" x14ac:dyDescent="0.2">
      <c r="A61" s="1274" t="s">
        <v>195</v>
      </c>
      <c r="B61" s="503">
        <v>2540</v>
      </c>
      <c r="C61" s="1573">
        <v>20456</v>
      </c>
      <c r="D61" s="1573"/>
      <c r="E61" s="1573">
        <v>3485</v>
      </c>
      <c r="F61" s="1573"/>
      <c r="G61" s="1573"/>
      <c r="H61" s="1573"/>
      <c r="I61" s="1574"/>
      <c r="J61" s="1574"/>
      <c r="K61" s="1678">
        <f t="shared" si="7"/>
        <v>23941</v>
      </c>
      <c r="L61" s="1573">
        <v>31900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63213</v>
      </c>
      <c r="D63" s="1573"/>
      <c r="E63" s="1573">
        <v>595</v>
      </c>
      <c r="F63" s="1573">
        <v>38024</v>
      </c>
      <c r="G63" s="1573"/>
      <c r="H63" s="1573">
        <v>356</v>
      </c>
      <c r="I63" s="1574"/>
      <c r="J63" s="1574"/>
      <c r="K63" s="1678">
        <f t="shared" si="7"/>
        <v>102188</v>
      </c>
      <c r="L63" s="1573">
        <v>118283</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128515</v>
      </c>
      <c r="D65" s="1674">
        <f t="shared" ref="D65:L65" si="8">SUM(D59:D64)</f>
        <v>0</v>
      </c>
      <c r="E65" s="1674">
        <f t="shared" si="8"/>
        <v>14230</v>
      </c>
      <c r="F65" s="1674">
        <f t="shared" si="8"/>
        <v>39199</v>
      </c>
      <c r="G65" s="1674">
        <f t="shared" si="8"/>
        <v>0</v>
      </c>
      <c r="H65" s="1674">
        <f t="shared" si="8"/>
        <v>7456</v>
      </c>
      <c r="I65" s="1674">
        <f t="shared" si="8"/>
        <v>0</v>
      </c>
      <c r="J65" s="1674">
        <f t="shared" si="8"/>
        <v>0</v>
      </c>
      <c r="K65" s="1674">
        <f t="shared" si="8"/>
        <v>189400</v>
      </c>
      <c r="L65" s="1674">
        <f t="shared" si="8"/>
        <v>211903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289089</v>
      </c>
      <c r="D74" s="1681">
        <f t="shared" ref="D74:K74" si="10">SUM(D42,D47,D53,D57,D65,D72,D73)</f>
        <v>8216</v>
      </c>
      <c r="E74" s="1681">
        <f t="shared" si="10"/>
        <v>83073</v>
      </c>
      <c r="F74" s="1681">
        <f t="shared" si="10"/>
        <v>46421</v>
      </c>
      <c r="G74" s="1681">
        <f t="shared" si="10"/>
        <v>0</v>
      </c>
      <c r="H74" s="1681">
        <f t="shared" si="10"/>
        <v>9234</v>
      </c>
      <c r="I74" s="1681">
        <f t="shared" si="10"/>
        <v>0</v>
      </c>
      <c r="J74" s="1681">
        <f t="shared" si="10"/>
        <v>0</v>
      </c>
      <c r="K74" s="1681">
        <f t="shared" si="10"/>
        <v>436033</v>
      </c>
      <c r="L74" s="1681">
        <f>SUM(L42,L47,L53,L57,L65,L72,L73)</f>
        <v>625239</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470858</v>
      </c>
      <c r="F78" s="1673"/>
      <c r="G78" s="1673"/>
      <c r="H78" s="1682"/>
      <c r="I78" s="1582"/>
      <c r="J78" s="1582"/>
      <c r="K78" s="1672">
        <f t="shared" ref="K78:K83" si="11">SUM(C78:J78)</f>
        <v>470858</v>
      </c>
      <c r="L78" s="1586">
        <v>525000</v>
      </c>
    </row>
    <row r="79" spans="1:14" x14ac:dyDescent="0.2">
      <c r="A79" s="1274" t="s">
        <v>301</v>
      </c>
      <c r="B79" s="503">
        <v>4120</v>
      </c>
      <c r="C79" s="1673"/>
      <c r="D79" s="1673"/>
      <c r="E79" s="1573">
        <v>89314</v>
      </c>
      <c r="F79" s="1673"/>
      <c r="G79" s="1673"/>
      <c r="H79" s="1573"/>
      <c r="I79" s="1582"/>
      <c r="J79" s="1582"/>
      <c r="K79" s="1672">
        <f t="shared" si="11"/>
        <v>89314</v>
      </c>
      <c r="L79" s="1573">
        <v>20910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601</v>
      </c>
      <c r="F81" s="1673"/>
      <c r="G81" s="1673"/>
      <c r="H81" s="1573"/>
      <c r="I81" s="1582"/>
      <c r="J81" s="1582"/>
      <c r="K81" s="1672">
        <f t="shared" si="11"/>
        <v>601</v>
      </c>
      <c r="L81" s="1573">
        <v>560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560773</v>
      </c>
      <c r="F84" s="1673"/>
      <c r="G84" s="1673"/>
      <c r="H84" s="1674">
        <f>SUM(H78:H83)</f>
        <v>0</v>
      </c>
      <c r="I84" s="1582"/>
      <c r="J84" s="1582"/>
      <c r="K84" s="1674">
        <f>SUM(K78:K83)</f>
        <v>560773</v>
      </c>
      <c r="L84" s="1674">
        <f>SUM(L78:L83)</f>
        <v>546470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82212</v>
      </c>
      <c r="I86" s="1582"/>
      <c r="J86" s="1582"/>
      <c r="K86" s="1681">
        <f t="shared" ref="K86:K98" si="12">H86</f>
        <v>82212</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82212</v>
      </c>
      <c r="I92" s="1582"/>
      <c r="J92" s="1582"/>
      <c r="K92" s="1681">
        <f t="shared" si="12"/>
        <v>82212</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560773</v>
      </c>
      <c r="F102" s="1673"/>
      <c r="G102" s="1673"/>
      <c r="H102" s="1681">
        <f>SUM(H84,H92,H100,H101)</f>
        <v>82212</v>
      </c>
      <c r="I102" s="1582"/>
      <c r="J102" s="1582"/>
      <c r="K102" s="1681">
        <f>SUM(K84,K92,K100,K101)</f>
        <v>642985</v>
      </c>
      <c r="L102" s="1681">
        <f>SUM(L84,L92,L100,L101)</f>
        <v>546470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958583</v>
      </c>
      <c r="D114" s="1674">
        <f t="shared" ref="D114:K114" si="13">SUM(D33,D74,D75,D102,D112,D113)</f>
        <v>86908</v>
      </c>
      <c r="E114" s="1674">
        <f t="shared" si="13"/>
        <v>658032</v>
      </c>
      <c r="F114" s="1674">
        <f t="shared" si="13"/>
        <v>64839</v>
      </c>
      <c r="G114" s="1674">
        <f t="shared" si="13"/>
        <v>0</v>
      </c>
      <c r="H114" s="1674">
        <f>SUM(H33,H74,H75,H102,H112,H113)</f>
        <v>100171</v>
      </c>
      <c r="I114" s="1674">
        <f t="shared" si="13"/>
        <v>0</v>
      </c>
      <c r="J114" s="1674">
        <f t="shared" si="13"/>
        <v>0</v>
      </c>
      <c r="K114" s="1674">
        <f t="shared" si="13"/>
        <v>1868533</v>
      </c>
      <c r="L114" s="1674">
        <f>SUM(L33,L74,L75,L102,L112,L113)</f>
        <v>1897010</v>
      </c>
    </row>
    <row r="115" spans="1:14" ht="13.5" thickTop="1" x14ac:dyDescent="0.2">
      <c r="A115" s="2261" t="s">
        <v>989</v>
      </c>
      <c r="B115" s="2262"/>
      <c r="C115" s="1675"/>
      <c r="D115" s="1675"/>
      <c r="E115" s="1675"/>
      <c r="F115" s="1675"/>
      <c r="G115" s="1675"/>
      <c r="H115" s="1675"/>
      <c r="I115" s="1675"/>
      <c r="J115" s="1675"/>
      <c r="K115" s="1689">
        <f>'Revenues 9-14'!C268-'Expenditures 15-22'!K114</f>
        <v>168255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48369</v>
      </c>
      <c r="F124" s="1573">
        <v>34450</v>
      </c>
      <c r="G124" s="1573">
        <v>15668</v>
      </c>
      <c r="H124" s="1573">
        <v>5939</v>
      </c>
      <c r="I124" s="1574"/>
      <c r="J124" s="1574"/>
      <c r="K124" s="1674">
        <f>SUM(C124:J124)</f>
        <v>104426</v>
      </c>
      <c r="L124" s="1573">
        <v>82750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48369</v>
      </c>
      <c r="F127" s="1674">
        <f t="shared" si="14"/>
        <v>34450</v>
      </c>
      <c r="G127" s="1674">
        <f t="shared" si="14"/>
        <v>15668</v>
      </c>
      <c r="H127" s="1674">
        <f t="shared" si="14"/>
        <v>5939</v>
      </c>
      <c r="I127" s="1674">
        <f t="shared" si="14"/>
        <v>0</v>
      </c>
      <c r="J127" s="1674">
        <f t="shared" si="14"/>
        <v>0</v>
      </c>
      <c r="K127" s="1674">
        <f t="shared" si="14"/>
        <v>104426</v>
      </c>
      <c r="L127" s="1674">
        <f t="shared" si="14"/>
        <v>82750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48369</v>
      </c>
      <c r="F129" s="1681">
        <f t="shared" si="15"/>
        <v>34450</v>
      </c>
      <c r="G129" s="1681">
        <f t="shared" si="15"/>
        <v>15668</v>
      </c>
      <c r="H129" s="1681">
        <f t="shared" si="15"/>
        <v>5939</v>
      </c>
      <c r="I129" s="1681">
        <f t="shared" si="15"/>
        <v>0</v>
      </c>
      <c r="J129" s="1681">
        <f t="shared" si="15"/>
        <v>0</v>
      </c>
      <c r="K129" s="1681">
        <f t="shared" si="15"/>
        <v>104426</v>
      </c>
      <c r="L129" s="1681">
        <f t="shared" si="15"/>
        <v>82750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0</v>
      </c>
      <c r="D151" s="1674">
        <f t="shared" ref="D151:K151" si="16">SUM(D129,D130,D139,D149,D150)</f>
        <v>0</v>
      </c>
      <c r="E151" s="1674">
        <f t="shared" si="16"/>
        <v>48369</v>
      </c>
      <c r="F151" s="1674">
        <f t="shared" si="16"/>
        <v>34450</v>
      </c>
      <c r="G151" s="1674">
        <f t="shared" si="16"/>
        <v>15668</v>
      </c>
      <c r="H151" s="1674">
        <f t="shared" si="16"/>
        <v>5939</v>
      </c>
      <c r="I151" s="1674">
        <f t="shared" si="16"/>
        <v>0</v>
      </c>
      <c r="J151" s="1674">
        <f t="shared" si="16"/>
        <v>0</v>
      </c>
      <c r="K151" s="1674">
        <f t="shared" si="16"/>
        <v>104426</v>
      </c>
      <c r="L151" s="1674">
        <f>SUM(L129,L130,L139,L149,L150)</f>
        <v>82750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66140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16763</v>
      </c>
      <c r="I169" s="1673"/>
      <c r="J169" s="1673"/>
      <c r="K169" s="1672">
        <f>SUM(C169:H169)</f>
        <v>16763</v>
      </c>
      <c r="L169" s="1695">
        <v>22000</v>
      </c>
    </row>
    <row r="170" spans="1:14" ht="33.75" customHeight="1" x14ac:dyDescent="0.2">
      <c r="A170" s="543" t="s">
        <v>1651</v>
      </c>
      <c r="B170" s="545" t="s">
        <v>31</v>
      </c>
      <c r="C170" s="1673"/>
      <c r="D170" s="1673"/>
      <c r="E170" s="1673"/>
      <c r="F170" s="1673"/>
      <c r="G170" s="1673"/>
      <c r="H170" s="1646">
        <v>370000</v>
      </c>
      <c r="I170" s="1673"/>
      <c r="J170" s="1673"/>
      <c r="K170" s="1672">
        <f>SUM(C170:J170)</f>
        <v>370000</v>
      </c>
      <c r="L170" s="1646"/>
    </row>
    <row r="171" spans="1:14" ht="15.75" customHeight="1" x14ac:dyDescent="0.2">
      <c r="A171" s="507" t="s">
        <v>761</v>
      </c>
      <c r="B171" s="546" t="s">
        <v>84</v>
      </c>
      <c r="C171" s="1673"/>
      <c r="D171" s="1673"/>
      <c r="E171" s="1573"/>
      <c r="F171" s="1673"/>
      <c r="G171" s="1673"/>
      <c r="H171" s="1646">
        <v>34600</v>
      </c>
      <c r="I171" s="1582"/>
      <c r="J171" s="1673"/>
      <c r="K171" s="1672">
        <f>SUM(C171:J171)</f>
        <v>34600</v>
      </c>
      <c r="L171" s="1646"/>
    </row>
    <row r="172" spans="1:14" ht="12.75" customHeight="1" thickBot="1" x14ac:dyDescent="0.25">
      <c r="A172" s="1380" t="s">
        <v>633</v>
      </c>
      <c r="B172" s="1381" t="s">
        <v>489</v>
      </c>
      <c r="C172" s="1673"/>
      <c r="D172" s="1673"/>
      <c r="E172" s="1681">
        <f>SUM(E168,E169,E170,E171)</f>
        <v>0</v>
      </c>
      <c r="F172" s="1673"/>
      <c r="G172" s="1673"/>
      <c r="H172" s="1681">
        <f>SUM(H168,H169,H170,H171)</f>
        <v>421363</v>
      </c>
      <c r="I172" s="1684"/>
      <c r="J172" s="1673"/>
      <c r="K172" s="1681">
        <f>SUM(K168,K169,K170,K171)</f>
        <v>421363</v>
      </c>
      <c r="L172" s="1681">
        <f>SUM(L168,L169,L170,L171)</f>
        <v>22000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421363</v>
      </c>
      <c r="I174" s="1684"/>
      <c r="J174" s="1673"/>
      <c r="K174" s="1681">
        <f>SUM(K160,K172,K173)</f>
        <v>421363</v>
      </c>
      <c r="L174" s="1681">
        <f>SUM(L160,L172,L173)</f>
        <v>22000</v>
      </c>
    </row>
    <row r="175" spans="1:14" ht="13.5" thickTop="1" x14ac:dyDescent="0.2">
      <c r="A175" s="2261" t="s">
        <v>989</v>
      </c>
      <c r="B175" s="2262"/>
      <c r="C175" s="1673"/>
      <c r="D175" s="1673"/>
      <c r="E175" s="1673"/>
      <c r="F175" s="1673"/>
      <c r="G175" s="1673"/>
      <c r="H175" s="1675"/>
      <c r="I175" s="1673"/>
      <c r="J175" s="1673"/>
      <c r="K175" s="1689">
        <f>'Revenues 9-14'!E268-'Expenditures 15-22'!K174</f>
        <v>-297965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45877</v>
      </c>
      <c r="D182" s="1573"/>
      <c r="E182" s="1573">
        <v>44045</v>
      </c>
      <c r="F182" s="1573">
        <v>12326</v>
      </c>
      <c r="G182" s="1573"/>
      <c r="H182" s="1573">
        <v>417</v>
      </c>
      <c r="I182" s="1574"/>
      <c r="J182" s="1574"/>
      <c r="K182" s="1672">
        <f>SUM(C182:J182)</f>
        <v>102665</v>
      </c>
      <c r="L182" s="1573">
        <v>99311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45877</v>
      </c>
      <c r="D184" s="1681">
        <f t="shared" ref="D184:J184" si="17">SUM(D180,D182,D183)</f>
        <v>0</v>
      </c>
      <c r="E184" s="1681">
        <f t="shared" si="17"/>
        <v>44045</v>
      </c>
      <c r="F184" s="1681">
        <f t="shared" si="17"/>
        <v>12326</v>
      </c>
      <c r="G184" s="1681">
        <f t="shared" si="17"/>
        <v>0</v>
      </c>
      <c r="H184" s="1681">
        <f t="shared" si="17"/>
        <v>417</v>
      </c>
      <c r="I184" s="1681">
        <f t="shared" si="17"/>
        <v>0</v>
      </c>
      <c r="J184" s="1681">
        <f t="shared" si="17"/>
        <v>0</v>
      </c>
      <c r="K184" s="1681">
        <f>SUM(K180,K182,K183)</f>
        <v>102665</v>
      </c>
      <c r="L184" s="1681">
        <f>SUM(L180, L182:L183)</f>
        <v>99311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45877</v>
      </c>
      <c r="D210" s="1674">
        <f>SUM(D184,D185)</f>
        <v>0</v>
      </c>
      <c r="E210" s="1674">
        <f>SUM(E184,E185,E196)</f>
        <v>44045</v>
      </c>
      <c r="F210" s="1674">
        <f>SUM(F184,F185)</f>
        <v>12326</v>
      </c>
      <c r="G210" s="1674">
        <f>SUM(G184,G185)</f>
        <v>0</v>
      </c>
      <c r="H210" s="1674">
        <f>SUM(H184,H185,H196,H208,H209)</f>
        <v>417</v>
      </c>
      <c r="I210" s="1674">
        <f>SUM(I184,I185)</f>
        <v>0</v>
      </c>
      <c r="J210" s="1674">
        <f>SUM(J184,J185)</f>
        <v>0</v>
      </c>
      <c r="K210" s="1672">
        <f>SUM(K184,K185,K196,K208,K209)</f>
        <v>102665</v>
      </c>
      <c r="L210" s="1674">
        <f>SUM(L184,L185,L196,L208,L209)</f>
        <v>99311</v>
      </c>
    </row>
    <row r="211" spans="1:14" ht="13.5" thickTop="1" x14ac:dyDescent="0.2">
      <c r="A211" s="2261" t="s">
        <v>989</v>
      </c>
      <c r="B211" s="2262"/>
      <c r="C211" s="1675"/>
      <c r="D211" s="1675"/>
      <c r="E211" s="1675"/>
      <c r="F211" s="1675"/>
      <c r="G211" s="1675"/>
      <c r="H211" s="1675"/>
      <c r="I211" s="1673"/>
      <c r="J211" s="1673"/>
      <c r="K211" s="1689">
        <f>'Revenues 9-14'!F268-'Expenditures 15-22'!K210</f>
        <v>-34714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5969</v>
      </c>
      <c r="E215" s="1673"/>
      <c r="F215" s="1673"/>
      <c r="G215" s="1673"/>
      <c r="H215" s="1673"/>
      <c r="I215" s="1673"/>
      <c r="J215" s="1673"/>
      <c r="K215" s="1672">
        <f>D215</f>
        <v>5969</v>
      </c>
      <c r="L215" s="1573">
        <v>8402</v>
      </c>
    </row>
    <row r="216" spans="1:14" x14ac:dyDescent="0.2">
      <c r="A216" s="1274" t="s">
        <v>162</v>
      </c>
      <c r="B216" s="503" t="s">
        <v>961</v>
      </c>
      <c r="C216" s="1673"/>
      <c r="D216" s="1574">
        <v>3717</v>
      </c>
      <c r="E216" s="1673"/>
      <c r="F216" s="1673"/>
      <c r="G216" s="1673"/>
      <c r="H216" s="1673"/>
      <c r="I216" s="1673"/>
      <c r="J216" s="1673"/>
      <c r="K216" s="1672">
        <f t="shared" ref="K216:K228" si="19">D216</f>
        <v>3717</v>
      </c>
      <c r="L216" s="1573"/>
    </row>
    <row r="217" spans="1:14" x14ac:dyDescent="0.2">
      <c r="A217" s="1274" t="s">
        <v>163</v>
      </c>
      <c r="B217" s="503">
        <v>1200</v>
      </c>
      <c r="C217" s="1673"/>
      <c r="D217" s="1573">
        <v>4964</v>
      </c>
      <c r="E217" s="1673"/>
      <c r="F217" s="1673"/>
      <c r="G217" s="1673"/>
      <c r="H217" s="1673"/>
      <c r="I217" s="1673"/>
      <c r="J217" s="1673"/>
      <c r="K217" s="1672">
        <f t="shared" si="19"/>
        <v>4964</v>
      </c>
      <c r="L217" s="1573">
        <v>2000</v>
      </c>
    </row>
    <row r="218" spans="1:14" x14ac:dyDescent="0.2">
      <c r="A218" s="1274" t="s">
        <v>276</v>
      </c>
      <c r="B218" s="503" t="s">
        <v>962</v>
      </c>
      <c r="C218" s="1673"/>
      <c r="D218" s="1574">
        <v>474</v>
      </c>
      <c r="E218" s="1673"/>
      <c r="F218" s="1673"/>
      <c r="G218" s="1673"/>
      <c r="H218" s="1673"/>
      <c r="I218" s="1673"/>
      <c r="J218" s="1673"/>
      <c r="K218" s="1672">
        <f t="shared" si="19"/>
        <v>474</v>
      </c>
      <c r="L218" s="1573">
        <v>1000</v>
      </c>
    </row>
    <row r="219" spans="1:14" x14ac:dyDescent="0.2">
      <c r="A219" s="1274" t="s">
        <v>277</v>
      </c>
      <c r="B219" s="503">
        <v>1250</v>
      </c>
      <c r="C219" s="1673"/>
      <c r="D219" s="1573">
        <v>830</v>
      </c>
      <c r="E219" s="1673"/>
      <c r="F219" s="1673"/>
      <c r="G219" s="1673"/>
      <c r="H219" s="1673"/>
      <c r="I219" s="1673"/>
      <c r="J219" s="1673"/>
      <c r="K219" s="1672">
        <f t="shared" si="19"/>
        <v>830</v>
      </c>
      <c r="L219" s="1573">
        <v>1500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855</v>
      </c>
      <c r="E223" s="1673"/>
      <c r="F223" s="1673"/>
      <c r="G223" s="1673"/>
      <c r="H223" s="1673"/>
      <c r="I223" s="1673"/>
      <c r="J223" s="1673"/>
      <c r="K223" s="1672">
        <f t="shared" si="19"/>
        <v>855</v>
      </c>
      <c r="L223" s="1573">
        <v>200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16809</v>
      </c>
      <c r="E229" s="1673"/>
      <c r="F229" s="1673"/>
      <c r="G229" s="1673"/>
      <c r="H229" s="1673"/>
      <c r="I229" s="1673"/>
      <c r="J229" s="1673"/>
      <c r="K229" s="1674">
        <f>SUM(K215:K228)</f>
        <v>16809</v>
      </c>
      <c r="L229" s="1674">
        <f>SUM(L215:L228)</f>
        <v>13102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409</v>
      </c>
      <c r="E236" s="1673"/>
      <c r="F236" s="1673"/>
      <c r="G236" s="1673"/>
      <c r="H236" s="1673"/>
      <c r="I236" s="1673"/>
      <c r="J236" s="1673"/>
      <c r="K236" s="1672">
        <f t="shared" si="20"/>
        <v>409</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409</v>
      </c>
      <c r="E238" s="1673"/>
      <c r="F238" s="1673"/>
      <c r="G238" s="1673"/>
      <c r="H238" s="1673"/>
      <c r="I238" s="1673"/>
      <c r="J238" s="1673"/>
      <c r="K238" s="1674">
        <f>SUM(K232:K237)</f>
        <v>409</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200</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200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719</v>
      </c>
      <c r="E245" s="1673"/>
      <c r="F245" s="1673"/>
      <c r="G245" s="1673"/>
      <c r="H245" s="1673"/>
      <c r="I245" s="1673"/>
      <c r="J245" s="1673"/>
      <c r="K245" s="1678">
        <f>D245</f>
        <v>719</v>
      </c>
      <c r="L245" s="1586">
        <v>500</v>
      </c>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719</v>
      </c>
      <c r="E257" s="1673"/>
      <c r="F257" s="1673"/>
      <c r="G257" s="1673"/>
      <c r="H257" s="1673"/>
      <c r="I257" s="1673"/>
      <c r="J257" s="1673"/>
      <c r="K257" s="1674">
        <f>SUM(K245:K256)</f>
        <v>719</v>
      </c>
      <c r="L257" s="1674">
        <f>SUM(L245:L256)</f>
        <v>500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4400</v>
      </c>
      <c r="E259" s="1673"/>
      <c r="F259" s="1673"/>
      <c r="G259" s="1673"/>
      <c r="H259" s="1673"/>
      <c r="I259" s="1673"/>
      <c r="J259" s="1673"/>
      <c r="K259" s="1678">
        <f>D259</f>
        <v>4400</v>
      </c>
      <c r="L259" s="1586">
        <v>3300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4400</v>
      </c>
      <c r="E261" s="1673"/>
      <c r="F261" s="1673"/>
      <c r="G261" s="1673"/>
      <c r="H261" s="1673"/>
      <c r="I261" s="1673"/>
      <c r="J261" s="1673"/>
      <c r="K261" s="1674">
        <f>SUM(K259:K260)</f>
        <v>4400</v>
      </c>
      <c r="L261" s="1674">
        <f>SUM(L259:L260)</f>
        <v>3300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6620</v>
      </c>
      <c r="E264" s="1673"/>
      <c r="F264" s="1673"/>
      <c r="G264" s="1673"/>
      <c r="H264" s="1673"/>
      <c r="I264" s="1673"/>
      <c r="J264" s="1673"/>
      <c r="K264" s="1678">
        <f t="shared" ref="K264:K269" si="22">D264</f>
        <v>6620</v>
      </c>
      <c r="L264" s="1573">
        <v>6500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6103</v>
      </c>
      <c r="E266" s="1673"/>
      <c r="F266" s="1673"/>
      <c r="G266" s="1673"/>
      <c r="H266" s="1673"/>
      <c r="I266" s="1673"/>
      <c r="J266" s="1673"/>
      <c r="K266" s="1678">
        <f t="shared" si="22"/>
        <v>6103</v>
      </c>
      <c r="L266" s="1573">
        <v>5000</v>
      </c>
    </row>
    <row r="267" spans="1:14" x14ac:dyDescent="0.2">
      <c r="A267" s="1274" t="s">
        <v>947</v>
      </c>
      <c r="B267" s="503">
        <v>2550</v>
      </c>
      <c r="C267" s="1673"/>
      <c r="D267" s="1573">
        <v>2285</v>
      </c>
      <c r="E267" s="1673"/>
      <c r="F267" s="1673"/>
      <c r="G267" s="1673"/>
      <c r="H267" s="1673"/>
      <c r="I267" s="1673"/>
      <c r="J267" s="1673"/>
      <c r="K267" s="1678">
        <f t="shared" si="22"/>
        <v>2285</v>
      </c>
      <c r="L267" s="1573">
        <v>3200</v>
      </c>
    </row>
    <row r="268" spans="1:14" x14ac:dyDescent="0.2">
      <c r="A268" s="1274" t="s">
        <v>100</v>
      </c>
      <c r="B268" s="503">
        <v>2560</v>
      </c>
      <c r="C268" s="1673"/>
      <c r="D268" s="1573">
        <v>7869</v>
      </c>
      <c r="E268" s="1673"/>
      <c r="F268" s="1673"/>
      <c r="G268" s="1673"/>
      <c r="H268" s="1673"/>
      <c r="I268" s="1673"/>
      <c r="J268" s="1673"/>
      <c r="K268" s="1678">
        <f t="shared" si="22"/>
        <v>7869</v>
      </c>
      <c r="L268" s="1573">
        <v>8400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22877</v>
      </c>
      <c r="E270" s="1673"/>
      <c r="F270" s="1673"/>
      <c r="G270" s="1673"/>
      <c r="H270" s="1673"/>
      <c r="I270" s="1673"/>
      <c r="J270" s="1673"/>
      <c r="K270" s="1674">
        <f>SUM(K263:K269)</f>
        <v>22877</v>
      </c>
      <c r="L270" s="1674">
        <f>SUM(L263:L269)</f>
        <v>23100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28405</v>
      </c>
      <c r="E279" s="1673"/>
      <c r="F279" s="1673"/>
      <c r="G279" s="1673"/>
      <c r="H279" s="1673"/>
      <c r="I279" s="1673"/>
      <c r="J279" s="1673"/>
      <c r="K279" s="1681">
        <f>SUM(K238,K243,K257,K261,K270,K277,K278)</f>
        <v>28405</v>
      </c>
      <c r="L279" s="1681">
        <f>SUM(L238,L243,L257,L261,L270,L277,L278)</f>
        <v>27100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45214</v>
      </c>
      <c r="E295" s="1673"/>
      <c r="F295" s="1673"/>
      <c r="G295" s="1673"/>
      <c r="H295" s="1674">
        <f>H293</f>
        <v>0</v>
      </c>
      <c r="I295" s="1673"/>
      <c r="J295" s="1673"/>
      <c r="K295" s="1674">
        <f>SUM(K229,K279,K280,K285,K293,K294)</f>
        <v>45214</v>
      </c>
      <c r="L295" s="1674">
        <f>SUM(L229,L279,L280,L285,L293,L294)</f>
        <v>40202</v>
      </c>
    </row>
    <row r="296" spans="1:14" ht="13.5" thickTop="1" x14ac:dyDescent="0.2">
      <c r="A296" s="2261" t="s">
        <v>989</v>
      </c>
      <c r="B296" s="2262"/>
      <c r="C296" s="1673"/>
      <c r="D296" s="1675"/>
      <c r="E296" s="1673"/>
      <c r="F296" s="1673"/>
      <c r="G296" s="1673"/>
      <c r="H296" s="1707"/>
      <c r="I296" s="1673"/>
      <c r="J296" s="1673"/>
      <c r="K296" s="1689">
        <f>'Revenues 9-14'!G268-'Expenditures 15-22'!K295</f>
        <v>19030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11124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f>6033+490</f>
        <v>6523</v>
      </c>
      <c r="F322" s="1574"/>
      <c r="G322" s="1574"/>
      <c r="H322" s="1574"/>
      <c r="I322" s="1574"/>
      <c r="J322" s="1574"/>
      <c r="K322" s="1672">
        <f t="shared" si="24"/>
        <v>6523</v>
      </c>
      <c r="L322" s="1574">
        <v>22167</v>
      </c>
      <c r="M322" s="539"/>
      <c r="N322" s="539"/>
    </row>
    <row r="323" spans="1:14" s="548" customFormat="1" x14ac:dyDescent="0.2">
      <c r="A323" s="1289" t="s">
        <v>697</v>
      </c>
      <c r="B323" s="567" t="s">
        <v>283</v>
      </c>
      <c r="C323" s="1574">
        <v>94000</v>
      </c>
      <c r="D323" s="1574"/>
      <c r="E323" s="1574"/>
      <c r="F323" s="1574"/>
      <c r="G323" s="1574"/>
      <c r="H323" s="1574"/>
      <c r="I323" s="1574"/>
      <c r="J323" s="1574"/>
      <c r="K323" s="1672">
        <f t="shared" si="24"/>
        <v>94000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94000</v>
      </c>
      <c r="D330" s="1674">
        <f t="shared" ref="D330:J330" si="25">SUM(D319:D329)</f>
        <v>0</v>
      </c>
      <c r="E330" s="1674">
        <f t="shared" si="25"/>
        <v>6523</v>
      </c>
      <c r="F330" s="1674">
        <f t="shared" si="25"/>
        <v>0</v>
      </c>
      <c r="G330" s="1674">
        <f t="shared" si="25"/>
        <v>0</v>
      </c>
      <c r="H330" s="1674">
        <f t="shared" si="25"/>
        <v>0</v>
      </c>
      <c r="I330" s="1674">
        <f t="shared" si="25"/>
        <v>0</v>
      </c>
      <c r="J330" s="1674">
        <f t="shared" si="25"/>
        <v>0</v>
      </c>
      <c r="K330" s="1674">
        <f>SUM(K319:K329)</f>
        <v>100523</v>
      </c>
      <c r="L330" s="1674">
        <f>SUM(L319:L329)</f>
        <v>22167</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94000</v>
      </c>
      <c r="D342" s="1674">
        <f>SUM(D330)</f>
        <v>0</v>
      </c>
      <c r="E342" s="1674">
        <f>SUM(E330)</f>
        <v>6523</v>
      </c>
      <c r="F342" s="1674">
        <f>SUM(F330)</f>
        <v>0</v>
      </c>
      <c r="G342" s="1674">
        <f>SUM(G330)</f>
        <v>0</v>
      </c>
      <c r="H342" s="1674">
        <f>SUM(H330,H334,H340)</f>
        <v>0</v>
      </c>
      <c r="I342" s="1674">
        <f>SUM(I330)</f>
        <v>0</v>
      </c>
      <c r="J342" s="1674">
        <f>SUM(J330)</f>
        <v>0</v>
      </c>
      <c r="K342" s="1674">
        <f>SUM(K330,K334,K340)</f>
        <v>100523</v>
      </c>
      <c r="L342" s="1681">
        <f>SUM(L330,L334,L340,L341)</f>
        <v>22167</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-418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11352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0" sqref="E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593683</v>
      </c>
      <c r="C4" s="1722"/>
      <c r="D4" s="1723">
        <f>B4-C4</f>
        <v>593683</v>
      </c>
      <c r="E4" s="1722">
        <v>636824</v>
      </c>
      <c r="F4" s="1723">
        <f>E4-C4</f>
        <v>636824</v>
      </c>
    </row>
    <row r="5" spans="1:8" ht="13.7" customHeight="1" x14ac:dyDescent="0.2">
      <c r="A5" s="579" t="s">
        <v>865</v>
      </c>
      <c r="B5" s="1724">
        <f>'Revenues 9-14'!D5</f>
        <v>109941</v>
      </c>
      <c r="C5" s="1664"/>
      <c r="D5" s="1725">
        <f t="shared" ref="D5:D18" si="0">B5-C5</f>
        <v>109941</v>
      </c>
      <c r="E5" s="1664">
        <v>117930</v>
      </c>
      <c r="F5" s="1725">
        <f>E5-C5</f>
        <v>117930</v>
      </c>
    </row>
    <row r="6" spans="1:8" ht="13.7" customHeight="1" x14ac:dyDescent="0.2">
      <c r="A6" s="579" t="s">
        <v>408</v>
      </c>
      <c r="B6" s="1724">
        <f>'Revenues 9-14'!E5</f>
        <v>119999</v>
      </c>
      <c r="C6" s="1664"/>
      <c r="D6" s="1725">
        <f t="shared" si="0"/>
        <v>119999</v>
      </c>
      <c r="E6" s="1664">
        <v>121034</v>
      </c>
      <c r="F6" s="1725">
        <f t="shared" ref="F6:F18" si="1">E6-C6</f>
        <v>121034</v>
      </c>
    </row>
    <row r="7" spans="1:8" ht="13.7" customHeight="1" x14ac:dyDescent="0.2">
      <c r="A7" s="579" t="s">
        <v>154</v>
      </c>
      <c r="B7" s="1724">
        <f>'Revenues 9-14'!F5</f>
        <v>43977</v>
      </c>
      <c r="C7" s="1664"/>
      <c r="D7" s="1725">
        <f t="shared" si="0"/>
        <v>43977</v>
      </c>
      <c r="E7" s="1664">
        <v>47172</v>
      </c>
      <c r="F7" s="1725">
        <f t="shared" si="1"/>
        <v>47172</v>
      </c>
    </row>
    <row r="8" spans="1:8" ht="13.7" customHeight="1" x14ac:dyDescent="0.2">
      <c r="A8" s="579" t="s">
        <v>1169</v>
      </c>
      <c r="B8" s="1724">
        <f>'Revenues 9-14'!G5</f>
        <v>26272</v>
      </c>
      <c r="C8" s="1664"/>
      <c r="D8" s="1725">
        <f t="shared" si="0"/>
        <v>26272</v>
      </c>
      <c r="E8" s="1664">
        <v>23688</v>
      </c>
      <c r="F8" s="1725">
        <f t="shared" si="1"/>
        <v>23688</v>
      </c>
    </row>
    <row r="9" spans="1:8" ht="13.7" customHeight="1" x14ac:dyDescent="0.2">
      <c r="A9" s="579" t="s">
        <v>405</v>
      </c>
      <c r="B9" s="1724">
        <f>'Revenues 9-14'!H5</f>
        <v>10995</v>
      </c>
      <c r="C9" s="1664"/>
      <c r="D9" s="1725">
        <f t="shared" si="0"/>
        <v>10995</v>
      </c>
      <c r="E9" s="1664">
        <v>11793</v>
      </c>
      <c r="F9" s="1725">
        <f t="shared" si="1"/>
        <v>11793</v>
      </c>
    </row>
    <row r="10" spans="1:8" ht="13.7" customHeight="1" x14ac:dyDescent="0.2">
      <c r="A10" s="579" t="s">
        <v>404</v>
      </c>
      <c r="B10" s="1724">
        <f>'Revenues 9-14'!I5</f>
        <v>10941</v>
      </c>
      <c r="C10" s="1664"/>
      <c r="D10" s="1725">
        <f t="shared" si="0"/>
        <v>10941</v>
      </c>
      <c r="E10" s="1664">
        <v>11793</v>
      </c>
      <c r="F10" s="1725">
        <f t="shared" si="1"/>
        <v>11793</v>
      </c>
    </row>
    <row r="11" spans="1:8" x14ac:dyDescent="0.2">
      <c r="A11" s="579" t="s">
        <v>406</v>
      </c>
      <c r="B11" s="1724">
        <f>'Revenues 9-14'!J5</f>
        <v>99633</v>
      </c>
      <c r="C11" s="1664"/>
      <c r="D11" s="1725">
        <f t="shared" si="0"/>
        <v>99633</v>
      </c>
      <c r="E11" s="1664">
        <v>108725</v>
      </c>
      <c r="F11" s="1725">
        <f t="shared" si="1"/>
        <v>108725</v>
      </c>
    </row>
    <row r="12" spans="1:8" ht="13.7" customHeight="1" x14ac:dyDescent="0.2">
      <c r="A12" s="579" t="s">
        <v>156</v>
      </c>
      <c r="B12" s="1724">
        <f>'Revenues 9-14'!K5</f>
        <v>10995</v>
      </c>
      <c r="C12" s="1664"/>
      <c r="D12" s="1725">
        <f t="shared" si="0"/>
        <v>10995</v>
      </c>
      <c r="E12" s="1664">
        <v>11793</v>
      </c>
      <c r="F12" s="1725">
        <f t="shared" si="1"/>
        <v>11793</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8797</v>
      </c>
      <c r="C14" s="1664"/>
      <c r="D14" s="1725">
        <f t="shared" si="0"/>
        <v>8797</v>
      </c>
      <c r="E14" s="1664">
        <v>9434</v>
      </c>
      <c r="F14" s="1725">
        <f t="shared" si="1"/>
        <v>9434</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32716</v>
      </c>
      <c r="C16" s="1664"/>
      <c r="D16" s="1725">
        <f t="shared" si="0"/>
        <v>32716</v>
      </c>
      <c r="E16" s="1664">
        <v>23688</v>
      </c>
      <c r="F16" s="1725">
        <f t="shared" si="1"/>
        <v>23688</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1067949</v>
      </c>
      <c r="C19" s="1726">
        <f>SUM(C4:C18)</f>
        <v>0</v>
      </c>
      <c r="D19" s="1726">
        <f>SUM(D4:D18)</f>
        <v>1067949</v>
      </c>
      <c r="E19" s="1726">
        <f>SUM(E4:E18)</f>
        <v>1123874</v>
      </c>
      <c r="F19" s="1726">
        <f>SUM(F4:F18)</f>
        <v>1123874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42405</v>
      </c>
      <c r="C31" s="1734">
        <v>265000</v>
      </c>
      <c r="D31" s="1735">
        <v>1</v>
      </c>
      <c r="E31" s="1734">
        <v>115000</v>
      </c>
      <c r="F31" s="1734"/>
      <c r="G31" s="1734"/>
      <c r="H31" s="1734">
        <v>115000</v>
      </c>
      <c r="I31" s="1736">
        <f>((E31+F31)-H31)+G31</f>
        <v>0</v>
      </c>
      <c r="J31" s="1734"/>
      <c r="K31" s="596"/>
    </row>
    <row r="32" spans="1:11" ht="12" customHeight="1" x14ac:dyDescent="0.2">
      <c r="A32" s="594" t="s">
        <v>2068</v>
      </c>
      <c r="B32" s="595">
        <v>41395</v>
      </c>
      <c r="C32" s="1734">
        <v>40000</v>
      </c>
      <c r="D32" s="1735">
        <v>4</v>
      </c>
      <c r="E32" s="1734">
        <v>40000</v>
      </c>
      <c r="F32" s="1734"/>
      <c r="G32" s="1734"/>
      <c r="H32" s="1734"/>
      <c r="I32" s="1736">
        <f>((E32+F32)-H32)+G32</f>
        <v>40000</v>
      </c>
      <c r="J32" s="1734">
        <v>40000</v>
      </c>
      <c r="K32" s="596"/>
    </row>
    <row r="33" spans="1:11" ht="12" customHeight="1" x14ac:dyDescent="0.2">
      <c r="A33" s="594" t="s">
        <v>2069</v>
      </c>
      <c r="B33" s="595">
        <v>40238</v>
      </c>
      <c r="C33" s="1734">
        <v>200000</v>
      </c>
      <c r="D33" s="1735">
        <v>1</v>
      </c>
      <c r="E33" s="1734">
        <v>130000</v>
      </c>
      <c r="F33" s="1734"/>
      <c r="G33" s="1734"/>
      <c r="H33" s="1734">
        <v>130000</v>
      </c>
      <c r="I33" s="1736">
        <f t="shared" ref="I33:I48" si="1">((E33+F33)-H33)+G33</f>
        <v>0</v>
      </c>
      <c r="J33" s="1734"/>
      <c r="K33" s="596"/>
    </row>
    <row r="34" spans="1:11" ht="12" customHeight="1" x14ac:dyDescent="0.2">
      <c r="A34" s="594" t="s">
        <v>2070</v>
      </c>
      <c r="B34" s="595">
        <v>38991</v>
      </c>
      <c r="C34" s="1734">
        <v>400000</v>
      </c>
      <c r="D34" s="1735">
        <v>4</v>
      </c>
      <c r="E34" s="1734">
        <v>125000</v>
      </c>
      <c r="F34" s="1734"/>
      <c r="G34" s="1734"/>
      <c r="H34" s="1734">
        <v>125000</v>
      </c>
      <c r="I34" s="1736">
        <f t="shared" si="1"/>
        <v>0</v>
      </c>
      <c r="J34" s="1734"/>
      <c r="K34" s="597"/>
    </row>
    <row r="35" spans="1:11" ht="12" customHeight="1" x14ac:dyDescent="0.2">
      <c r="A35" s="594" t="s">
        <v>2071</v>
      </c>
      <c r="B35" s="595">
        <v>44002</v>
      </c>
      <c r="C35" s="1737">
        <v>560100</v>
      </c>
      <c r="D35" s="1735">
        <v>1</v>
      </c>
      <c r="E35" s="1737"/>
      <c r="F35" s="1737">
        <v>560100</v>
      </c>
      <c r="G35" s="1737"/>
      <c r="H35" s="1737"/>
      <c r="I35" s="1736">
        <f t="shared" si="1"/>
        <v>560100</v>
      </c>
      <c r="J35" s="1737">
        <v>560100</v>
      </c>
      <c r="K35" s="597"/>
    </row>
    <row r="36" spans="1:11" ht="12" customHeight="1" x14ac:dyDescent="0.2">
      <c r="A36" s="594" t="s">
        <v>2072</v>
      </c>
      <c r="B36" s="595">
        <v>44002</v>
      </c>
      <c r="C36" s="1734">
        <v>588200</v>
      </c>
      <c r="D36" s="1735">
        <v>1</v>
      </c>
      <c r="E36" s="1734"/>
      <c r="F36" s="1734">
        <v>588200</v>
      </c>
      <c r="G36" s="1734"/>
      <c r="H36" s="1734"/>
      <c r="I36" s="1736">
        <f t="shared" si="1"/>
        <v>588200</v>
      </c>
      <c r="J36" s="1734">
        <v>588200</v>
      </c>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2053300</v>
      </c>
      <c r="D49" s="1742"/>
      <c r="E49" s="1736">
        <f t="shared" ref="E49:J49" si="2">SUM(E31:E48)</f>
        <v>410000</v>
      </c>
      <c r="F49" s="1736">
        <f t="shared" si="2"/>
        <v>1148300</v>
      </c>
      <c r="G49" s="1736">
        <f t="shared" si="2"/>
        <v>0</v>
      </c>
      <c r="H49" s="1736">
        <f t="shared" si="2"/>
        <v>370000</v>
      </c>
      <c r="I49" s="1736">
        <f t="shared" si="2"/>
        <v>1188300</v>
      </c>
      <c r="J49" s="1736">
        <f t="shared" si="2"/>
        <v>1188300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G39" sqref="G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0</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9" sqref="H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6010</v>
      </c>
      <c r="D5" s="1770"/>
      <c r="E5" s="1770"/>
      <c r="F5" s="1765">
        <f>(C5+D5)-E5</f>
        <v>6010</v>
      </c>
      <c r="G5" s="676"/>
      <c r="H5" s="680"/>
      <c r="I5" s="680"/>
      <c r="J5" s="680"/>
      <c r="K5" s="637"/>
      <c r="L5" s="1442">
        <f>F5-K5</f>
        <v>6010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521835</v>
      </c>
      <c r="D8" s="1771"/>
      <c r="E8" s="1771"/>
      <c r="F8" s="1765">
        <f>(C8+D8)-E8</f>
        <v>521835</v>
      </c>
      <c r="G8" s="681">
        <v>50</v>
      </c>
      <c r="H8" s="619">
        <v>235119</v>
      </c>
      <c r="I8" s="619">
        <v>17917</v>
      </c>
      <c r="J8" s="619"/>
      <c r="K8" s="1442">
        <f>(H8+I8)-J8</f>
        <v>253036</v>
      </c>
      <c r="L8" s="1442">
        <f>F8-K8</f>
        <v>268799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735960</v>
      </c>
      <c r="D10" s="1772">
        <v>15668</v>
      </c>
      <c r="E10" s="1772"/>
      <c r="F10" s="1773">
        <f>(C10+D10)-E10</f>
        <v>751628</v>
      </c>
      <c r="G10" s="681">
        <v>20</v>
      </c>
      <c r="H10" s="683">
        <v>468737</v>
      </c>
      <c r="I10" s="683">
        <v>33057</v>
      </c>
      <c r="J10" s="683"/>
      <c r="K10" s="1442">
        <f>(H10+I10)-J10</f>
        <v>501794</v>
      </c>
      <c r="L10" s="1442">
        <f>F10-K10</f>
        <v>249834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4286</v>
      </c>
      <c r="D12" s="1771"/>
      <c r="E12" s="1771"/>
      <c r="F12" s="1765">
        <f>(C12+D12)-E12</f>
        <v>4286</v>
      </c>
      <c r="G12" s="681">
        <v>10</v>
      </c>
      <c r="H12" s="619">
        <v>4286</v>
      </c>
      <c r="I12" s="619"/>
      <c r="J12" s="619"/>
      <c r="K12" s="1442">
        <f>(H12+I12)-J12</f>
        <v>4286</v>
      </c>
      <c r="L12" s="1442">
        <f>F12-K12</f>
        <v>0</v>
      </c>
    </row>
    <row r="13" spans="1:14" ht="14.25" thickTop="1" thickBot="1" x14ac:dyDescent="0.25">
      <c r="A13" s="684" t="s">
        <v>1112</v>
      </c>
      <c r="B13" s="679">
        <v>252</v>
      </c>
      <c r="C13" s="1771">
        <v>105325</v>
      </c>
      <c r="D13" s="1771"/>
      <c r="E13" s="1771"/>
      <c r="F13" s="1765">
        <f>(C13+D13)-E13</f>
        <v>105325</v>
      </c>
      <c r="G13" s="681">
        <v>5</v>
      </c>
      <c r="H13" s="619">
        <v>105325</v>
      </c>
      <c r="I13" s="619"/>
      <c r="J13" s="619"/>
      <c r="K13" s="1442">
        <f>(H13+I13)-J13</f>
        <v>105325</v>
      </c>
      <c r="L13" s="1442">
        <f>F13-K13</f>
        <v>0</v>
      </c>
    </row>
    <row r="14" spans="1:14" ht="14.25" thickTop="1" thickBot="1" x14ac:dyDescent="0.25">
      <c r="A14" s="684" t="s">
        <v>1113</v>
      </c>
      <c r="B14" s="679">
        <v>253</v>
      </c>
      <c r="C14" s="1745">
        <v>76606</v>
      </c>
      <c r="D14" s="1745"/>
      <c r="E14" s="1745"/>
      <c r="F14" s="1765">
        <f>(C14+D14)-E14</f>
        <v>76606</v>
      </c>
      <c r="G14" s="681">
        <v>3</v>
      </c>
      <c r="H14" s="619">
        <v>55826</v>
      </c>
      <c r="I14" s="619">
        <v>6466</v>
      </c>
      <c r="J14" s="619"/>
      <c r="K14" s="1442">
        <f>(H14+I14)-J14</f>
        <v>62292</v>
      </c>
      <c r="L14" s="1442">
        <f>F14-K14</f>
        <v>14314</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1450022</v>
      </c>
      <c r="D16" s="1765">
        <f>SUM(D3,D5:D6,D8:D10,D12:D15)</f>
        <v>15668</v>
      </c>
      <c r="E16" s="1765">
        <f>SUM(E3,E5:E6,E8:E10,E12:E15)</f>
        <v>0</v>
      </c>
      <c r="F16" s="1765">
        <f>SUM(F3,F5:F6,F8:F10,F12:F15)</f>
        <v>1465690</v>
      </c>
      <c r="G16" s="681"/>
      <c r="H16" s="1435">
        <f>SUM(H3,H6,H8:H10,H12:H14,)</f>
        <v>869293</v>
      </c>
      <c r="I16" s="1435">
        <f>SUM(I3,I6,I8:I10,I12:I14,)</f>
        <v>57440</v>
      </c>
      <c r="J16" s="1435">
        <f>SUM(J3,J6,J8:J10,J12:J14,)</f>
        <v>0</v>
      </c>
      <c r="K16" s="1435">
        <f>(H16+I16)-J16</f>
        <v>926733</v>
      </c>
      <c r="L16" s="1435">
        <f>F16-K16</f>
        <v>538957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57440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3" colorId="8" zoomScale="110" zoomScaleNormal="110" workbookViewId="0">
      <selection activeCell="F131" sqref="F1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1868533</v>
      </c>
      <c r="G8" s="701"/>
    </row>
    <row r="9" spans="1:9" x14ac:dyDescent="0.2">
      <c r="A9" s="705" t="s">
        <v>457</v>
      </c>
      <c r="B9" s="706" t="s">
        <v>1848</v>
      </c>
      <c r="C9" s="707"/>
      <c r="D9" s="705" t="s">
        <v>498</v>
      </c>
      <c r="E9" s="704"/>
      <c r="F9" s="1775">
        <f>'Expenditures 15-22'!K151</f>
        <v>104426</v>
      </c>
      <c r="G9" s="708"/>
    </row>
    <row r="10" spans="1:9" x14ac:dyDescent="0.2">
      <c r="A10" s="705" t="s">
        <v>496</v>
      </c>
      <c r="B10" s="706" t="s">
        <v>1849</v>
      </c>
      <c r="C10" s="707"/>
      <c r="D10" s="705" t="s">
        <v>498</v>
      </c>
      <c r="E10" s="704"/>
      <c r="F10" s="1775">
        <f>'Expenditures 15-22'!K174</f>
        <v>421363</v>
      </c>
      <c r="G10" s="708"/>
    </row>
    <row r="11" spans="1:9" x14ac:dyDescent="0.2">
      <c r="A11" s="705" t="s">
        <v>458</v>
      </c>
      <c r="B11" s="706" t="s">
        <v>1850</v>
      </c>
      <c r="C11" s="707"/>
      <c r="D11" s="705" t="s">
        <v>498</v>
      </c>
      <c r="E11" s="704"/>
      <c r="F11" s="1775">
        <f>'Expenditures 15-22'!K210</f>
        <v>102665</v>
      </c>
      <c r="G11" s="708"/>
    </row>
    <row r="12" spans="1:9" x14ac:dyDescent="0.2">
      <c r="A12" s="705" t="s">
        <v>459</v>
      </c>
      <c r="B12" s="706" t="s">
        <v>1851</v>
      </c>
      <c r="C12" s="707"/>
      <c r="D12" s="705" t="s">
        <v>498</v>
      </c>
      <c r="E12" s="704"/>
      <c r="F12" s="1775">
        <f>'Expenditures 15-22'!K295</f>
        <v>45214</v>
      </c>
      <c r="G12" s="708"/>
    </row>
    <row r="13" spans="1:9" x14ac:dyDescent="0.2">
      <c r="A13" s="705" t="s">
        <v>106</v>
      </c>
      <c r="B13" s="706" t="s">
        <v>1852</v>
      </c>
      <c r="C13" s="707"/>
      <c r="D13" s="705" t="s">
        <v>498</v>
      </c>
      <c r="E13" s="704"/>
      <c r="F13" s="1775">
        <f>'Expenditures 15-22'!K342</f>
        <v>100523</v>
      </c>
      <c r="G13" s="709"/>
    </row>
    <row r="14" spans="1:9" ht="12" customHeight="1" thickBot="1" x14ac:dyDescent="0.25">
      <c r="A14" s="1443"/>
      <c r="B14" s="1444"/>
      <c r="C14" s="1445"/>
      <c r="D14" s="1446" t="s">
        <v>498</v>
      </c>
      <c r="E14" s="1447" t="s">
        <v>952</v>
      </c>
      <c r="F14" s="1776">
        <f>SUM(F8:F13)</f>
        <v>2642724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28678</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50050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7494</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642985</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15668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370000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3717</v>
      </c>
      <c r="G67" s="701"/>
    </row>
    <row r="68" spans="1:9" x14ac:dyDescent="0.2">
      <c r="A68" s="705" t="s">
        <v>459</v>
      </c>
      <c r="B68" s="705" t="s">
        <v>1462</v>
      </c>
      <c r="C68" s="721" t="str">
        <f>'Expenditures 15-22'!B218</f>
        <v>1225</v>
      </c>
      <c r="D68" s="727" t="str">
        <f>'Expenditures 15-22'!A218</f>
        <v>Special Education Programs - Pre-K</v>
      </c>
      <c r="E68" s="704"/>
      <c r="F68" s="1782">
        <f>'Expenditures 15-22'!K218</f>
        <v>474</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1119066</v>
      </c>
      <c r="G77" s="701"/>
    </row>
    <row r="78" spans="1:9" s="728" customFormat="1" ht="12" customHeight="1" thickTop="1" thickBot="1" x14ac:dyDescent="0.25">
      <c r="A78" s="1450"/>
      <c r="B78" s="1448"/>
      <c r="C78" s="1445"/>
      <c r="D78" s="1449" t="s">
        <v>2012</v>
      </c>
      <c r="E78" s="1447"/>
      <c r="F78" s="1788">
        <f>(F14-F77)</f>
        <v>1523658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129.97999999999999</v>
      </c>
      <c r="G79" s="733"/>
      <c r="H79" s="705"/>
      <c r="I79" s="705"/>
    </row>
    <row r="80" spans="1:9" s="728" customFormat="1" ht="12" customHeight="1" thickBot="1" x14ac:dyDescent="0.25">
      <c r="A80" s="1452"/>
      <c r="B80" s="1448"/>
      <c r="C80" s="1445"/>
      <c r="D80" s="1449" t="s">
        <v>2013</v>
      </c>
      <c r="E80" s="1447" t="s">
        <v>952</v>
      </c>
      <c r="F80" s="1790">
        <f>IF(F79&gt;0,F78/F79," Complete Line 79")</f>
        <v>11722.249576857979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16906</v>
      </c>
      <c r="G95" s="745"/>
    </row>
    <row r="96" spans="1:7" x14ac:dyDescent="0.2">
      <c r="A96" s="741" t="s">
        <v>139</v>
      </c>
      <c r="B96" s="741" t="s">
        <v>174</v>
      </c>
      <c r="C96" s="743">
        <v>1700</v>
      </c>
      <c r="D96" s="751" t="str">
        <f>'Revenues 9-14'!A82</f>
        <v>Total District/School Activity Income</v>
      </c>
      <c r="E96" s="739"/>
      <c r="F96" s="1793">
        <f>SUM('Revenues 9-14'!C82,'Revenues 9-14'!D82)</f>
        <v>4030</v>
      </c>
      <c r="G96" s="745"/>
    </row>
    <row r="97" spans="1:7" x14ac:dyDescent="0.2">
      <c r="A97" s="741" t="s">
        <v>456</v>
      </c>
      <c r="B97" s="741" t="s">
        <v>175</v>
      </c>
      <c r="C97" s="743">
        <f>'Revenues 9-14'!B84</f>
        <v>1811</v>
      </c>
      <c r="D97" s="744" t="str">
        <f>'Revenues 9-14'!A84</f>
        <v>Rentals - Regular Textbooks</v>
      </c>
      <c r="E97" s="739"/>
      <c r="F97" s="1793">
        <f>'Revenues 9-14'!C84</f>
        <v>3160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211</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39129</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12708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452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22749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11182</v>
      </c>
      <c r="G125" s="763"/>
    </row>
    <row r="126" spans="1:7" x14ac:dyDescent="0.2">
      <c r="A126" s="760" t="s">
        <v>659</v>
      </c>
      <c r="B126" s="760" t="s">
        <v>1930</v>
      </c>
      <c r="C126" s="765">
        <v>4200</v>
      </c>
      <c r="D126" s="762" t="str">
        <f>'Revenues 9-14'!A198</f>
        <v>Total Food Service</v>
      </c>
      <c r="E126" s="739"/>
      <c r="F126" s="1793">
        <f>SUM('Revenues 9-14'!C198,'Revenues 9-14'!G198)</f>
        <v>35297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125719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43655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61</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2484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317743</v>
      </c>
    </row>
    <row r="176" spans="1:7" ht="12" customHeight="1" x14ac:dyDescent="0.2">
      <c r="A176" s="1443"/>
      <c r="B176" s="1453"/>
      <c r="C176" s="1454"/>
      <c r="D176" s="1455" t="s">
        <v>2014</v>
      </c>
      <c r="E176" s="1456"/>
      <c r="F176" s="1793">
        <f>'PCTC-OEPP 27-28'!F78-F175</f>
        <v>1205915</v>
      </c>
    </row>
    <row r="177" spans="1:9" ht="12" customHeight="1" x14ac:dyDescent="0.2">
      <c r="A177" s="1443"/>
      <c r="B177" s="1453"/>
      <c r="C177" s="1454"/>
      <c r="D177" s="1455" t="s">
        <v>1794</v>
      </c>
      <c r="E177" s="1456"/>
      <c r="F177" s="1793">
        <f>'Cap Outlay Deprec 26'!I18</f>
        <v>57440</v>
      </c>
    </row>
    <row r="178" spans="1:9" ht="12" customHeight="1" x14ac:dyDescent="0.2">
      <c r="A178" s="1443"/>
      <c r="B178" s="1453"/>
      <c r="C178" s="1454"/>
      <c r="D178" s="1455" t="s">
        <v>2015</v>
      </c>
      <c r="E178" s="1456"/>
      <c r="F178" s="1793">
        <f>F176+F177</f>
        <v>1263355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129.97999999999999</v>
      </c>
      <c r="G179" s="763"/>
      <c r="I179" s="701"/>
    </row>
    <row r="180" spans="1:9" ht="12" customHeight="1" thickBot="1" x14ac:dyDescent="0.25">
      <c r="A180" s="1443"/>
      <c r="B180" s="1457"/>
      <c r="C180" s="1454"/>
      <c r="D180" s="1455" t="s">
        <v>2017</v>
      </c>
      <c r="E180" s="1456" t="s">
        <v>1528</v>
      </c>
      <c r="F180" s="1798">
        <f>F178/F179</f>
        <v>9719.6107093398987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2073</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806324</v>
      </c>
      <c r="F19" s="1802"/>
      <c r="G19" s="1804">
        <f>'Expenditures 15-22'!K33-SUM('Expenditures 15-22'!G33,'Expenditures 15-22'!I33)+'Expenditures 15-22'!D229</f>
        <v>806324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28601</v>
      </c>
      <c r="F21" s="1805"/>
      <c r="G21" s="1808">
        <f>'Expenditures 15-22'!K42-SUM('Expenditures 15-22'!G42,'Expenditures 15-22'!I42)+'Expenditures 15-22'!K120-SUM('Expenditures 15-22'!G120,'Expenditures 15-22'!I120)+'Expenditures 15-22'!K180-SUM('Expenditures 15-22'!G180,'Expenditures 15-22'!I180)+'Expenditures 15-22'!D238</f>
        <v>28601</v>
      </c>
      <c r="H21" s="817"/>
      <c r="I21" s="157"/>
    </row>
    <row r="22" spans="1:9" s="542" customFormat="1" ht="12" customHeight="1" x14ac:dyDescent="0.2">
      <c r="A22" s="824" t="s">
        <v>560</v>
      </c>
      <c r="B22" s="825"/>
      <c r="C22" s="823">
        <v>2200</v>
      </c>
      <c r="D22" s="1805"/>
      <c r="E22" s="1807">
        <f>'Expenditures 15-22'!K47-SUM('Expenditures 15-22'!G47,'Expenditures 15-22'!I47)+'Expenditures 15-22'!D243</f>
        <v>38943</v>
      </c>
      <c r="F22" s="1805"/>
      <c r="G22" s="1808">
        <f>'Expenditures 15-22'!K47-SUM('Expenditures 15-22'!G47,'Expenditures 15-22'!I47)+'Expenditures 15-22'!D243</f>
        <v>38943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188034</v>
      </c>
      <c r="F23" s="1805"/>
      <c r="G23" s="1807">
        <f>'Expenditures 15-22'!K53-SUM('Expenditures 15-22'!G53,'Expenditures 15-22'!I53)+'Expenditures 15-22'!D257+'Expenditures 15-22'!K330-SUM('Expenditures 15-22'!G330,'Expenditures 15-22'!I330)</f>
        <v>188034</v>
      </c>
      <c r="H23" s="817"/>
      <c r="I23" s="157"/>
    </row>
    <row r="24" spans="1:9" s="542" customFormat="1" ht="12" customHeight="1" x14ac:dyDescent="0.2">
      <c r="A24" s="824" t="s">
        <v>562</v>
      </c>
      <c r="B24" s="825"/>
      <c r="C24" s="823">
        <v>2400</v>
      </c>
      <c r="D24" s="1805"/>
      <c r="E24" s="1807">
        <f>'Expenditures 15-22'!K57-SUM('Expenditures 15-22'!G57,'Expenditures 15-22'!I57)+'Expenditures 15-22'!D261</f>
        <v>97106</v>
      </c>
      <c r="F24" s="1805"/>
      <c r="G24" s="1808">
        <f>'Expenditures 15-22'!K57-SUM('Expenditures 15-22'!G57,'Expenditures 15-22'!I57)+'Expenditures 15-22'!D261</f>
        <v>97106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69891</v>
      </c>
      <c r="E27" s="1807">
        <f>E8</f>
        <v>0</v>
      </c>
      <c r="F27" s="1807">
        <f>'Expenditures 15-22'!K60-SUM('Expenditures 15-22'!G60,'Expenditures 15-22'!I60)+'Expenditures 15-22'!D264-E8</f>
        <v>69891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118802</v>
      </c>
      <c r="F28" s="1809">
        <f>'Expenditures 15-22'!K61-SUM('Expenditures 15-22'!G61,'Expenditures 15-22'!I61)+'Expenditures 15-22'!K124-SUM('Expenditures 15-22'!G124,'Expenditures 15-22'!I124)+'Expenditures 15-22'!D266-E9</f>
        <v>118802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104950</v>
      </c>
      <c r="F29" s="1805"/>
      <c r="G29" s="1808">
        <f>'Expenditures 15-22'!K62-SUM('Expenditures 15-22'!G62,'Expenditures 15-22'!I62)+'Expenditures 15-22'!K125-SUM('Expenditures 15-22'!G125,'Expenditures 15-22'!I125)+'Expenditures 15-22'!K182-SUM('Expenditures 15-22'!G182,'Expenditures 15-22'!I182)+'Expenditures 15-22'!D267</f>
        <v>104950</v>
      </c>
      <c r="H29" s="815"/>
    </row>
    <row r="30" spans="1:9" ht="12" customHeight="1" x14ac:dyDescent="0.2">
      <c r="A30" s="824" t="s">
        <v>100</v>
      </c>
      <c r="B30" s="827"/>
      <c r="C30" s="823">
        <v>2560</v>
      </c>
      <c r="D30" s="1805"/>
      <c r="E30" s="1807">
        <f>'Expenditures 15-22'!K63-SUM('Expenditures 15-22'!G63,'Expenditures 15-22'!I63)+'Expenditures 15-22'!D268-E10</f>
        <v>110057</v>
      </c>
      <c r="F30" s="1805"/>
      <c r="G30" s="1807">
        <f>'Expenditures 15-22'!K63-SUM('Expenditures 15-22'!G63,'Expenditures 15-22'!I63)+'Expenditures 15-22'!D268-E10</f>
        <v>110057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69891</v>
      </c>
      <c r="E41" s="1809">
        <f>SUM(E19:E40)</f>
        <v>1492817</v>
      </c>
      <c r="F41" s="1809">
        <f>SUM(F19:F39)</f>
        <v>188693</v>
      </c>
      <c r="G41" s="1809">
        <f>SUM(G19:G40)</f>
        <v>1374015</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69891</v>
      </c>
      <c r="F43" s="1458" t="s">
        <v>470</v>
      </c>
      <c r="G43" s="1810">
        <f>F41</f>
        <v>188693</v>
      </c>
    </row>
    <row r="44" spans="1:7" ht="12" customHeight="1" x14ac:dyDescent="0.2">
      <c r="A44" s="817"/>
      <c r="B44" s="157"/>
      <c r="C44" s="831"/>
      <c r="D44" s="1458" t="s">
        <v>471</v>
      </c>
      <c r="E44" s="1810">
        <f>E41</f>
        <v>1492817</v>
      </c>
      <c r="F44" s="1458" t="s">
        <v>471</v>
      </c>
      <c r="G44" s="1810">
        <f>G41</f>
        <v>1374015</v>
      </c>
    </row>
    <row r="45" spans="1:7" ht="12" customHeight="1" x14ac:dyDescent="0.2">
      <c r="A45" s="817"/>
      <c r="B45" s="157"/>
      <c r="C45" s="157"/>
      <c r="D45" s="1459" t="s">
        <v>999</v>
      </c>
      <c r="E45" s="1811">
        <f>(E43/E44)</f>
        <v>4.6818196738113244E-2</v>
      </c>
      <c r="F45" s="1459" t="s">
        <v>999</v>
      </c>
      <c r="G45" s="1811">
        <f>(G43/G44)</f>
        <v>0.13732965069522532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E33" sqref="E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Potomac CUSD 10</v>
      </c>
      <c r="D6" s="2415"/>
      <c r="E6" s="2415"/>
      <c r="F6" s="1482"/>
      <c r="G6" s="1507"/>
      <c r="L6" s="1507"/>
      <c r="M6" s="1855"/>
      <c r="N6" s="1855"/>
      <c r="O6" s="1855"/>
    </row>
    <row r="7" spans="1:15" ht="11.25" customHeight="1" thickBot="1" x14ac:dyDescent="0.3">
      <c r="A7" s="1480"/>
      <c r="B7" s="1481"/>
      <c r="C7" s="2416">
        <f>COVER!A13</f>
        <v>54092010026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2073</v>
      </c>
      <c r="F26" s="1497" t="s">
        <v>2074</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2073</v>
      </c>
      <c r="F31" s="1497" t="s">
        <v>2075</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t="s">
        <v>2073</v>
      </c>
      <c r="F32" s="1497" t="s">
        <v>2076</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3" sqref="I13"/>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Potomac CUSD 10</v>
      </c>
      <c r="K6" s="2437"/>
      <c r="L6" s="2451"/>
      <c r="M6" s="838"/>
      <c r="N6" s="1999"/>
    </row>
    <row r="7" spans="1:14" x14ac:dyDescent="0.2">
      <c r="A7" s="2452" t="s">
        <v>864</v>
      </c>
      <c r="B7" s="2453"/>
      <c r="C7" s="2453"/>
      <c r="D7" s="2453"/>
      <c r="E7" s="2454"/>
      <c r="F7" s="839"/>
      <c r="G7" s="838"/>
      <c r="H7" s="838"/>
      <c r="I7" s="1925" t="s">
        <v>369</v>
      </c>
      <c r="J7" s="2439">
        <f>COVER!A13</f>
        <v>54092010026</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46212</v>
      </c>
      <c r="F12" s="1943"/>
      <c r="G12" s="1969">
        <f>G68</f>
        <v>0</v>
      </c>
      <c r="H12" s="1945">
        <f t="shared" ref="H12:H18" si="0">SUM(E12:G12)</f>
        <v>46212</v>
      </c>
      <c r="I12" s="1944">
        <v>52500</v>
      </c>
      <c r="J12" s="1943"/>
      <c r="K12" s="1944"/>
      <c r="L12" s="1945">
        <f t="shared" ref="L12:L18" si="1">SUM(I12:K12)</f>
        <v>52500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46212</v>
      </c>
      <c r="F19" s="1951">
        <f t="shared" si="2"/>
        <v>0</v>
      </c>
      <c r="G19" s="1951">
        <f t="shared" ref="G19" si="3">SUM(G12:G17)-G18</f>
        <v>0</v>
      </c>
      <c r="H19" s="1951">
        <f t="shared" si="2"/>
        <v>46212</v>
      </c>
      <c r="I19" s="1951">
        <f t="shared" si="2"/>
        <v>52500</v>
      </c>
      <c r="J19" s="1951">
        <f t="shared" si="2"/>
        <v>0</v>
      </c>
      <c r="K19" s="1951">
        <f t="shared" si="2"/>
        <v>0</v>
      </c>
      <c r="L19" s="1951">
        <f t="shared" si="2"/>
        <v>52500</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0.13606855362243572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Potomac CUSD 10</v>
      </c>
      <c r="M52" s="2437"/>
      <c r="N52" s="2438"/>
    </row>
    <row r="53" spans="1:14" x14ac:dyDescent="0.2">
      <c r="A53" s="1983"/>
      <c r="B53" s="1984"/>
      <c r="C53" s="1984"/>
      <c r="D53" s="1984"/>
      <c r="E53" s="1984"/>
      <c r="F53" s="1984"/>
      <c r="G53" s="1984"/>
      <c r="H53" s="1984"/>
      <c r="I53" s="1984"/>
      <c r="J53" s="1984"/>
      <c r="K53" s="1925" t="s">
        <v>369</v>
      </c>
      <c r="L53" s="2439">
        <f>J7</f>
        <v>54092010026</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19" t="s">
        <v>297</v>
      </c>
      <c r="B59" s="2420"/>
      <c r="C59" s="242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19" t="s">
        <v>236</v>
      </c>
      <c r="B60" s="2420"/>
      <c r="C60" s="2420"/>
      <c r="D60" s="1968">
        <v>2364</v>
      </c>
      <c r="E60" s="1978">
        <f>'Expenditures 15-22'!K322</f>
        <v>6523</v>
      </c>
      <c r="F60" s="1973"/>
      <c r="G60" s="2032"/>
      <c r="H60" s="2033"/>
      <c r="I60" s="2033"/>
      <c r="J60" s="2033"/>
      <c r="K60" s="2033"/>
      <c r="L60" s="2033"/>
      <c r="M60" s="2033"/>
      <c r="N60" s="1976" t="str">
        <f t="shared" ref="N60:N67" si="4">IF((SUM(G60:M60))=E60,SUM(G60:M60),"Column N does not agree with Column E")</f>
        <v>Column N does not agree with Column E</v>
      </c>
    </row>
    <row r="61" spans="1:14" ht="24.75" customHeight="1" x14ac:dyDescent="0.2">
      <c r="A61" s="2419" t="s">
        <v>697</v>
      </c>
      <c r="B61" s="2420"/>
      <c r="C61" s="2420"/>
      <c r="D61" s="1968">
        <v>2365</v>
      </c>
      <c r="E61" s="1978">
        <f>'Expenditures 15-22'!K323</f>
        <v>94000</v>
      </c>
      <c r="F61" s="1973"/>
      <c r="G61" s="2032"/>
      <c r="H61" s="2033"/>
      <c r="I61" s="2033"/>
      <c r="J61" s="2033"/>
      <c r="K61" s="2033"/>
      <c r="L61" s="2033"/>
      <c r="M61" s="2033"/>
      <c r="N61" s="1976" t="str">
        <f t="shared" si="4"/>
        <v>Column N does not agree with Column E</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0</v>
      </c>
      <c r="F63" s="1973"/>
      <c r="G63" s="2032"/>
      <c r="H63" s="2033"/>
      <c r="I63" s="2033"/>
      <c r="J63" s="2033"/>
      <c r="K63" s="2033"/>
      <c r="L63" s="2033"/>
      <c r="M63" s="2033"/>
      <c r="N63" s="1976">
        <f t="shared" si="4"/>
        <v>0</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0</v>
      </c>
      <c r="F65" s="1973"/>
      <c r="G65" s="2032"/>
      <c r="H65" s="2033"/>
      <c r="I65" s="2033"/>
      <c r="J65" s="2033"/>
      <c r="K65" s="2033"/>
      <c r="L65" s="2033"/>
      <c r="M65" s="2033"/>
      <c r="N65" s="1976">
        <f t="shared" si="4"/>
        <v>0</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100523</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Potomac CUSD 10</v>
      </c>
    </row>
    <row r="65" spans="2:2" x14ac:dyDescent="0.2">
      <c r="B65" s="849">
        <f>COVER!A13</f>
        <v>54092010026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4</xdr:col>
                <xdr:colOff>400050</xdr:colOff>
                <xdr:row>1</xdr:row>
                <xdr:rowOff>142875</xdr:rowOff>
              </from>
              <to>
                <xdr:col>6</xdr:col>
                <xdr:colOff>95250</xdr:colOff>
                <xdr:row>6</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2562225</xdr:colOff>
                <xdr:row>3</xdr:row>
                <xdr:rowOff>19050</xdr:rowOff>
              </from>
              <to>
                <xdr:col>1</xdr:col>
                <xdr:colOff>3476625</xdr:colOff>
                <xdr:row>7</xdr:row>
                <xdr:rowOff>57150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2036788</v>
      </c>
      <c r="C8" s="1813">
        <f>'Acct Summary 7-8'!D8</f>
        <v>170566</v>
      </c>
      <c r="D8" s="1813">
        <f>'Acct Summary 7-8'!F8</f>
        <v>67951</v>
      </c>
      <c r="E8" s="1813">
        <f>'Acct Summary 7-8'!I8</f>
        <v>12186</v>
      </c>
      <c r="F8" s="1813">
        <f>SUM(B8:E8)</f>
        <v>2287491</v>
      </c>
    </row>
    <row r="9" spans="1:8" s="858" customFormat="1" ht="14.25" customHeight="1" thickBot="1" x14ac:dyDescent="0.25">
      <c r="A9" s="857" t="s">
        <v>1353</v>
      </c>
      <c r="B9" s="1814">
        <f>'Acct Summary 7-8'!C17</f>
        <v>1868533</v>
      </c>
      <c r="C9" s="1814">
        <f>'Acct Summary 7-8'!D17</f>
        <v>104426</v>
      </c>
      <c r="D9" s="1814">
        <f>'Acct Summary 7-8'!F17</f>
        <v>102665</v>
      </c>
      <c r="E9" s="1813"/>
      <c r="F9" s="1813">
        <f>SUM(B9:E9)</f>
        <v>2075624</v>
      </c>
    </row>
    <row r="10" spans="1:8" s="858" customFormat="1" ht="14.25" thickTop="1" thickBot="1" x14ac:dyDescent="0.25">
      <c r="A10" s="859" t="s">
        <v>1354</v>
      </c>
      <c r="B10" s="1815">
        <f>(B8-B9)</f>
        <v>168255</v>
      </c>
      <c r="C10" s="1815">
        <f>(C8-C9)</f>
        <v>66140</v>
      </c>
      <c r="D10" s="1815">
        <f>(D8-D9)</f>
        <v>-34714</v>
      </c>
      <c r="E10" s="1814">
        <f>(E8-E9)</f>
        <v>12186</v>
      </c>
      <c r="F10" s="1816">
        <f>SUM(F8-F9)</f>
        <v>211867</v>
      </c>
    </row>
    <row r="11" spans="1:8" s="858" customFormat="1" ht="14.25" thickTop="1" thickBot="1" x14ac:dyDescent="0.25">
      <c r="A11" s="860" t="s">
        <v>1903</v>
      </c>
      <c r="B11" s="1817">
        <f>'Acct Summary 7-8'!C81</f>
        <v>1333636</v>
      </c>
      <c r="C11" s="1817">
        <f>'Acct Summary 7-8'!D81</f>
        <v>167977</v>
      </c>
      <c r="D11" s="1817">
        <f>'Acct Summary 7-8'!F81</f>
        <v>113736</v>
      </c>
      <c r="E11" s="1817">
        <f>'Acct Summary 7-8'!I81</f>
        <v>1277652</v>
      </c>
      <c r="F11" s="1818">
        <f>SUM(B11:E11)</f>
        <v>2893001</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79" sqref="D7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PLEASE ENTER AMOUNT or 0.</v>
      </c>
    </row>
    <row r="81" spans="1:4" x14ac:dyDescent="0.2">
      <c r="A81" s="877"/>
      <c r="B81" s="899">
        <v>14</v>
      </c>
      <c r="C81" s="909" t="s">
        <v>1977</v>
      </c>
      <c r="D81" s="910" t="str">
        <f>IF(OR(COVER!$B$6="X",ISNUMBER('PCTC-OEPP 27-28'!F173)),"OK","PLEASE ENTER AMOUNT or 0.")</f>
        <v>PLEASE ENTER AMOUNT or 0.</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54092010026</v>
      </c>
      <c r="E2" s="1542">
        <v>2020</v>
      </c>
      <c r="F2" s="1542">
        <v>1</v>
      </c>
      <c r="G2" s="1899">
        <v>101000300</v>
      </c>
    </row>
    <row r="3" spans="1:7" ht="15" x14ac:dyDescent="0.25">
      <c r="A3" t="s">
        <v>950</v>
      </c>
      <c r="B3" s="135" t="str">
        <f>COVER!A15</f>
        <v xml:space="preserve">Vermilion </v>
      </c>
      <c r="E3" s="1830" t="s">
        <v>1971</v>
      </c>
      <c r="F3" s="1830" t="s">
        <v>1970</v>
      </c>
      <c r="G3" s="1899">
        <v>101000400</v>
      </c>
    </row>
    <row r="4" spans="1:7" ht="15" x14ac:dyDescent="0.25">
      <c r="A4" t="s">
        <v>1000</v>
      </c>
      <c r="B4" s="135" t="str">
        <f>COVER!A17</f>
        <v xml:space="preserve">   Potomac CUSD 10</v>
      </c>
      <c r="E4" s="1828">
        <v>44119</v>
      </c>
      <c r="F4" s="1829">
        <v>44151</v>
      </c>
      <c r="G4" s="1899">
        <v>101000600</v>
      </c>
    </row>
    <row r="5" spans="1:7" ht="15" x14ac:dyDescent="0.25">
      <c r="A5" t="s">
        <v>699</v>
      </c>
      <c r="B5" s="135" t="str">
        <f>COVER!A38</f>
        <v>James Owens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065-019320</v>
      </c>
      <c r="G15" s="1899">
        <v>402100400</v>
      </c>
    </row>
    <row r="16" spans="1:7" ht="15" x14ac:dyDescent="0.25">
      <c r="A16" t="s">
        <v>419</v>
      </c>
      <c r="B16" s="135" t="str">
        <f>COVER!T13</f>
        <v>Daughetee and Parks Management Consulting PC</v>
      </c>
      <c r="G16" s="1899">
        <v>402100600</v>
      </c>
    </row>
    <row r="17" spans="1:7" ht="15" x14ac:dyDescent="0.25">
      <c r="A17" t="s">
        <v>878</v>
      </c>
      <c r="B17" s="135" t="str">
        <f>COVER!T15</f>
        <v>Phyllis Parks</v>
      </c>
      <c r="G17" s="1899">
        <v>402100800</v>
      </c>
    </row>
    <row r="18" spans="1:7" ht="15" x14ac:dyDescent="0.25">
      <c r="A18" t="s">
        <v>1140</v>
      </c>
      <c r="B18" s="135" t="str">
        <f>COVER!T17</f>
        <v>2200 Kickapoo Drive STE a</v>
      </c>
      <c r="G18" s="1899">
        <v>102200300</v>
      </c>
    </row>
    <row r="19" spans="1:7" ht="15" x14ac:dyDescent="0.25">
      <c r="A19" t="s">
        <v>880</v>
      </c>
      <c r="B19" s="135" t="str">
        <f>COVER!T25</f>
        <v>pparkscpa@gmail.com</v>
      </c>
      <c r="G19" s="1899">
        <v>102200400</v>
      </c>
    </row>
    <row r="20" spans="1:7" ht="15" x14ac:dyDescent="0.25">
      <c r="A20" t="s">
        <v>881</v>
      </c>
      <c r="B20" s="135" t="str">
        <f>COVER!T19</f>
        <v>Danville</v>
      </c>
      <c r="G20" s="1899">
        <v>102200600</v>
      </c>
    </row>
    <row r="21" spans="1:7" ht="15" x14ac:dyDescent="0.25">
      <c r="A21" t="s">
        <v>476</v>
      </c>
      <c r="B21" s="135" t="str">
        <f>COVER!X19</f>
        <v>IL</v>
      </c>
      <c r="G21" s="1899">
        <v>102200800</v>
      </c>
    </row>
    <row r="22" spans="1:7" ht="15" x14ac:dyDescent="0.25">
      <c r="A22" t="s">
        <v>882</v>
      </c>
      <c r="B22" s="135">
        <f>COVER!Z19</f>
        <v>61832</v>
      </c>
      <c r="G22" s="1899">
        <v>102300300</v>
      </c>
    </row>
    <row r="23" spans="1:7" ht="15" x14ac:dyDescent="0.25">
      <c r="A23" t="s">
        <v>1142</v>
      </c>
      <c r="B23" s="135" t="str">
        <f>COVER!T21</f>
        <v>217-431-2727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560100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1333636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1333636</v>
      </c>
      <c r="D92" s="2" t="str">
        <f t="shared" si="0"/>
        <v>Error?</v>
      </c>
      <c r="G92" s="1899">
        <v>102640600</v>
      </c>
    </row>
    <row r="93" spans="1:7" ht="15" x14ac:dyDescent="0.25">
      <c r="A93" s="5">
        <v>32</v>
      </c>
      <c r="B93" s="1832">
        <f>'Assets-Liab 5-6'!C41</f>
        <v>1333636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167977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167977</v>
      </c>
      <c r="D123" s="2" t="str">
        <f t="shared" si="0"/>
        <v>Error?</v>
      </c>
      <c r="G123" s="1899">
        <v>203000400</v>
      </c>
    </row>
    <row r="124" spans="1:7" ht="15" x14ac:dyDescent="0.25">
      <c r="A124" s="5">
        <v>63</v>
      </c>
      <c r="B124" s="1832">
        <f>'Assets-Liab 5-6'!D41</f>
        <v>167977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35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113736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113736</v>
      </c>
      <c r="D170" s="2" t="str">
        <f t="shared" si="1"/>
        <v>Error?</v>
      </c>
    </row>
    <row r="171" spans="1:4" x14ac:dyDescent="0.2">
      <c r="A171" s="5">
        <v>110</v>
      </c>
      <c r="B171" s="1832">
        <f>'Assets-Liab 5-6'!F41</f>
        <v>113736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46721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46721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31719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31719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6010</v>
      </c>
      <c r="D273" s="2" t="str">
        <f t="shared" si="3"/>
        <v>Error?</v>
      </c>
    </row>
    <row r="274" spans="1:4" x14ac:dyDescent="0.2">
      <c r="A274" s="5">
        <v>213</v>
      </c>
      <c r="B274" s="1832">
        <f>'Assets-Liab 5-6'!M17</f>
        <v>518633</v>
      </c>
      <c r="D274" s="2" t="str">
        <f t="shared" si="3"/>
        <v>Error?</v>
      </c>
    </row>
    <row r="275" spans="1:4" x14ac:dyDescent="0.2">
      <c r="A275" s="5">
        <v>214</v>
      </c>
      <c r="B275" s="1832">
        <f>'Assets-Liab 5-6'!M18</f>
        <v>14315</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538958</v>
      </c>
      <c r="C279" s="2" t="s">
        <v>569</v>
      </c>
      <c r="D279" s="2" t="str">
        <f t="shared" si="3"/>
        <v>Error?</v>
      </c>
    </row>
    <row r="280" spans="1:4" x14ac:dyDescent="0.2">
      <c r="A280" s="5">
        <v>219</v>
      </c>
      <c r="B280" s="1832">
        <f>'Assets-Liab 5-6'!M40</f>
        <v>538958</v>
      </c>
      <c r="D280" s="2" t="str">
        <f t="shared" si="3"/>
        <v>Error?</v>
      </c>
    </row>
    <row r="281" spans="1:4" x14ac:dyDescent="0.2">
      <c r="A281" s="5">
        <v>220</v>
      </c>
      <c r="B281" s="1832">
        <f>'Assets-Liab 5-6'!M41</f>
        <v>538958</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1188300</v>
      </c>
      <c r="D283" s="2" t="str">
        <f t="shared" si="3"/>
        <v>Error?</v>
      </c>
    </row>
    <row r="284" spans="1:4" x14ac:dyDescent="0.2">
      <c r="A284" s="5">
        <v>223</v>
      </c>
      <c r="B284" s="1832">
        <f>'Assets-Liab 5-6'!N23</f>
        <v>1188300</v>
      </c>
      <c r="C284" s="2" t="s">
        <v>569</v>
      </c>
      <c r="D284" s="2" t="str">
        <f t="shared" si="3"/>
        <v>Error?</v>
      </c>
    </row>
    <row r="285" spans="1:4" x14ac:dyDescent="0.2">
      <c r="A285" s="5">
        <v>224</v>
      </c>
      <c r="B285" s="1832">
        <f>'Assets-Liab 5-6'!N36</f>
        <v>1188300</v>
      </c>
      <c r="D285" s="2" t="str">
        <f t="shared" si="3"/>
        <v>Error?</v>
      </c>
    </row>
    <row r="286" spans="1:4" x14ac:dyDescent="0.2">
      <c r="A286" s="10">
        <v>225</v>
      </c>
      <c r="B286" s="1832"/>
      <c r="D286" s="2" t="str">
        <f t="shared" si="3"/>
        <v>OK</v>
      </c>
    </row>
    <row r="287" spans="1:4" x14ac:dyDescent="0.2">
      <c r="A287" s="5">
        <v>226</v>
      </c>
      <c r="B287" s="1832">
        <f>'Assets-Liab 5-6'!N37</f>
        <v>1188300</v>
      </c>
      <c r="C287" s="2" t="s">
        <v>569</v>
      </c>
      <c r="D287" s="2" t="str">
        <f t="shared" si="3"/>
        <v>Error?</v>
      </c>
    </row>
    <row r="288" spans="1:4" x14ac:dyDescent="0.2">
      <c r="A288" s="5">
        <v>227</v>
      </c>
      <c r="B288" s="1832">
        <f>'Assets-Liab 5-6'!N41</f>
        <v>1188300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850363</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449026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19320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669494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28192</v>
      </c>
      <c r="D726" s="2" t="str">
        <f t="shared" si="10"/>
        <v>Error?</v>
      </c>
    </row>
    <row r="727" spans="1:4" x14ac:dyDescent="0.2">
      <c r="A727" s="5">
        <v>666</v>
      </c>
      <c r="B727" s="1832">
        <f>'Expenditures 15-22'!C42</f>
        <v>28192</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7634</v>
      </c>
      <c r="D730" s="2" t="str">
        <f t="shared" si="10"/>
        <v>Error?</v>
      </c>
    </row>
    <row r="731" spans="1:4" x14ac:dyDescent="0.2">
      <c r="A731" s="5">
        <v>670</v>
      </c>
      <c r="B731" s="1832">
        <f>'Expenditures 15-22'!C47</f>
        <v>7634</v>
      </c>
      <c r="C731" s="2" t="s">
        <v>569</v>
      </c>
      <c r="D731" s="2" t="str">
        <f t="shared" si="10"/>
        <v>Error?</v>
      </c>
    </row>
    <row r="732" spans="1:4" x14ac:dyDescent="0.2">
      <c r="A732" s="5">
        <v>671</v>
      </c>
      <c r="B732" s="1832">
        <f>'Expenditures 15-22'!C49</f>
        <v>900</v>
      </c>
      <c r="D732" s="2" t="str">
        <f t="shared" si="10"/>
        <v>Error?</v>
      </c>
    </row>
    <row r="733" spans="1:4" x14ac:dyDescent="0.2">
      <c r="A733" s="5">
        <v>672</v>
      </c>
      <c r="B733" s="1832">
        <f>'Expenditures 15-22'!C50</f>
        <v>42230</v>
      </c>
      <c r="D733" s="2" t="str">
        <f t="shared" si="10"/>
        <v>Error?</v>
      </c>
    </row>
    <row r="734" spans="1:4" x14ac:dyDescent="0.2">
      <c r="A734" s="5">
        <v>673</v>
      </c>
      <c r="B734" s="1832">
        <f>'Expenditures 15-22'!C53</f>
        <v>43130</v>
      </c>
      <c r="C734" s="2" t="s">
        <v>569</v>
      </c>
      <c r="D734" s="2" t="str">
        <f t="shared" si="10"/>
        <v>Error?</v>
      </c>
    </row>
    <row r="735" spans="1:4" x14ac:dyDescent="0.2">
      <c r="A735" s="5">
        <v>674</v>
      </c>
      <c r="B735" s="1832">
        <f>'Expenditures 15-22'!C55</f>
        <v>81618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81618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44846</v>
      </c>
      <c r="D739" s="2" t="str">
        <f t="shared" si="10"/>
        <v>Error?</v>
      </c>
    </row>
    <row r="740" spans="1:4" x14ac:dyDescent="0.2">
      <c r="A740" s="5">
        <v>679</v>
      </c>
      <c r="B740" s="1832">
        <f>'Expenditures 15-22'!C61</f>
        <v>20456</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63213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128515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289089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958583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53231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2671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78692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209</v>
      </c>
      <c r="D791" s="2" t="str">
        <f t="shared" si="11"/>
        <v>Error?</v>
      </c>
    </row>
    <row r="792" spans="1:4" x14ac:dyDescent="0.2">
      <c r="A792" s="5">
        <v>731</v>
      </c>
      <c r="B792" s="1832">
        <f>'Expenditures 15-22'!D53</f>
        <v>209</v>
      </c>
      <c r="C792" s="2" t="s">
        <v>569</v>
      </c>
      <c r="D792" s="2" t="str">
        <f t="shared" si="11"/>
        <v>Error?</v>
      </c>
    </row>
    <row r="793" spans="1:4" x14ac:dyDescent="0.2">
      <c r="A793" s="5">
        <v>732</v>
      </c>
      <c r="B793" s="1832">
        <f>'Expenditures 15-22'!D55</f>
        <v>8007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8007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8216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86908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7362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6824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14186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22862</v>
      </c>
      <c r="D844" s="2" t="str">
        <f t="shared" si="12"/>
        <v>Error?</v>
      </c>
    </row>
    <row r="845" spans="1:4" x14ac:dyDescent="0.2">
      <c r="A845" s="5">
        <v>784</v>
      </c>
      <c r="B845" s="1832">
        <f>'Expenditures 15-22'!E45</f>
        <v>2954</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25816</v>
      </c>
      <c r="C847" s="2" t="s">
        <v>569</v>
      </c>
      <c r="D847" s="2" t="str">
        <f t="shared" si="12"/>
        <v>Error?</v>
      </c>
    </row>
    <row r="848" spans="1:4" x14ac:dyDescent="0.2">
      <c r="A848" s="5">
        <v>787</v>
      </c>
      <c r="B848" s="1832">
        <f>'Expenditures 15-22'!E49</f>
        <v>39219</v>
      </c>
      <c r="D848" s="2" t="str">
        <f t="shared" si="12"/>
        <v>Error?</v>
      </c>
    </row>
    <row r="849" spans="1:4" x14ac:dyDescent="0.2">
      <c r="A849" s="5">
        <v>788</v>
      </c>
      <c r="B849" s="1832">
        <f>'Expenditures 15-22'!E50</f>
        <v>3633</v>
      </c>
      <c r="D849" s="2" t="str">
        <f t="shared" si="12"/>
        <v>Error?</v>
      </c>
    </row>
    <row r="850" spans="1:4" x14ac:dyDescent="0.2">
      <c r="A850" s="5">
        <v>789</v>
      </c>
      <c r="B850" s="1832">
        <f>'Expenditures 15-22'!E53</f>
        <v>42852</v>
      </c>
      <c r="C850" s="2" t="s">
        <v>569</v>
      </c>
      <c r="D850" s="2" t="str">
        <f t="shared" si="12"/>
        <v>Error?</v>
      </c>
    </row>
    <row r="851" spans="1:4" x14ac:dyDescent="0.2">
      <c r="A851" s="5">
        <v>790</v>
      </c>
      <c r="B851" s="1832">
        <f>'Expenditures 15-22'!E55</f>
        <v>175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175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10150</v>
      </c>
      <c r="D855" s="2" t="str">
        <f t="shared" si="12"/>
        <v>Error?</v>
      </c>
    </row>
    <row r="856" spans="1:4" x14ac:dyDescent="0.2">
      <c r="A856" s="5">
        <v>795</v>
      </c>
      <c r="B856" s="1832">
        <f>'Expenditures 15-22'!E61</f>
        <v>3485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595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14230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83073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658032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11783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2861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18418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4663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4663</v>
      </c>
      <c r="C905" s="2" t="s">
        <v>569</v>
      </c>
      <c r="D905" s="2" t="str">
        <f t="shared" si="13"/>
        <v>Error?</v>
      </c>
    </row>
    <row r="906" spans="1:4" x14ac:dyDescent="0.2">
      <c r="A906" s="5">
        <v>845</v>
      </c>
      <c r="B906" s="1832">
        <f>'Expenditures 15-22'!F49</f>
        <v>461</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461</v>
      </c>
      <c r="C908" s="2" t="s">
        <v>569</v>
      </c>
      <c r="D908" s="2" t="str">
        <f t="shared" si="13"/>
        <v>Error?</v>
      </c>
    </row>
    <row r="909" spans="1:4" x14ac:dyDescent="0.2">
      <c r="A909" s="5">
        <v>848</v>
      </c>
      <c r="B909" s="1832">
        <f>'Expenditures 15-22'!F55</f>
        <v>2098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2098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1175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38024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39199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46421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64839</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151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1080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8725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830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830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140</v>
      </c>
      <c r="D1023" s="2" t="str">
        <f t="shared" ref="D1023:D1086" si="15">IF(ISBLANK(B1023),"OK",IF(A1023-B1023=0,"OK","Error?"))</f>
        <v>Error?</v>
      </c>
    </row>
    <row r="1024" spans="1:4" x14ac:dyDescent="0.2">
      <c r="A1024" s="5">
        <v>963</v>
      </c>
      <c r="B1024" s="1832">
        <f>'Expenditures 15-22'!H53</f>
        <v>140</v>
      </c>
      <c r="C1024" s="2" t="s">
        <v>569</v>
      </c>
      <c r="D1024" s="2" t="str">
        <f t="shared" si="15"/>
        <v>Error?</v>
      </c>
    </row>
    <row r="1025" spans="1:4" x14ac:dyDescent="0.2">
      <c r="A1025" s="5">
        <v>964</v>
      </c>
      <c r="B1025" s="1832">
        <f>'Expenditures 15-22'!H55</f>
        <v>808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808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7100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356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7456</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9234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82212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100171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521553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32756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789515</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28192</v>
      </c>
      <c r="C1114" s="2" t="s">
        <v>569</v>
      </c>
      <c r="D1114" s="2" t="str">
        <f t="shared" si="16"/>
        <v>Error?</v>
      </c>
    </row>
    <row r="1115" spans="1:4" x14ac:dyDescent="0.2">
      <c r="A1115" s="5">
        <v>1054</v>
      </c>
      <c r="B1115" s="1832">
        <f>'Expenditures 15-22'!K42</f>
        <v>28192</v>
      </c>
      <c r="C1115" s="2" t="s">
        <v>569</v>
      </c>
      <c r="D1115" s="2" t="str">
        <f t="shared" si="16"/>
        <v>Error?</v>
      </c>
    </row>
    <row r="1116" spans="1:4" x14ac:dyDescent="0.2">
      <c r="A1116" s="5">
        <v>1055</v>
      </c>
      <c r="B1116" s="1832">
        <f>'Expenditures 15-22'!K44</f>
        <v>23692</v>
      </c>
      <c r="C1116" s="2" t="s">
        <v>569</v>
      </c>
      <c r="D1116" s="2" t="str">
        <f t="shared" si="16"/>
        <v>Error?</v>
      </c>
    </row>
    <row r="1117" spans="1:4" x14ac:dyDescent="0.2">
      <c r="A1117" s="5">
        <v>1056</v>
      </c>
      <c r="B1117" s="1832">
        <f>'Expenditures 15-22'!K45</f>
        <v>7617</v>
      </c>
      <c r="C1117" s="2" t="s">
        <v>569</v>
      </c>
      <c r="D1117" s="2" t="str">
        <f t="shared" si="16"/>
        <v>Error?</v>
      </c>
    </row>
    <row r="1118" spans="1:4" x14ac:dyDescent="0.2">
      <c r="A1118" s="5">
        <v>1057</v>
      </c>
      <c r="B1118" s="1832">
        <f>'Expenditures 15-22'!K46</f>
        <v>7634</v>
      </c>
      <c r="C1118" s="2" t="s">
        <v>569</v>
      </c>
      <c r="D1118" s="2" t="str">
        <f t="shared" si="16"/>
        <v>Error?</v>
      </c>
    </row>
    <row r="1119" spans="1:4" x14ac:dyDescent="0.2">
      <c r="A1119" s="5">
        <v>1058</v>
      </c>
      <c r="B1119" s="1832">
        <f>'Expenditures 15-22'!K47</f>
        <v>38943</v>
      </c>
      <c r="C1119" s="2" t="s">
        <v>569</v>
      </c>
      <c r="D1119" s="2" t="str">
        <f t="shared" si="16"/>
        <v>Error?</v>
      </c>
    </row>
    <row r="1120" spans="1:4" x14ac:dyDescent="0.2">
      <c r="A1120" s="5">
        <v>1059</v>
      </c>
      <c r="B1120" s="1832">
        <f>'Expenditures 15-22'!K49</f>
        <v>40580</v>
      </c>
      <c r="C1120" s="2" t="s">
        <v>569</v>
      </c>
      <c r="D1120" s="2" t="str">
        <f t="shared" si="16"/>
        <v>Error?</v>
      </c>
    </row>
    <row r="1121" spans="1:4" x14ac:dyDescent="0.2">
      <c r="A1121" s="5">
        <v>1060</v>
      </c>
      <c r="B1121" s="1832">
        <f>'Expenditures 15-22'!K50</f>
        <v>46212</v>
      </c>
      <c r="C1121" s="2" t="s">
        <v>569</v>
      </c>
      <c r="D1121" s="2" t="str">
        <f t="shared" si="16"/>
        <v>Error?</v>
      </c>
    </row>
    <row r="1122" spans="1:4" x14ac:dyDescent="0.2">
      <c r="A1122" s="5">
        <v>1061</v>
      </c>
      <c r="B1122" s="1832">
        <f>'Expenditures 15-22'!K53</f>
        <v>86792</v>
      </c>
      <c r="C1122" s="2" t="s">
        <v>569</v>
      </c>
      <c r="D1122" s="2" t="str">
        <f t="shared" si="16"/>
        <v>Error?</v>
      </c>
    </row>
    <row r="1123" spans="1:4" x14ac:dyDescent="0.2">
      <c r="A1123" s="5">
        <v>1062</v>
      </c>
      <c r="B1123" s="1832">
        <f>'Expenditures 15-22'!K55</f>
        <v>92706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92706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63271</v>
      </c>
      <c r="C1127" s="2" t="s">
        <v>569</v>
      </c>
      <c r="D1127" s="2" t="str">
        <f t="shared" si="16"/>
        <v>Error?</v>
      </c>
    </row>
    <row r="1128" spans="1:4" x14ac:dyDescent="0.2">
      <c r="A1128" s="5">
        <v>1067</v>
      </c>
      <c r="B1128" s="1832">
        <f>'Expenditures 15-22'!K61</f>
        <v>23941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102188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189400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436033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642985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1868533</v>
      </c>
      <c r="C1152" s="2" t="s">
        <v>569</v>
      </c>
      <c r="D1152" s="2" t="str">
        <f t="shared" si="17"/>
        <v>Error?</v>
      </c>
    </row>
    <row r="1153" spans="1:4" x14ac:dyDescent="0.2">
      <c r="A1153" s="5">
        <v>1092</v>
      </c>
      <c r="B1153" s="1832">
        <f>'Expenditures 15-22'!K115</f>
        <v>168255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48369</v>
      </c>
      <c r="D1237" s="2" t="str">
        <f t="shared" si="18"/>
        <v>Error?</v>
      </c>
    </row>
    <row r="1238" spans="1:4" x14ac:dyDescent="0.2">
      <c r="A1238" s="10">
        <v>1177</v>
      </c>
      <c r="B1238" s="1832"/>
      <c r="D1238" s="2" t="str">
        <f t="shared" si="18"/>
        <v>OK</v>
      </c>
    </row>
    <row r="1239" spans="1:4" x14ac:dyDescent="0.2">
      <c r="A1239" s="5">
        <v>1178</v>
      </c>
      <c r="B1239" s="1832">
        <f>'Expenditures 15-22'!E127</f>
        <v>48369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48369</v>
      </c>
      <c r="C1241" s="2" t="s">
        <v>569</v>
      </c>
      <c r="D1241" s="2" t="str">
        <f t="shared" si="18"/>
        <v>Error?</v>
      </c>
    </row>
    <row r="1242" spans="1:4" x14ac:dyDescent="0.2">
      <c r="A1242" s="5">
        <v>1181</v>
      </c>
      <c r="B1242" s="1832">
        <f>'Expenditures 15-22'!E151</f>
        <v>48369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34450</v>
      </c>
      <c r="D1245" s="2" t="str">
        <f t="shared" si="18"/>
        <v>Error?</v>
      </c>
    </row>
    <row r="1246" spans="1:4" x14ac:dyDescent="0.2">
      <c r="A1246" s="10">
        <v>1185</v>
      </c>
      <c r="B1246" s="1832"/>
      <c r="D1246" s="2" t="str">
        <f t="shared" si="18"/>
        <v>OK</v>
      </c>
    </row>
    <row r="1247" spans="1:4" x14ac:dyDescent="0.2">
      <c r="A1247" s="5">
        <v>1186</v>
      </c>
      <c r="B1247" s="1832">
        <f>'Expenditures 15-22'!F127</f>
        <v>34450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34450</v>
      </c>
      <c r="C1249" s="2" t="s">
        <v>569</v>
      </c>
      <c r="D1249" s="2" t="str">
        <f t="shared" si="18"/>
        <v>Error?</v>
      </c>
    </row>
    <row r="1250" spans="1:4" x14ac:dyDescent="0.2">
      <c r="A1250" s="5">
        <v>1189</v>
      </c>
      <c r="B1250" s="1832">
        <f>'Expenditures 15-22'!F151</f>
        <v>34450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15668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15668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15668</v>
      </c>
      <c r="C1258" s="2" t="s">
        <v>569</v>
      </c>
      <c r="D1258" s="2" t="str">
        <f t="shared" si="18"/>
        <v>Error?</v>
      </c>
    </row>
    <row r="1259" spans="1:4" x14ac:dyDescent="0.2">
      <c r="A1259" s="5">
        <v>1198</v>
      </c>
      <c r="B1259" s="1832">
        <f>'Expenditures 15-22'!G151</f>
        <v>15668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5939</v>
      </c>
      <c r="D1262" s="2" t="str">
        <f t="shared" si="18"/>
        <v>Error?</v>
      </c>
    </row>
    <row r="1263" spans="1:4" x14ac:dyDescent="0.2">
      <c r="A1263" s="10">
        <v>1202</v>
      </c>
      <c r="B1263" s="1832"/>
      <c r="D1263" s="2" t="str">
        <f t="shared" si="18"/>
        <v>OK</v>
      </c>
    </row>
    <row r="1264" spans="1:4" x14ac:dyDescent="0.2">
      <c r="A1264" s="5">
        <v>1203</v>
      </c>
      <c r="B1264" s="1832">
        <f>'Expenditures 15-22'!H127</f>
        <v>5939</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5939</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5939</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104426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104426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104426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104426</v>
      </c>
      <c r="C1288" s="2" t="s">
        <v>569</v>
      </c>
      <c r="D1288" s="2" t="str">
        <f t="shared" si="19"/>
        <v>Error?</v>
      </c>
    </row>
    <row r="1289" spans="1:4" x14ac:dyDescent="0.2">
      <c r="A1289" s="5">
        <v>1228</v>
      </c>
      <c r="B1289" s="1832">
        <f>'Expenditures 15-22'!K152</f>
        <v>66140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16763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370000</v>
      </c>
      <c r="D1315" s="2" t="str">
        <f t="shared" si="19"/>
        <v>Error?</v>
      </c>
    </row>
    <row r="1316" spans="1:4" x14ac:dyDescent="0.2">
      <c r="A1316" s="5">
        <v>1255</v>
      </c>
      <c r="B1316" s="1832">
        <f>'Expenditures 15-22'!H171</f>
        <v>34600</v>
      </c>
      <c r="D1316" s="2" t="str">
        <f t="shared" si="19"/>
        <v>Error?</v>
      </c>
    </row>
    <row r="1317" spans="1:4" x14ac:dyDescent="0.2">
      <c r="A1317" s="5">
        <v>1256</v>
      </c>
      <c r="B1317" s="1832">
        <f>'Expenditures 15-22'!H172</f>
        <v>421363</v>
      </c>
      <c r="C1317" s="2" t="s">
        <v>569</v>
      </c>
      <c r="D1317" s="2" t="str">
        <f t="shared" si="19"/>
        <v>Error?</v>
      </c>
    </row>
    <row r="1318" spans="1:4" x14ac:dyDescent="0.2">
      <c r="A1318" s="5">
        <v>1257</v>
      </c>
      <c r="B1318" s="1832">
        <f>'Expenditures 15-22'!H174</f>
        <v>421363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16763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370000</v>
      </c>
      <c r="C1329" s="2" t="s">
        <v>569</v>
      </c>
      <c r="D1329" s="2" t="str">
        <f t="shared" si="19"/>
        <v>Error?</v>
      </c>
    </row>
    <row r="1330" spans="1:4" x14ac:dyDescent="0.2">
      <c r="A1330" s="5">
        <v>1269</v>
      </c>
      <c r="B1330" s="1832">
        <f>'Expenditures 15-22'!K171</f>
        <v>34600</v>
      </c>
      <c r="C1330" s="2" t="s">
        <v>569</v>
      </c>
      <c r="D1330" s="2" t="str">
        <f t="shared" si="19"/>
        <v>Error?</v>
      </c>
    </row>
    <row r="1331" spans="1:4" x14ac:dyDescent="0.2">
      <c r="A1331" s="5">
        <v>1270</v>
      </c>
      <c r="B1331" s="1832">
        <f>'Expenditures 15-22'!K172</f>
        <v>421363</v>
      </c>
      <c r="C1331" s="2" t="s">
        <v>569</v>
      </c>
      <c r="D1331" s="2" t="str">
        <f t="shared" si="19"/>
        <v>Error?</v>
      </c>
    </row>
    <row r="1332" spans="1:4" x14ac:dyDescent="0.2">
      <c r="A1332" s="5">
        <v>1271</v>
      </c>
      <c r="B1332" s="1832">
        <f>'Expenditures 15-22'!K174</f>
        <v>421363</v>
      </c>
      <c r="C1332" s="2" t="s">
        <v>569</v>
      </c>
      <c r="D1332" s="2" t="str">
        <f t="shared" si="19"/>
        <v>Error?</v>
      </c>
    </row>
    <row r="1333" spans="1:4" x14ac:dyDescent="0.2">
      <c r="A1333" s="5">
        <v>1272</v>
      </c>
      <c r="B1333" s="1832">
        <f>'Expenditures 15-22'!K175</f>
        <v>-297965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45877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45877</v>
      </c>
      <c r="C1339" s="2" t="s">
        <v>569</v>
      </c>
      <c r="D1339" s="2" t="str">
        <f t="shared" si="19"/>
        <v>Error?</v>
      </c>
    </row>
    <row r="1340" spans="1:4" x14ac:dyDescent="0.2">
      <c r="A1340" s="5">
        <v>1279</v>
      </c>
      <c r="B1340" s="1832">
        <f>'Expenditures 15-22'!C210</f>
        <v>45877</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44045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44045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44045</v>
      </c>
      <c r="C1353" s="2" t="s">
        <v>569</v>
      </c>
      <c r="D1353" s="2" t="str">
        <f t="shared" si="20"/>
        <v>Error?</v>
      </c>
    </row>
    <row r="1354" spans="1:4" x14ac:dyDescent="0.2">
      <c r="A1354" s="5">
        <v>1293</v>
      </c>
      <c r="B1354" s="1832">
        <f>'Expenditures 15-22'!F182</f>
        <v>12326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12326</v>
      </c>
      <c r="C1358" s="2" t="s">
        <v>569</v>
      </c>
      <c r="D1358" s="2" t="str">
        <f t="shared" si="20"/>
        <v>Error?</v>
      </c>
    </row>
    <row r="1359" spans="1:4" x14ac:dyDescent="0.2">
      <c r="A1359" s="5">
        <v>1298</v>
      </c>
      <c r="B1359" s="1832">
        <f>'Expenditures 15-22'!F210</f>
        <v>12326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417</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417</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417</v>
      </c>
      <c r="C1376" s="2" t="s">
        <v>569</v>
      </c>
      <c r="D1376" s="2" t="str">
        <f t="shared" si="20"/>
        <v>Error?</v>
      </c>
    </row>
    <row r="1377" spans="1:4" x14ac:dyDescent="0.2">
      <c r="A1377" s="5">
        <v>1316</v>
      </c>
      <c r="B1377" s="1832">
        <f>'Expenditures 15-22'!K182</f>
        <v>102665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102665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102665</v>
      </c>
      <c r="C1388" s="2" t="s">
        <v>569</v>
      </c>
      <c r="D1388" s="2" t="str">
        <f t="shared" si="20"/>
        <v>Error?</v>
      </c>
    </row>
    <row r="1389" spans="1:4" x14ac:dyDescent="0.2">
      <c r="A1389" s="5">
        <v>1328</v>
      </c>
      <c r="B1389" s="1832">
        <f>'Expenditures 15-22'!K211</f>
        <v>-34714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855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16809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409</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409</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719</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719</v>
      </c>
      <c r="C1424" s="2" t="s">
        <v>569</v>
      </c>
      <c r="D1424" s="2" t="str">
        <f t="shared" si="21"/>
        <v>Error?</v>
      </c>
    </row>
    <row r="1425" spans="1:4" x14ac:dyDescent="0.2">
      <c r="A1425" s="5">
        <v>1364</v>
      </c>
      <c r="B1425" s="1832">
        <f>'Expenditures 15-22'!D259</f>
        <v>4400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4400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6620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6103</v>
      </c>
      <c r="D1431" s="2" t="str">
        <f t="shared" si="21"/>
        <v>Error?</v>
      </c>
    </row>
    <row r="1432" spans="1:4" x14ac:dyDescent="0.2">
      <c r="A1432" s="5">
        <v>1371</v>
      </c>
      <c r="B1432" s="1832">
        <f>'Expenditures 15-22'!D267</f>
        <v>2285</v>
      </c>
      <c r="D1432" s="2" t="str">
        <f t="shared" si="21"/>
        <v>Error?</v>
      </c>
    </row>
    <row r="1433" spans="1:4" x14ac:dyDescent="0.2">
      <c r="A1433" s="5">
        <v>1372</v>
      </c>
      <c r="B1433" s="1832">
        <f>'Expenditures 15-22'!D268</f>
        <v>7869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22877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28405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45214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855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16809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409</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409</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719</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719</v>
      </c>
      <c r="C1488" s="2" t="s">
        <v>569</v>
      </c>
      <c r="D1488" s="2" t="str">
        <f t="shared" si="22"/>
        <v>Error?</v>
      </c>
    </row>
    <row r="1489" spans="1:4" x14ac:dyDescent="0.2">
      <c r="A1489" s="5">
        <v>1428</v>
      </c>
      <c r="B1489" s="1832">
        <f>'Expenditures 15-22'!K259</f>
        <v>4400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4400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6620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6103</v>
      </c>
      <c r="C1495" s="2" t="s">
        <v>569</v>
      </c>
      <c r="D1495" s="2" t="str">
        <f t="shared" si="22"/>
        <v>Error?</v>
      </c>
    </row>
    <row r="1496" spans="1:4" x14ac:dyDescent="0.2">
      <c r="A1496" s="5">
        <v>1435</v>
      </c>
      <c r="B1496" s="1832">
        <f>'Expenditures 15-22'!K267</f>
        <v>2285</v>
      </c>
      <c r="C1496" s="2" t="s">
        <v>569</v>
      </c>
      <c r="D1496" s="2" t="str">
        <f t="shared" si="22"/>
        <v>Error?</v>
      </c>
    </row>
    <row r="1497" spans="1:4" x14ac:dyDescent="0.2">
      <c r="A1497" s="5">
        <v>1436</v>
      </c>
      <c r="B1497" s="1832">
        <f>'Expenditures 15-22'!K268</f>
        <v>7869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22877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28405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45214</v>
      </c>
      <c r="C1517" s="2" t="s">
        <v>569</v>
      </c>
      <c r="D1517" s="2" t="str">
        <f t="shared" si="22"/>
        <v>Error?</v>
      </c>
    </row>
    <row r="1518" spans="1:4" x14ac:dyDescent="0.2">
      <c r="A1518" s="5">
        <v>1457</v>
      </c>
      <c r="B1518" s="1832">
        <f>'Expenditures 15-22'!K296</f>
        <v>19030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11124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1165381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1333636</v>
      </c>
      <c r="C1630" s="2" t="s">
        <v>569</v>
      </c>
      <c r="D1630" s="2" t="str">
        <f t="shared" si="24"/>
        <v>Error?</v>
      </c>
    </row>
    <row r="1631" spans="1:4" x14ac:dyDescent="0.2">
      <c r="A1631" s="5">
        <v>1570</v>
      </c>
      <c r="B1631" s="1832">
        <f>'Acct Summary 7-8'!D79</f>
        <v>101837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167977</v>
      </c>
      <c r="C1644" s="2" t="s">
        <v>569</v>
      </c>
      <c r="D1644" s="2" t="str">
        <f t="shared" si="24"/>
        <v>Error?</v>
      </c>
    </row>
    <row r="1645" spans="1:4" x14ac:dyDescent="0.2">
      <c r="A1645" s="5">
        <v>1584</v>
      </c>
      <c r="B1645" s="1832">
        <f>'Acct Summary 7-8'!E79</f>
        <v>63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35</v>
      </c>
      <c r="C1658" s="2" t="s">
        <v>569</v>
      </c>
      <c r="D1658" s="2" t="str">
        <f t="shared" si="24"/>
        <v>Error?</v>
      </c>
    </row>
    <row r="1659" spans="1:4" x14ac:dyDescent="0.2">
      <c r="A1659" s="5">
        <v>1598</v>
      </c>
      <c r="B1659" s="1832">
        <f>'Acct Summary 7-8'!F79</f>
        <v>148450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113736</v>
      </c>
      <c r="C1672" s="2" t="s">
        <v>569</v>
      </c>
      <c r="D1672" s="2" t="str">
        <f t="shared" si="25"/>
        <v>Error?</v>
      </c>
    </row>
    <row r="1673" spans="1:4" x14ac:dyDescent="0.2">
      <c r="A1673" s="5">
        <v>1612</v>
      </c>
      <c r="B1673" s="1832">
        <f>'Acct Summary 7-8'!G79</f>
        <v>27691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46721</v>
      </c>
      <c r="C1686" s="2" t="s">
        <v>569</v>
      </c>
      <c r="D1686" s="2" t="str">
        <f t="shared" si="25"/>
        <v>Error?</v>
      </c>
    </row>
    <row r="1687" spans="1:4" x14ac:dyDescent="0.2">
      <c r="A1687" s="5">
        <v>1626</v>
      </c>
      <c r="B1687" s="1832">
        <f>'Acct Summary 7-8'!H79</f>
        <v>20595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31719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593683</v>
      </c>
      <c r="C1744" s="2" t="s">
        <v>569</v>
      </c>
      <c r="D1744" s="2" t="str">
        <f t="shared" si="26"/>
        <v>Error?</v>
      </c>
    </row>
    <row r="1745" spans="1:5" x14ac:dyDescent="0.2">
      <c r="A1745" s="5">
        <v>1684</v>
      </c>
      <c r="B1745" s="1832">
        <f>'Tax Sched 23'!B5</f>
        <v>109941</v>
      </c>
      <c r="C1745" s="2" t="s">
        <v>569</v>
      </c>
      <c r="D1745" s="2" t="str">
        <f t="shared" si="26"/>
        <v>Error?</v>
      </c>
    </row>
    <row r="1746" spans="1:5" x14ac:dyDescent="0.2">
      <c r="A1746" s="5">
        <v>1685</v>
      </c>
      <c r="B1746" s="1832">
        <f>'Tax Sched 23'!B6</f>
        <v>119999</v>
      </c>
      <c r="C1746" s="2" t="s">
        <v>569</v>
      </c>
      <c r="D1746" s="2" t="str">
        <f t="shared" si="26"/>
        <v>Error?</v>
      </c>
    </row>
    <row r="1747" spans="1:5" x14ac:dyDescent="0.2">
      <c r="A1747" s="5">
        <v>1686</v>
      </c>
      <c r="B1747" s="1832">
        <f>'Tax Sched 23'!B7</f>
        <v>43977</v>
      </c>
      <c r="C1747" s="2" t="s">
        <v>569</v>
      </c>
      <c r="D1747" s="2" t="str">
        <f t="shared" si="26"/>
        <v>Error?</v>
      </c>
    </row>
    <row r="1748" spans="1:5" x14ac:dyDescent="0.2">
      <c r="A1748" s="5">
        <v>1687</v>
      </c>
      <c r="B1748" s="1832">
        <f>'Tax Sched 23'!B8</f>
        <v>26272</v>
      </c>
      <c r="C1748" s="2" t="s">
        <v>569</v>
      </c>
      <c r="D1748" s="2" t="str">
        <f t="shared" si="26"/>
        <v>Error?</v>
      </c>
    </row>
    <row r="1749" spans="1:5" x14ac:dyDescent="0.2">
      <c r="A1749" s="5">
        <v>1688</v>
      </c>
      <c r="B1749" s="1832">
        <f>'Tax Sched 23'!B10</f>
        <v>10941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10995</v>
      </c>
      <c r="C1751" s="2" t="s">
        <v>569</v>
      </c>
      <c r="D1751" s="2" t="str">
        <f t="shared" si="26"/>
        <v>Error?</v>
      </c>
    </row>
    <row r="1752" spans="1:5" x14ac:dyDescent="0.2">
      <c r="A1752" s="5">
        <v>1691</v>
      </c>
      <c r="B1752" s="1832">
        <f>'Tax Sched 23'!B11</f>
        <v>99633</v>
      </c>
      <c r="C1752" s="2" t="s">
        <v>569</v>
      </c>
      <c r="D1752" s="2" t="str">
        <f t="shared" si="26"/>
        <v>Error?</v>
      </c>
    </row>
    <row r="1753" spans="1:5" x14ac:dyDescent="0.2">
      <c r="A1753" s="5">
        <v>1692</v>
      </c>
      <c r="B1753" s="1832">
        <f>'Tax Sched 23'!B12</f>
        <v>10995</v>
      </c>
      <c r="C1753" s="2" t="s">
        <v>569</v>
      </c>
      <c r="D1753" s="2" t="str">
        <f t="shared" si="26"/>
        <v>Error?</v>
      </c>
    </row>
    <row r="1754" spans="1:5" x14ac:dyDescent="0.2">
      <c r="A1754" s="5">
        <v>1693</v>
      </c>
      <c r="B1754" s="1832">
        <f>'Tax Sched 23'!B14</f>
        <v>8797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1067949</v>
      </c>
      <c r="C1759" s="2" t="s">
        <v>569</v>
      </c>
      <c r="D1759" s="2" t="str">
        <f t="shared" si="26"/>
        <v>Error?</v>
      </c>
    </row>
    <row r="1760" spans="1:5" x14ac:dyDescent="0.2">
      <c r="A1760" s="5">
        <v>1699</v>
      </c>
      <c r="B1760" s="1832">
        <f>'Tax Sched 23'!D4</f>
        <v>593683</v>
      </c>
      <c r="C1760" s="2" t="s">
        <v>569</v>
      </c>
      <c r="D1760" s="2" t="str">
        <f t="shared" si="26"/>
        <v>Error?</v>
      </c>
    </row>
    <row r="1761" spans="1:7" x14ac:dyDescent="0.2">
      <c r="A1761" s="5">
        <v>1700</v>
      </c>
      <c r="B1761" s="1832">
        <f>'Tax Sched 23'!D5</f>
        <v>109941</v>
      </c>
      <c r="C1761" s="2" t="s">
        <v>569</v>
      </c>
      <c r="D1761" s="2" t="str">
        <f t="shared" si="26"/>
        <v>Error?</v>
      </c>
    </row>
    <row r="1762" spans="1:7" s="8" customFormat="1" x14ac:dyDescent="0.2">
      <c r="A1762" s="5">
        <v>1701</v>
      </c>
      <c r="B1762" s="1832">
        <f>'Tax Sched 23'!D6</f>
        <v>119999</v>
      </c>
      <c r="C1762" s="2" t="s">
        <v>569</v>
      </c>
      <c r="D1762" s="2" t="str">
        <f t="shared" si="26"/>
        <v>Error?</v>
      </c>
      <c r="E1762" s="9"/>
      <c r="G1762"/>
    </row>
    <row r="1763" spans="1:7" x14ac:dyDescent="0.2">
      <c r="A1763" s="5">
        <v>1702</v>
      </c>
      <c r="B1763" s="1832">
        <f>'Tax Sched 23'!D7</f>
        <v>43977</v>
      </c>
      <c r="C1763" s="2" t="s">
        <v>569</v>
      </c>
      <c r="D1763" s="2" t="str">
        <f t="shared" si="26"/>
        <v>Error?</v>
      </c>
    </row>
    <row r="1764" spans="1:7" x14ac:dyDescent="0.2">
      <c r="A1764" s="5">
        <v>1703</v>
      </c>
      <c r="B1764" s="1832">
        <f>'Tax Sched 23'!D8</f>
        <v>26272</v>
      </c>
      <c r="C1764" s="2" t="s">
        <v>569</v>
      </c>
      <c r="D1764" s="2" t="str">
        <f t="shared" si="26"/>
        <v>Error?</v>
      </c>
    </row>
    <row r="1765" spans="1:7" x14ac:dyDescent="0.2">
      <c r="A1765" s="5">
        <v>1704</v>
      </c>
      <c r="B1765" s="1832">
        <f>'Tax Sched 23'!D10</f>
        <v>10941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10995</v>
      </c>
      <c r="C1767" s="2" t="s">
        <v>569</v>
      </c>
      <c r="D1767" s="2" t="str">
        <f t="shared" si="26"/>
        <v>Error?</v>
      </c>
    </row>
    <row r="1768" spans="1:7" x14ac:dyDescent="0.2">
      <c r="A1768" s="5">
        <v>1707</v>
      </c>
      <c r="B1768" s="1832">
        <f>'Tax Sched 23'!D11</f>
        <v>99633</v>
      </c>
      <c r="C1768" s="2" t="s">
        <v>569</v>
      </c>
      <c r="D1768" s="2" t="str">
        <f t="shared" si="26"/>
        <v>Error?</v>
      </c>
    </row>
    <row r="1769" spans="1:7" x14ac:dyDescent="0.2">
      <c r="A1769" s="5">
        <v>1708</v>
      </c>
      <c r="B1769" s="1832">
        <f>'Tax Sched 23'!D12</f>
        <v>10995</v>
      </c>
      <c r="C1769" s="2" t="s">
        <v>569</v>
      </c>
      <c r="D1769" s="2" t="str">
        <f t="shared" si="26"/>
        <v>Error?</v>
      </c>
    </row>
    <row r="1770" spans="1:7" x14ac:dyDescent="0.2">
      <c r="A1770" s="5">
        <v>1709</v>
      </c>
      <c r="B1770" s="1832">
        <f>'Tax Sched 23'!D14</f>
        <v>8797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1067949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636824</v>
      </c>
      <c r="C1792" s="2" t="s">
        <v>569</v>
      </c>
      <c r="D1792" s="2" t="str">
        <f t="shared" si="27"/>
        <v>Error?</v>
      </c>
    </row>
    <row r="1793" spans="1:4" x14ac:dyDescent="0.2">
      <c r="A1793" s="5">
        <v>1732</v>
      </c>
      <c r="B1793" s="1832">
        <f>'Tax Sched 23'!F5</f>
        <v>117930</v>
      </c>
      <c r="C1793" s="2" t="s">
        <v>569</v>
      </c>
      <c r="D1793" s="2" t="str">
        <f t="shared" si="27"/>
        <v>Error?</v>
      </c>
    </row>
    <row r="1794" spans="1:4" x14ac:dyDescent="0.2">
      <c r="A1794" s="5">
        <v>1733</v>
      </c>
      <c r="B1794" s="1832">
        <f>'Tax Sched 23'!F6</f>
        <v>121034</v>
      </c>
      <c r="C1794" s="2" t="s">
        <v>569</v>
      </c>
      <c r="D1794" s="2" t="str">
        <f t="shared" si="27"/>
        <v>Error?</v>
      </c>
    </row>
    <row r="1795" spans="1:4" x14ac:dyDescent="0.2">
      <c r="A1795" s="5">
        <v>1734</v>
      </c>
      <c r="B1795" s="1832">
        <f>'Tax Sched 23'!F7</f>
        <v>47172</v>
      </c>
      <c r="C1795" s="2" t="s">
        <v>569</v>
      </c>
      <c r="D1795" s="2" t="str">
        <f t="shared" si="27"/>
        <v>Error?</v>
      </c>
    </row>
    <row r="1796" spans="1:4" x14ac:dyDescent="0.2">
      <c r="A1796" s="5">
        <v>1735</v>
      </c>
      <c r="B1796" s="1832">
        <f>'Tax Sched 23'!F8</f>
        <v>23688</v>
      </c>
      <c r="C1796" s="2" t="s">
        <v>569</v>
      </c>
      <c r="D1796" s="2" t="str">
        <f t="shared" si="27"/>
        <v>Error?</v>
      </c>
    </row>
    <row r="1797" spans="1:4" x14ac:dyDescent="0.2">
      <c r="A1797" s="5">
        <v>1736</v>
      </c>
      <c r="B1797" s="1832">
        <f>'Tax Sched 23'!F10</f>
        <v>11793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11793</v>
      </c>
      <c r="C1799" s="2" t="s">
        <v>569</v>
      </c>
      <c r="D1799" s="2" t="str">
        <f t="shared" si="27"/>
        <v>Error?</v>
      </c>
    </row>
    <row r="1800" spans="1:4" x14ac:dyDescent="0.2">
      <c r="A1800" s="5">
        <v>1739</v>
      </c>
      <c r="B1800" s="1832">
        <f>'Tax Sched 23'!F11</f>
        <v>108725</v>
      </c>
      <c r="C1800" s="2" t="s">
        <v>569</v>
      </c>
      <c r="D1800" s="2" t="str">
        <f t="shared" si="27"/>
        <v>Error?</v>
      </c>
    </row>
    <row r="1801" spans="1:4" x14ac:dyDescent="0.2">
      <c r="A1801" s="5">
        <v>1740</v>
      </c>
      <c r="B1801" s="1832">
        <f>'Tax Sched 23'!F12</f>
        <v>11793</v>
      </c>
      <c r="C1801" s="2" t="s">
        <v>569</v>
      </c>
      <c r="D1801" s="2" t="str">
        <f t="shared" si="27"/>
        <v>Error?</v>
      </c>
    </row>
    <row r="1802" spans="1:4" x14ac:dyDescent="0.2">
      <c r="A1802" s="5">
        <v>1741</v>
      </c>
      <c r="B1802" s="1832">
        <f>'Tax Sched 23'!F14</f>
        <v>9434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1123874</v>
      </c>
      <c r="C1807" s="2" t="s">
        <v>569</v>
      </c>
      <c r="D1807" s="2" t="str">
        <f t="shared" si="27"/>
        <v>Error?</v>
      </c>
    </row>
    <row r="1808" spans="1:4" x14ac:dyDescent="0.2">
      <c r="A1808" s="5">
        <v>1747</v>
      </c>
      <c r="B1808" s="1832">
        <f>'Tax Sched 23'!E4</f>
        <v>636824</v>
      </c>
      <c r="D1808" s="2" t="str">
        <f t="shared" si="27"/>
        <v>Error?</v>
      </c>
    </row>
    <row r="1809" spans="1:4" x14ac:dyDescent="0.2">
      <c r="A1809" s="5">
        <v>1748</v>
      </c>
      <c r="B1809" s="1832">
        <f>'Tax Sched 23'!E5</f>
        <v>117930</v>
      </c>
      <c r="D1809" s="2" t="str">
        <f t="shared" si="27"/>
        <v>Error?</v>
      </c>
    </row>
    <row r="1810" spans="1:4" x14ac:dyDescent="0.2">
      <c r="A1810" s="5">
        <v>1749</v>
      </c>
      <c r="B1810" s="1832">
        <f>'Tax Sched 23'!E6</f>
        <v>121034</v>
      </c>
      <c r="D1810" s="2" t="str">
        <f t="shared" si="27"/>
        <v>Error?</v>
      </c>
    </row>
    <row r="1811" spans="1:4" x14ac:dyDescent="0.2">
      <c r="A1811" s="5">
        <v>1750</v>
      </c>
      <c r="B1811" s="1832">
        <f>'Tax Sched 23'!E7</f>
        <v>47172</v>
      </c>
      <c r="D1811" s="2" t="str">
        <f t="shared" si="27"/>
        <v>Error?</v>
      </c>
    </row>
    <row r="1812" spans="1:4" x14ac:dyDescent="0.2">
      <c r="A1812" s="5">
        <v>1751</v>
      </c>
      <c r="B1812" s="1832">
        <f>'Tax Sched 23'!E8</f>
        <v>23688</v>
      </c>
      <c r="D1812" s="2" t="str">
        <f t="shared" si="27"/>
        <v>Error?</v>
      </c>
    </row>
    <row r="1813" spans="1:4" x14ac:dyDescent="0.2">
      <c r="A1813" s="5">
        <v>1752</v>
      </c>
      <c r="B1813" s="1832">
        <f>'Tax Sched 23'!E10</f>
        <v>11793</v>
      </c>
      <c r="D1813" s="2" t="str">
        <f t="shared" si="27"/>
        <v>Error?</v>
      </c>
    </row>
    <row r="1814" spans="1:4" x14ac:dyDescent="0.2">
      <c r="A1814" s="10">
        <v>1753</v>
      </c>
      <c r="B1814" s="1832"/>
      <c r="D1814" s="2" t="str">
        <f t="shared" si="27"/>
        <v>OK</v>
      </c>
    </row>
    <row r="1815" spans="1:4" x14ac:dyDescent="0.2">
      <c r="A1815" s="5">
        <v>1754</v>
      </c>
      <c r="B1815" s="1832">
        <f>'Tax Sched 23'!E9</f>
        <v>11793</v>
      </c>
      <c r="D1815" s="2" t="str">
        <f t="shared" si="27"/>
        <v>Error?</v>
      </c>
    </row>
    <row r="1816" spans="1:4" x14ac:dyDescent="0.2">
      <c r="A1816" s="5">
        <v>1755</v>
      </c>
      <c r="B1816" s="1832">
        <f>'Tax Sched 23'!E11</f>
        <v>108725</v>
      </c>
      <c r="D1816" s="2" t="str">
        <f t="shared" si="27"/>
        <v>Error?</v>
      </c>
    </row>
    <row r="1817" spans="1:4" x14ac:dyDescent="0.2">
      <c r="A1817" s="5">
        <v>1756</v>
      </c>
      <c r="B1817" s="1832">
        <f>'Tax Sched 23'!E12</f>
        <v>11793</v>
      </c>
      <c r="D1817" s="2" t="str">
        <f t="shared" si="27"/>
        <v>Error?</v>
      </c>
    </row>
    <row r="1818" spans="1:4" x14ac:dyDescent="0.2">
      <c r="A1818" s="5">
        <v>1757</v>
      </c>
      <c r="B1818" s="1832">
        <f>'Tax Sched 23'!E14</f>
        <v>9434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1123874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410000</v>
      </c>
      <c r="C1939" s="2" t="s">
        <v>569</v>
      </c>
      <c r="D1939" s="2" t="str">
        <f t="shared" si="29"/>
        <v>Error?</v>
      </c>
    </row>
    <row r="1940" spans="1:5" x14ac:dyDescent="0.2">
      <c r="A1940" s="5">
        <v>1879</v>
      </c>
      <c r="B1940" s="1832">
        <f>'Short-Term Long-Term Debt 24'!F49</f>
        <v>1148300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6010</v>
      </c>
      <c r="D2008" s="2" t="str">
        <f t="shared" si="30"/>
        <v>Error?</v>
      </c>
    </row>
    <row r="2009" spans="1:4" x14ac:dyDescent="0.2">
      <c r="A2009" s="5">
        <v>1948</v>
      </c>
      <c r="B2009" s="1832">
        <f>'Cap Outlay Deprec 26'!C8</f>
        <v>521835</v>
      </c>
      <c r="D2009" s="2" t="str">
        <f t="shared" si="30"/>
        <v>Error?</v>
      </c>
    </row>
    <row r="2010" spans="1:4" x14ac:dyDescent="0.2">
      <c r="A2010" s="5">
        <v>1949</v>
      </c>
      <c r="B2010" s="1832">
        <f>'Cap Outlay Deprec 26'!C10</f>
        <v>735960</v>
      </c>
      <c r="D2010" s="2" t="str">
        <f t="shared" si="30"/>
        <v>Error?</v>
      </c>
    </row>
    <row r="2011" spans="1:4" x14ac:dyDescent="0.2">
      <c r="A2011" s="5">
        <v>1950</v>
      </c>
      <c r="B2011" s="1832">
        <f>'Cap Outlay Deprec 26'!C12</f>
        <v>4286</v>
      </c>
      <c r="D2011" s="2" t="str">
        <f t="shared" si="30"/>
        <v>Error?</v>
      </c>
    </row>
    <row r="2012" spans="1:4" x14ac:dyDescent="0.2">
      <c r="A2012" s="5">
        <v>1951</v>
      </c>
      <c r="B2012" s="1832">
        <f>'Cap Outlay Deprec 26'!C13</f>
        <v>105325</v>
      </c>
      <c r="D2012" s="2" t="str">
        <f t="shared" si="30"/>
        <v>Error?</v>
      </c>
    </row>
    <row r="2013" spans="1:4" x14ac:dyDescent="0.2">
      <c r="A2013" s="5">
        <v>1952</v>
      </c>
      <c r="B2013" s="1832">
        <f>'Cap Outlay Deprec 26'!C16</f>
        <v>1450022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15668</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15668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6010</v>
      </c>
      <c r="C2026" s="2" t="s">
        <v>569</v>
      </c>
      <c r="D2026" s="2" t="str">
        <f t="shared" si="30"/>
        <v>Error?</v>
      </c>
    </row>
    <row r="2027" spans="1:4" x14ac:dyDescent="0.2">
      <c r="A2027" s="5">
        <v>1966</v>
      </c>
      <c r="B2027" s="1832">
        <f>'Cap Outlay Deprec 26'!F8</f>
        <v>521835</v>
      </c>
      <c r="C2027" s="2" t="s">
        <v>569</v>
      </c>
      <c r="D2027" s="2" t="str">
        <f t="shared" si="30"/>
        <v>Error?</v>
      </c>
    </row>
    <row r="2028" spans="1:4" x14ac:dyDescent="0.2">
      <c r="A2028" s="5">
        <v>1967</v>
      </c>
      <c r="B2028" s="1832">
        <f>'Cap Outlay Deprec 26'!F10</f>
        <v>751628</v>
      </c>
      <c r="C2028" s="2" t="s">
        <v>569</v>
      </c>
      <c r="D2028" s="2" t="str">
        <f t="shared" si="30"/>
        <v>Error?</v>
      </c>
    </row>
    <row r="2029" spans="1:4" x14ac:dyDescent="0.2">
      <c r="A2029" s="5">
        <v>1968</v>
      </c>
      <c r="B2029" s="1832">
        <f>'Cap Outlay Deprec 26'!F12</f>
        <v>4286</v>
      </c>
      <c r="C2029" s="2" t="s">
        <v>569</v>
      </c>
      <c r="D2029" s="2" t="str">
        <f t="shared" si="30"/>
        <v>Error?</v>
      </c>
    </row>
    <row r="2030" spans="1:4" x14ac:dyDescent="0.2">
      <c r="A2030" s="5">
        <v>1969</v>
      </c>
      <c r="B2030" s="1832">
        <f>'Cap Outlay Deprec 26'!F13</f>
        <v>105325</v>
      </c>
      <c r="C2030" s="2" t="s">
        <v>569</v>
      </c>
      <c r="D2030" s="2" t="str">
        <f t="shared" si="30"/>
        <v>Error?</v>
      </c>
    </row>
    <row r="2031" spans="1:4" x14ac:dyDescent="0.2">
      <c r="A2031" s="5">
        <v>1970</v>
      </c>
      <c r="B2031" s="1832">
        <f>'Cap Outlay Deprec 26'!F16</f>
        <v>1465690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235119</v>
      </c>
      <c r="D2033" s="2" t="str">
        <f t="shared" si="30"/>
        <v>Error?</v>
      </c>
    </row>
    <row r="2034" spans="1:4" x14ac:dyDescent="0.2">
      <c r="A2034" s="5">
        <v>1973</v>
      </c>
      <c r="B2034" s="1832">
        <f>'Cap Outlay Deprec 26'!H10</f>
        <v>468737</v>
      </c>
      <c r="D2034" s="2" t="str">
        <f t="shared" si="30"/>
        <v>Error?</v>
      </c>
    </row>
    <row r="2035" spans="1:4" x14ac:dyDescent="0.2">
      <c r="A2035" s="5">
        <v>1974</v>
      </c>
      <c r="B2035" s="1832">
        <f>'Cap Outlay Deprec 26'!H12</f>
        <v>4286</v>
      </c>
      <c r="D2035" s="2" t="str">
        <f t="shared" si="30"/>
        <v>Error?</v>
      </c>
    </row>
    <row r="2036" spans="1:4" x14ac:dyDescent="0.2">
      <c r="A2036" s="5">
        <v>1975</v>
      </c>
      <c r="B2036" s="1832">
        <f>'Cap Outlay Deprec 26'!H13</f>
        <v>105325</v>
      </c>
      <c r="D2036" s="2" t="str">
        <f t="shared" si="30"/>
        <v>Error?</v>
      </c>
    </row>
    <row r="2037" spans="1:4" x14ac:dyDescent="0.2">
      <c r="A2037" s="5">
        <v>1976</v>
      </c>
      <c r="B2037" s="1832">
        <f>'Cap Outlay Deprec 26'!H16</f>
        <v>869293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17917</v>
      </c>
      <c r="D2039" s="2" t="str">
        <f t="shared" si="30"/>
        <v>Error?</v>
      </c>
    </row>
    <row r="2040" spans="1:4" x14ac:dyDescent="0.2">
      <c r="A2040" s="5">
        <v>1979</v>
      </c>
      <c r="B2040" s="1832">
        <f>'Cap Outlay Deprec 26'!I10</f>
        <v>33057</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57440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253036</v>
      </c>
      <c r="C2051" s="2" t="s">
        <v>569</v>
      </c>
      <c r="D2051" s="2" t="str">
        <f t="shared" si="31"/>
        <v>Error?</v>
      </c>
    </row>
    <row r="2052" spans="1:4" x14ac:dyDescent="0.2">
      <c r="A2052" s="5">
        <v>1991</v>
      </c>
      <c r="B2052" s="1832">
        <f>'Cap Outlay Deprec 26'!K10</f>
        <v>501794</v>
      </c>
      <c r="C2052" s="2" t="s">
        <v>569</v>
      </c>
      <c r="D2052" s="2" t="str">
        <f t="shared" si="31"/>
        <v>Error?</v>
      </c>
    </row>
    <row r="2053" spans="1:4" x14ac:dyDescent="0.2">
      <c r="A2053" s="5">
        <v>1992</v>
      </c>
      <c r="B2053" s="1832">
        <f>'Cap Outlay Deprec 26'!K12</f>
        <v>4286</v>
      </c>
      <c r="C2053" s="2" t="s">
        <v>569</v>
      </c>
      <c r="D2053" s="2" t="str">
        <f t="shared" si="31"/>
        <v>Error?</v>
      </c>
    </row>
    <row r="2054" spans="1:4" x14ac:dyDescent="0.2">
      <c r="A2054" s="5">
        <v>1993</v>
      </c>
      <c r="B2054" s="1832">
        <f>'Cap Outlay Deprec 26'!K13</f>
        <v>105325</v>
      </c>
      <c r="C2054" s="2" t="s">
        <v>569</v>
      </c>
      <c r="D2054" s="2" t="str">
        <f t="shared" si="31"/>
        <v>Error?</v>
      </c>
    </row>
    <row r="2055" spans="1:4" x14ac:dyDescent="0.2">
      <c r="A2055" s="5">
        <v>1994</v>
      </c>
      <c r="B2055" s="1832">
        <f>'Cap Outlay Deprec 26'!K16</f>
        <v>926733</v>
      </c>
      <c r="C2055" s="2" t="s">
        <v>569</v>
      </c>
      <c r="D2055" s="2" t="str">
        <f t="shared" si="31"/>
        <v>Error?</v>
      </c>
    </row>
    <row r="2056" spans="1:4" x14ac:dyDescent="0.2">
      <c r="A2056" s="5">
        <v>1995</v>
      </c>
      <c r="B2056" s="1832">
        <f>'Cap Outlay Deprec 26'!L5</f>
        <v>6010</v>
      </c>
      <c r="C2056" s="2" t="s">
        <v>569</v>
      </c>
      <c r="D2056" s="2" t="str">
        <f t="shared" si="31"/>
        <v>Error?</v>
      </c>
    </row>
    <row r="2057" spans="1:4" x14ac:dyDescent="0.2">
      <c r="A2057" s="5">
        <v>1996</v>
      </c>
      <c r="B2057" s="1832">
        <f>'Cap Outlay Deprec 26'!L8</f>
        <v>268799</v>
      </c>
      <c r="C2057" s="2" t="s">
        <v>569</v>
      </c>
      <c r="D2057" s="2" t="str">
        <f t="shared" si="31"/>
        <v>Error?</v>
      </c>
    </row>
    <row r="2058" spans="1:4" x14ac:dyDescent="0.2">
      <c r="A2058" s="5">
        <v>1997</v>
      </c>
      <c r="B2058" s="1832">
        <f>'Cap Outlay Deprec 26'!L10</f>
        <v>249834</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538957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560773</v>
      </c>
      <c r="C2088" s="2" t="s">
        <v>569</v>
      </c>
      <c r="D2088" s="2" t="str">
        <f t="shared" si="31"/>
        <v>Error?</v>
      </c>
    </row>
    <row r="2089" spans="1:4" x14ac:dyDescent="0.2">
      <c r="A2089" s="5">
        <v>2028</v>
      </c>
      <c r="B2089" s="1832">
        <f>'Expenditures 15-22'!K92</f>
        <v>82212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46721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35</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31719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794457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1021572</v>
      </c>
      <c r="C2553" s="2" t="s">
        <v>569</v>
      </c>
      <c r="D2553" s="2" t="str">
        <f t="shared" si="38"/>
        <v>Error?</v>
      </c>
    </row>
    <row r="2554" spans="1:4" x14ac:dyDescent="0.2">
      <c r="A2554" s="5">
        <v>2493</v>
      </c>
      <c r="B2554" s="1832">
        <f>'Acct Summary 7-8'!C7</f>
        <v>220759</v>
      </c>
      <c r="C2554" s="2" t="s">
        <v>569</v>
      </c>
      <c r="D2554" s="2" t="str">
        <f t="shared" si="38"/>
        <v>Error?</v>
      </c>
    </row>
    <row r="2555" spans="1:4" x14ac:dyDescent="0.2">
      <c r="A2555" s="5">
        <v>2494</v>
      </c>
      <c r="B2555" s="1832">
        <f>'Acct Summary 7-8'!C8</f>
        <v>2036788</v>
      </c>
      <c r="C2555" s="2" t="s">
        <v>569</v>
      </c>
      <c r="D2555" s="2" t="str">
        <f t="shared" si="38"/>
        <v>Error?</v>
      </c>
    </row>
    <row r="2556" spans="1:4" x14ac:dyDescent="0.2">
      <c r="A2556" s="5">
        <v>2495</v>
      </c>
      <c r="B2556" s="1832">
        <f>'Acct Summary 7-8'!C12</f>
        <v>789515</v>
      </c>
      <c r="C2556" s="2" t="s">
        <v>569</v>
      </c>
      <c r="D2556" s="2" t="str">
        <f t="shared" si="38"/>
        <v>Error?</v>
      </c>
    </row>
    <row r="2557" spans="1:4" x14ac:dyDescent="0.2">
      <c r="A2557" s="5">
        <v>2496</v>
      </c>
      <c r="B2557" s="1832">
        <f>'Acct Summary 7-8'!C13</f>
        <v>436033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642985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1868533</v>
      </c>
      <c r="C2561" s="2" t="s">
        <v>569</v>
      </c>
      <c r="D2561" s="2" t="str">
        <f t="shared" si="39"/>
        <v>Error?</v>
      </c>
    </row>
    <row r="2562" spans="1:4" x14ac:dyDescent="0.2">
      <c r="A2562" s="5">
        <v>2501</v>
      </c>
      <c r="B2562" s="1832">
        <f>'Acct Summary 7-8'!C20</f>
        <v>168255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120566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170566</v>
      </c>
      <c r="C2568" s="2" t="s">
        <v>569</v>
      </c>
      <c r="D2568" s="2" t="str">
        <f t="shared" si="39"/>
        <v>Error?</v>
      </c>
    </row>
    <row r="2569" spans="1:4" x14ac:dyDescent="0.2">
      <c r="A2569" s="5">
        <v>2508</v>
      </c>
      <c r="B2569" s="1832">
        <f>'Acct Summary 7-8'!D13</f>
        <v>104426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104426</v>
      </c>
      <c r="C2573" s="2" t="s">
        <v>569</v>
      </c>
      <c r="D2573" s="2" t="str">
        <f t="shared" si="39"/>
        <v>Error?</v>
      </c>
    </row>
    <row r="2574" spans="1:4" x14ac:dyDescent="0.2">
      <c r="A2574" s="5">
        <v>2513</v>
      </c>
      <c r="B2574" s="1832">
        <f>'Acct Summary 7-8'!D20</f>
        <v>66140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45202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22749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67951</v>
      </c>
      <c r="C2595" s="2" t="s">
        <v>569</v>
      </c>
      <c r="D2595" s="2" t="str">
        <f t="shared" si="39"/>
        <v>Error?</v>
      </c>
    </row>
    <row r="2596" spans="1:4" x14ac:dyDescent="0.2">
      <c r="A2596" s="5">
        <v>2535</v>
      </c>
      <c r="B2596" s="1832">
        <f>'Acct Summary 7-8'!F13</f>
        <v>102665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102665</v>
      </c>
      <c r="C2600" s="2" t="s">
        <v>569</v>
      </c>
      <c r="D2600" s="2" t="str">
        <f t="shared" si="39"/>
        <v>Error?</v>
      </c>
    </row>
    <row r="2601" spans="1:4" x14ac:dyDescent="0.2">
      <c r="A2601" s="5">
        <v>2540</v>
      </c>
      <c r="B2601" s="1832">
        <f>'Acct Summary 7-8'!F20</f>
        <v>-34714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64244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64244</v>
      </c>
      <c r="C2606" s="2" t="s">
        <v>569</v>
      </c>
      <c r="D2606" s="2" t="str">
        <f t="shared" si="39"/>
        <v>Error?</v>
      </c>
    </row>
    <row r="2607" spans="1:4" x14ac:dyDescent="0.2">
      <c r="A2607" s="5">
        <v>2546</v>
      </c>
      <c r="B2607" s="1832">
        <f>'Acct Summary 7-8'!G12</f>
        <v>16809</v>
      </c>
      <c r="C2607" s="2" t="s">
        <v>569</v>
      </c>
      <c r="D2607" s="2" t="str">
        <f t="shared" si="39"/>
        <v>Error?</v>
      </c>
    </row>
    <row r="2608" spans="1:4" x14ac:dyDescent="0.2">
      <c r="A2608" s="5">
        <v>2547</v>
      </c>
      <c r="B2608" s="1832">
        <f>'Acct Summary 7-8'!G13</f>
        <v>28405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45214</v>
      </c>
      <c r="C2612" s="2" t="s">
        <v>569</v>
      </c>
      <c r="D2612" s="2" t="str">
        <f t="shared" si="39"/>
        <v>Error?</v>
      </c>
    </row>
    <row r="2613" spans="1:4" x14ac:dyDescent="0.2">
      <c r="A2613" s="5">
        <v>2552</v>
      </c>
      <c r="B2613" s="1832">
        <f>'Acct Summary 7-8'!G20</f>
        <v>19030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120098</v>
      </c>
      <c r="C2630" s="2" t="s">
        <v>569</v>
      </c>
      <c r="D2630" s="2" t="str">
        <f t="shared" si="40"/>
        <v>Error?</v>
      </c>
    </row>
    <row r="2631" spans="1:4" x14ac:dyDescent="0.2">
      <c r="A2631" s="5">
        <v>2570</v>
      </c>
      <c r="B2631" s="1832">
        <f>'Acct Summary 7-8'!E6</f>
        <v>3300</v>
      </c>
      <c r="C2631" s="2" t="s">
        <v>569</v>
      </c>
      <c r="D2631" s="2" t="str">
        <f t="shared" si="40"/>
        <v>Error?</v>
      </c>
    </row>
    <row r="2632" spans="1:4" x14ac:dyDescent="0.2">
      <c r="A2632" s="5">
        <v>2571</v>
      </c>
      <c r="B2632" s="1832">
        <f>'Acct Summary 7-8'!E8</f>
        <v>123398</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421363</v>
      </c>
      <c r="C2634" s="2" t="s">
        <v>569</v>
      </c>
      <c r="D2634" s="2" t="str">
        <f t="shared" si="40"/>
        <v>Error?</v>
      </c>
    </row>
    <row r="2635" spans="1:4" x14ac:dyDescent="0.2">
      <c r="A2635" s="5">
        <v>2574</v>
      </c>
      <c r="B2635" s="1832">
        <f>'Acct Summary 7-8'!E17</f>
        <v>421363</v>
      </c>
      <c r="C2635" s="2" t="s">
        <v>569</v>
      </c>
      <c r="D2635" s="2" t="str">
        <f t="shared" si="40"/>
        <v>Error?</v>
      </c>
    </row>
    <row r="2636" spans="1:4" x14ac:dyDescent="0.2">
      <c r="A2636" s="5">
        <v>2575</v>
      </c>
      <c r="B2636" s="1832">
        <f>'Acct Summary 7-8'!E20</f>
        <v>-297965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11124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11124</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11124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560773</v>
      </c>
      <c r="C2789" s="2" t="s">
        <v>569</v>
      </c>
      <c r="D2789" s="2" t="str">
        <f t="shared" si="42"/>
        <v>Error?</v>
      </c>
    </row>
    <row r="2790" spans="1:4" x14ac:dyDescent="0.2">
      <c r="A2790" s="5">
        <v>2729</v>
      </c>
      <c r="B2790" s="1832">
        <f>'Expenditures 15-22'!E102</f>
        <v>560773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1277652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32989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1277652</v>
      </c>
      <c r="D2912" s="2" t="str">
        <f t="shared" si="44"/>
        <v>Error?</v>
      </c>
    </row>
    <row r="2913" spans="1:4" x14ac:dyDescent="0.2">
      <c r="A2913" s="5">
        <v>2852</v>
      </c>
      <c r="B2913" s="1832">
        <f>'Assets-Liab 5-6'!I41</f>
        <v>1277652</v>
      </c>
      <c r="C2913" s="2" t="s">
        <v>569</v>
      </c>
      <c r="D2913" s="2" t="str">
        <f t="shared" si="44"/>
        <v>Error?</v>
      </c>
    </row>
    <row r="2914" spans="1:4" x14ac:dyDescent="0.2">
      <c r="A2914" s="5">
        <v>2853</v>
      </c>
      <c r="B2914" s="1832">
        <f>'Assets-Liab 5-6'!L33</f>
        <v>32989</v>
      </c>
      <c r="D2914" s="2" t="str">
        <f t="shared" si="44"/>
        <v>Error?</v>
      </c>
    </row>
    <row r="2915" spans="1:4" x14ac:dyDescent="0.2">
      <c r="A2915" s="10">
        <v>2854</v>
      </c>
      <c r="B2915" s="1832"/>
      <c r="D2915" s="2" t="str">
        <f t="shared" si="44"/>
        <v>OK</v>
      </c>
    </row>
    <row r="2916" spans="1:4" x14ac:dyDescent="0.2">
      <c r="A2916" s="5">
        <v>2855</v>
      </c>
      <c r="B2916" s="1832">
        <f>'Assets-Liab 5-6'!L34</f>
        <v>32989</v>
      </c>
      <c r="C2916" s="2" t="s">
        <v>569</v>
      </c>
      <c r="D2916" s="2" t="str">
        <f t="shared" si="44"/>
        <v>Error?</v>
      </c>
    </row>
    <row r="2917" spans="1:4" x14ac:dyDescent="0.2">
      <c r="A2917" s="5">
        <v>2856</v>
      </c>
      <c r="B2917" s="1832">
        <f>'Assets-Liab 5-6'!L41</f>
        <v>32989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470858</v>
      </c>
      <c r="D2949" s="2" t="str">
        <f t="shared" si="45"/>
        <v>Error?</v>
      </c>
    </row>
    <row r="2950" spans="1:4" x14ac:dyDescent="0.2">
      <c r="A2950" s="5">
        <v>2889</v>
      </c>
      <c r="B2950" s="1832">
        <f>'Expenditures 15-22'!E79</f>
        <v>89314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601</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470858</v>
      </c>
      <c r="C2973" s="2" t="s">
        <v>569</v>
      </c>
      <c r="D2973" s="2" t="str">
        <f t="shared" si="45"/>
        <v>Error?</v>
      </c>
    </row>
    <row r="2974" spans="1:4" x14ac:dyDescent="0.2">
      <c r="A2974" s="5">
        <v>2913</v>
      </c>
      <c r="B2974" s="1832">
        <f>'Expenditures 15-22'!K79</f>
        <v>89314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601</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64263</v>
      </c>
      <c r="D3055" s="2" t="str">
        <f t="shared" si="46"/>
        <v>Error?</v>
      </c>
    </row>
    <row r="3056" spans="1:4" x14ac:dyDescent="0.2">
      <c r="A3056" s="5">
        <v>2995</v>
      </c>
      <c r="B3056" s="1832">
        <f>'Expenditures 15-22'!D10</f>
        <v>13284</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77547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830</v>
      </c>
      <c r="D3064" s="2" t="str">
        <f t="shared" si="46"/>
        <v>Error?</v>
      </c>
    </row>
    <row r="3065" spans="1:4" x14ac:dyDescent="0.2">
      <c r="A3065" s="5">
        <v>3004</v>
      </c>
      <c r="B3065" s="1832">
        <f>'Expenditures 15-22'!K219</f>
        <v>830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297937</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12186</v>
      </c>
      <c r="C3225" s="2" t="s">
        <v>569</v>
      </c>
      <c r="D3225" s="2" t="str">
        <f t="shared" si="49"/>
        <v>Error?</v>
      </c>
    </row>
    <row r="3226" spans="1:4" x14ac:dyDescent="0.2">
      <c r="A3226" s="5">
        <v>3165</v>
      </c>
      <c r="B3226" s="1832">
        <f>'Acct Summary 7-8'!I8</f>
        <v>12186</v>
      </c>
      <c r="C3226" s="2" t="s">
        <v>569</v>
      </c>
      <c r="D3226" s="2" t="str">
        <f t="shared" si="49"/>
        <v>Error?</v>
      </c>
    </row>
    <row r="3227" spans="1:4" x14ac:dyDescent="0.2">
      <c r="A3227" s="5">
        <v>3166</v>
      </c>
      <c r="B3227" s="1832">
        <f>'Acct Summary 7-8'!I20</f>
        <v>12186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168255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66140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-34714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19030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297937</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297937</v>
      </c>
      <c r="C3277" s="2" t="s">
        <v>569</v>
      </c>
      <c r="D3277" s="2" t="str">
        <f t="shared" si="50"/>
        <v>Error?</v>
      </c>
    </row>
    <row r="3278" spans="1:4" x14ac:dyDescent="0.2">
      <c r="A3278" s="5">
        <v>3217</v>
      </c>
      <c r="B3278" s="1832">
        <f>'Acct Summary 7-8'!E78</f>
        <v>-28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11124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850363</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850363</v>
      </c>
      <c r="C3319" s="2" t="s">
        <v>569</v>
      </c>
      <c r="D3319" s="2" t="str">
        <f t="shared" si="50"/>
        <v>Error?</v>
      </c>
    </row>
    <row r="3320" spans="1:4" x14ac:dyDescent="0.2">
      <c r="A3320" s="5">
        <v>3259</v>
      </c>
      <c r="B3320" s="1832">
        <f>'Acct Summary 7-8'!I78</f>
        <v>862549</v>
      </c>
      <c r="C3320" s="2" t="s">
        <v>569</v>
      </c>
      <c r="D3320" s="2" t="str">
        <f t="shared" si="50"/>
        <v>Error?</v>
      </c>
    </row>
    <row r="3321" spans="1:4" x14ac:dyDescent="0.2">
      <c r="A3321" s="5">
        <v>3260</v>
      </c>
      <c r="B3321" s="1832">
        <f>'Acct Summary 7-8'!I79</f>
        <v>415103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1277652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66337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4685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415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71437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5969</v>
      </c>
      <c r="D3387" s="2" t="str">
        <f t="shared" si="51"/>
        <v>Error?</v>
      </c>
    </row>
    <row r="3388" spans="1:4" x14ac:dyDescent="0.2">
      <c r="A3388" s="5">
        <v>3327</v>
      </c>
      <c r="B3388" s="1832">
        <f>'Expenditures 15-22'!D217</f>
        <v>4964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5969</v>
      </c>
      <c r="C3390" s="2" t="s">
        <v>569</v>
      </c>
      <c r="D3390" s="2" t="str">
        <f t="shared" si="51"/>
        <v>Error?</v>
      </c>
    </row>
    <row r="3391" spans="1:4" x14ac:dyDescent="0.2">
      <c r="A3391" s="5">
        <v>3330</v>
      </c>
      <c r="B3391" s="1832">
        <f>'Expenditures 15-22'!K217</f>
        <v>4964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770127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167977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35</v>
      </c>
      <c r="D3417" s="2" t="str">
        <f t="shared" si="52"/>
        <v>Error?</v>
      </c>
    </row>
    <row r="3418" spans="1:4" x14ac:dyDescent="0.2">
      <c r="A3418" s="10">
        <v>3357</v>
      </c>
      <c r="B3418" s="1832"/>
      <c r="D3418" s="2" t="str">
        <f t="shared" si="52"/>
        <v>OK</v>
      </c>
    </row>
    <row r="3419" spans="1:4" x14ac:dyDescent="0.2">
      <c r="A3419" s="5">
        <v>3358</v>
      </c>
      <c r="B3419" s="1832">
        <f>'Assets-Liab 5-6'!F4</f>
        <v>113736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46721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31719</v>
      </c>
      <c r="D3425" s="2" t="str">
        <f t="shared" si="52"/>
        <v>Error?</v>
      </c>
    </row>
    <row r="3426" spans="1:4" x14ac:dyDescent="0.2">
      <c r="A3426" s="10">
        <v>3365</v>
      </c>
      <c r="B3426" s="1832"/>
      <c r="D3426" s="2" t="str">
        <f t="shared" si="52"/>
        <v>OK</v>
      </c>
    </row>
    <row r="3427" spans="1:4" x14ac:dyDescent="0.2">
      <c r="A3427" s="5">
        <v>3366</v>
      </c>
      <c r="B3427" s="1832">
        <f>'Assets-Liab 5-6'!I4</f>
        <v>1277652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32989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32716</v>
      </c>
      <c r="C3446" s="2" t="s">
        <v>569</v>
      </c>
      <c r="D3446" s="2" t="str">
        <f t="shared" si="52"/>
        <v>Error?</v>
      </c>
    </row>
    <row r="3447" spans="1:4" x14ac:dyDescent="0.2">
      <c r="A3447" s="5">
        <v>3386</v>
      </c>
      <c r="B3447" s="1832">
        <f>'Tax Sched 23'!D16</f>
        <v>32716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23688</v>
      </c>
      <c r="C3449" s="2" t="s">
        <v>569</v>
      </c>
      <c r="D3449" s="2" t="str">
        <f t="shared" si="52"/>
        <v>Error?</v>
      </c>
    </row>
    <row r="3450" spans="1:4" x14ac:dyDescent="0.2">
      <c r="A3450" s="5">
        <v>3389</v>
      </c>
      <c r="B3450" s="1832">
        <f>'Tax Sched 23'!E16</f>
        <v>23688</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82129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82129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82129</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82129</v>
      </c>
      <c r="C3568" s="2" t="s">
        <v>569</v>
      </c>
      <c r="D3568" s="2" t="str">
        <f t="shared" si="54"/>
        <v>Error?</v>
      </c>
    </row>
    <row r="3569" spans="1:4" x14ac:dyDescent="0.2">
      <c r="A3569" s="5">
        <v>3508</v>
      </c>
      <c r="B3569" s="1832">
        <f>'Acct Summary 7-8'!K4</f>
        <v>11352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11352</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11352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11352</v>
      </c>
      <c r="C3588" s="2" t="s">
        <v>569</v>
      </c>
      <c r="D3588" s="2" t="str">
        <f t="shared" si="55"/>
        <v>Error?</v>
      </c>
    </row>
    <row r="3589" spans="1:4" x14ac:dyDescent="0.2">
      <c r="A3589" s="5">
        <v>3528</v>
      </c>
      <c r="B3589" s="1832">
        <f>'Acct Summary 7-8'!K79</f>
        <v>70777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82129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11352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588197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2624985</v>
      </c>
      <c r="C4122" s="2" t="s">
        <v>569</v>
      </c>
      <c r="D4122" s="2" t="str">
        <f t="shared" si="63"/>
        <v>Error?</v>
      </c>
    </row>
    <row r="4123" spans="1:4" x14ac:dyDescent="0.2">
      <c r="A4123" s="5">
        <v>4062</v>
      </c>
      <c r="B4123" s="1832">
        <f>'Acct Summary 7-8'!D10</f>
        <v>170566</v>
      </c>
      <c r="C4123" s="2" t="s">
        <v>569</v>
      </c>
      <c r="D4123" s="2" t="str">
        <f t="shared" si="63"/>
        <v>Error?</v>
      </c>
    </row>
    <row r="4124" spans="1:4" x14ac:dyDescent="0.2">
      <c r="A4124" s="5">
        <v>4063</v>
      </c>
      <c r="B4124" s="1832">
        <f>'Acct Summary 7-8'!E10</f>
        <v>123398</v>
      </c>
      <c r="C4124" s="2" t="s">
        <v>569</v>
      </c>
      <c r="D4124" s="2" t="str">
        <f t="shared" si="63"/>
        <v>Error?</v>
      </c>
    </row>
    <row r="4125" spans="1:4" x14ac:dyDescent="0.2">
      <c r="A4125" s="5">
        <v>4064</v>
      </c>
      <c r="B4125" s="1832">
        <f>'Acct Summary 7-8'!F10</f>
        <v>67951</v>
      </c>
      <c r="C4125" s="2" t="s">
        <v>569</v>
      </c>
      <c r="D4125" s="2" t="str">
        <f t="shared" si="63"/>
        <v>Error?</v>
      </c>
    </row>
    <row r="4126" spans="1:4" x14ac:dyDescent="0.2">
      <c r="A4126" s="5">
        <v>4065</v>
      </c>
      <c r="B4126" s="1832">
        <f>'Acct Summary 7-8'!G10</f>
        <v>64244</v>
      </c>
      <c r="C4126" s="2" t="s">
        <v>569</v>
      </c>
      <c r="D4126" s="2" t="str">
        <f t="shared" si="63"/>
        <v>Error?</v>
      </c>
    </row>
    <row r="4127" spans="1:4" x14ac:dyDescent="0.2">
      <c r="A4127" s="5">
        <v>4066</v>
      </c>
      <c r="B4127" s="1832">
        <f>'Acct Summary 7-8'!H10</f>
        <v>11124</v>
      </c>
      <c r="C4127" s="2" t="s">
        <v>569</v>
      </c>
      <c r="D4127" s="2" t="str">
        <f t="shared" si="63"/>
        <v>Error?</v>
      </c>
    </row>
    <row r="4128" spans="1:4" x14ac:dyDescent="0.2">
      <c r="A4128" s="5">
        <v>4067</v>
      </c>
      <c r="B4128" s="1832">
        <f>'Acct Summary 7-8'!I10</f>
        <v>12186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11352</v>
      </c>
      <c r="C4130" s="2" t="s">
        <v>569</v>
      </c>
      <c r="D4130" s="2" t="str">
        <f t="shared" si="63"/>
        <v>Error?</v>
      </c>
    </row>
    <row r="4131" spans="1:4" x14ac:dyDescent="0.2">
      <c r="A4131" s="5">
        <v>4070</v>
      </c>
      <c r="B4131" s="1832">
        <f>'Acct Summary 7-8'!C18</f>
        <v>588197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2456730</v>
      </c>
      <c r="C4136" s="2" t="s">
        <v>569</v>
      </c>
      <c r="D4136" s="2" t="str">
        <f t="shared" si="63"/>
        <v>Error?</v>
      </c>
    </row>
    <row r="4137" spans="1:4" x14ac:dyDescent="0.2">
      <c r="A4137" s="5">
        <v>4076</v>
      </c>
      <c r="B4137" s="1832">
        <f>'Acct Summary 7-8'!D19</f>
        <v>104426</v>
      </c>
      <c r="C4137" s="2" t="s">
        <v>569</v>
      </c>
      <c r="D4137" s="2" t="str">
        <f t="shared" si="63"/>
        <v>Error?</v>
      </c>
    </row>
    <row r="4138" spans="1:4" x14ac:dyDescent="0.2">
      <c r="A4138" s="5">
        <v>4077</v>
      </c>
      <c r="B4138" s="1832">
        <f>'Acct Summary 7-8'!E19</f>
        <v>421363</v>
      </c>
      <c r="C4138" s="2" t="s">
        <v>569</v>
      </c>
      <c r="D4138" s="2" t="str">
        <f t="shared" si="63"/>
        <v>Error?</v>
      </c>
    </row>
    <row r="4139" spans="1:4" x14ac:dyDescent="0.2">
      <c r="A4139" s="5">
        <v>4078</v>
      </c>
      <c r="B4139" s="1832">
        <f>'Acct Summary 7-8'!F19</f>
        <v>102665</v>
      </c>
      <c r="C4139" s="2" t="s">
        <v>569</v>
      </c>
      <c r="D4139" s="2" t="str">
        <f t="shared" si="63"/>
        <v>Error?</v>
      </c>
    </row>
    <row r="4140" spans="1:4" x14ac:dyDescent="0.2">
      <c r="A4140" s="5">
        <v>4079</v>
      </c>
      <c r="B4140" s="1832">
        <f>'Acct Summary 7-8'!G19</f>
        <v>45214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1188300</v>
      </c>
      <c r="C4171" s="2" t="s">
        <v>569</v>
      </c>
      <c r="D4171" s="2" t="str">
        <f t="shared" si="64"/>
        <v>Error?</v>
      </c>
    </row>
    <row r="4172" spans="1:4" x14ac:dyDescent="0.2">
      <c r="A4172" s="5">
        <v>4111</v>
      </c>
      <c r="B4172" s="1832">
        <f>'Short-Term Long-Term Debt 24'!J49</f>
        <v>1188300</v>
      </c>
      <c r="C4172" s="2" t="s">
        <v>569</v>
      </c>
      <c r="D4172" s="2" t="str">
        <f t="shared" si="64"/>
        <v>Error?</v>
      </c>
    </row>
    <row r="4173" spans="1:4" x14ac:dyDescent="0.2">
      <c r="A4173" s="5">
        <v>4112</v>
      </c>
      <c r="B4173" s="1832">
        <f>'Short-Term Long-Term Debt 24'!H49</f>
        <v>370000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2700</v>
      </c>
      <c r="C4265" s="2" t="s">
        <v>569</v>
      </c>
      <c r="D4265" s="2" t="str">
        <f t="shared" si="65"/>
        <v>Error?</v>
      </c>
      <c r="E4265" s="125"/>
    </row>
    <row r="4266" spans="1:5" x14ac:dyDescent="0.2">
      <c r="A4266" s="12">
        <v>4205</v>
      </c>
      <c r="B4266" s="1832">
        <f>('FP Info 3'!F10)*100000</f>
        <v>513.16</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3413</v>
      </c>
      <c r="C4268" s="2" t="s">
        <v>569</v>
      </c>
      <c r="D4268" s="2" t="str">
        <f t="shared" si="65"/>
        <v>Error?</v>
      </c>
    </row>
    <row r="4269" spans="1:5" x14ac:dyDescent="0.2">
      <c r="A4269" s="12">
        <v>4208</v>
      </c>
      <c r="B4269" s="1832">
        <f>'FP Info 3'!J16</f>
        <v>2893001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11182</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2484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39129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50000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23586081</v>
      </c>
      <c r="D4995" s="2" t="str">
        <f t="shared" si="77"/>
        <v>Error?</v>
      </c>
    </row>
    <row r="4996" spans="1:4" x14ac:dyDescent="0.2">
      <c r="A4996" s="12">
        <v>4935</v>
      </c>
      <c r="B4996" s="1832">
        <f>'FP Info 3'!H31</f>
        <v>1627439.5890000002</v>
      </c>
      <c r="D4996" s="2" t="str">
        <f t="shared" si="77"/>
        <v>Error?</v>
      </c>
    </row>
    <row r="4997" spans="1:4" x14ac:dyDescent="0.2">
      <c r="A4997" s="12">
        <v>4936</v>
      </c>
      <c r="B4997" s="1832">
        <f>'FP Info 3'!H37</f>
        <v>1188300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593683</v>
      </c>
      <c r="D5061" s="2" t="str">
        <f t="shared" si="78"/>
        <v>Error?</v>
      </c>
    </row>
    <row r="5062" spans="1:4" x14ac:dyDescent="0.2">
      <c r="A5062" s="10">
        <v>5001</v>
      </c>
      <c r="B5062" s="1832"/>
      <c r="D5062" s="2" t="str">
        <f t="shared" si="78"/>
        <v>OK</v>
      </c>
    </row>
    <row r="5063" spans="1:4" x14ac:dyDescent="0.2">
      <c r="A5063" s="5">
        <v>5002</v>
      </c>
      <c r="B5063" s="1832">
        <f>'Revenues 9-14'!C7</f>
        <v>8797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602480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113184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113184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12061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12061</v>
      </c>
      <c r="C5090" s="2" t="s">
        <v>569</v>
      </c>
      <c r="D5090" s="2" t="str">
        <f t="shared" si="78"/>
        <v>Error?</v>
      </c>
    </row>
    <row r="5091" spans="1:4" x14ac:dyDescent="0.2">
      <c r="A5091" s="5">
        <v>5030</v>
      </c>
      <c r="B5091" s="1832">
        <f>'Revenues 9-14'!C70</f>
        <v>73</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152</v>
      </c>
      <c r="D5093" s="2" t="str">
        <f t="shared" si="78"/>
        <v>Error?</v>
      </c>
    </row>
    <row r="5094" spans="1:4" x14ac:dyDescent="0.2">
      <c r="A5094" s="5">
        <v>5033</v>
      </c>
      <c r="B5094" s="1832">
        <f>'Revenues 9-14'!C73</f>
        <v>1435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16906</v>
      </c>
      <c r="C5096" s="2" t="s">
        <v>569</v>
      </c>
      <c r="D5096" s="2" t="str">
        <f t="shared" si="78"/>
        <v>Error?</v>
      </c>
    </row>
    <row r="5097" spans="1:4" x14ac:dyDescent="0.2">
      <c r="A5097" s="5">
        <v>5036</v>
      </c>
      <c r="B5097" s="1832">
        <f>'Revenues 9-14'!C77</f>
        <v>3953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77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4030</v>
      </c>
      <c r="C5102" s="2" t="s">
        <v>569</v>
      </c>
      <c r="D5102" s="2" t="str">
        <f t="shared" si="78"/>
        <v>Error?</v>
      </c>
    </row>
    <row r="5103" spans="1:4" x14ac:dyDescent="0.2">
      <c r="A5103" s="5">
        <v>5042</v>
      </c>
      <c r="B5103" s="1832">
        <f>'Revenues 9-14'!C84</f>
        <v>3160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3160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2891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451</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165</v>
      </c>
      <c r="D5119" s="2" t="str">
        <f t="shared" ref="D5119:D5182" si="79">IF(ISBLANK(B5119),"OK",IF(A5119-B5119=0,"OK","Error?"))</f>
        <v>Error?</v>
      </c>
    </row>
    <row r="5120" spans="1:4" x14ac:dyDescent="0.2">
      <c r="A5120" s="5">
        <v>5059</v>
      </c>
      <c r="B5120" s="1832">
        <f>'Revenues 9-14'!C108</f>
        <v>42636</v>
      </c>
      <c r="C5120" s="2" t="s">
        <v>569</v>
      </c>
      <c r="D5120" s="2" t="str">
        <f t="shared" si="79"/>
        <v>Error?</v>
      </c>
    </row>
    <row r="5121" spans="1:4" x14ac:dyDescent="0.2">
      <c r="A5121" s="5">
        <v>5060</v>
      </c>
      <c r="B5121" s="1832">
        <f>'Revenues 9-14'!C109</f>
        <v>794457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1008412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1008412</v>
      </c>
      <c r="C5132" s="2" t="s">
        <v>569</v>
      </c>
      <c r="D5132" s="2" t="str">
        <f t="shared" si="79"/>
        <v>Error?</v>
      </c>
    </row>
    <row r="5133" spans="1:4" x14ac:dyDescent="0.2">
      <c r="A5133" s="5">
        <v>5072</v>
      </c>
      <c r="B5133" s="1832">
        <f>'Revenues 9-14'!C125</f>
        <v>12708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12708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452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13160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1021572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11182</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23414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11883</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35297</v>
      </c>
      <c r="C5246" s="2" t="s">
        <v>569</v>
      </c>
      <c r="D5246" s="2" t="str">
        <f t="shared" si="80"/>
        <v>Error?</v>
      </c>
    </row>
    <row r="5247" spans="1:4" x14ac:dyDescent="0.2">
      <c r="A5247" s="5">
        <v>5186</v>
      </c>
      <c r="B5247" s="1832">
        <f>'Revenues 9-14'!C200</f>
        <v>125719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125719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2361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43655</v>
      </c>
      <c r="D5278" s="2" t="str">
        <f t="shared" si="81"/>
        <v>Error?</v>
      </c>
    </row>
    <row r="5279" spans="1:4" x14ac:dyDescent="0.2">
      <c r="A5279" s="5">
        <v>5218</v>
      </c>
      <c r="B5279" s="1832">
        <f>'Revenues 9-14'!C214</f>
        <v>61</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46077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220759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220759</v>
      </c>
      <c r="C5326" s="2" t="s">
        <v>569</v>
      </c>
      <c r="D5326" s="2" t="str">
        <f t="shared" si="82"/>
        <v>Error?</v>
      </c>
    </row>
    <row r="5327" spans="1:5" x14ac:dyDescent="0.2">
      <c r="A5327" s="5">
        <v>5266</v>
      </c>
      <c r="B5327" s="1832">
        <f>'Revenues 9-14'!C268</f>
        <v>2036788</v>
      </c>
      <c r="C5327" s="2" t="s">
        <v>569</v>
      </c>
      <c r="D5327" s="2" t="str">
        <f t="shared" si="82"/>
        <v>Error?</v>
      </c>
    </row>
    <row r="5328" spans="1:5" x14ac:dyDescent="0.2">
      <c r="A5328" s="5">
        <v>5267</v>
      </c>
      <c r="B5328" s="1832">
        <f>'Revenues 9-14'!D5</f>
        <v>109941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109941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8803</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8803</v>
      </c>
      <c r="C5339" s="2" t="s">
        <v>569</v>
      </c>
      <c r="D5339" s="2" t="str">
        <f t="shared" si="82"/>
        <v>Error?</v>
      </c>
    </row>
    <row r="5340" spans="1:4" x14ac:dyDescent="0.2">
      <c r="A5340" s="5">
        <v>5279</v>
      </c>
      <c r="B5340" s="1832">
        <f>'Revenues 9-14'!D65</f>
        <v>694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694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211</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917</v>
      </c>
      <c r="D5354" s="2" t="str">
        <f t="shared" si="82"/>
        <v>Error?</v>
      </c>
    </row>
    <row r="5355" spans="1:4" x14ac:dyDescent="0.2">
      <c r="A5355" s="5">
        <v>5294</v>
      </c>
      <c r="B5355" s="1832">
        <f>'Revenues 9-14'!D108</f>
        <v>1128</v>
      </c>
      <c r="C5355" s="2" t="s">
        <v>569</v>
      </c>
      <c r="D5355" s="2" t="str">
        <f t="shared" si="82"/>
        <v>Error?</v>
      </c>
    </row>
    <row r="5356" spans="1:4" x14ac:dyDescent="0.2">
      <c r="A5356" s="5">
        <v>5295</v>
      </c>
      <c r="B5356" s="1832">
        <f>'Revenues 9-14'!D109</f>
        <v>120566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170566</v>
      </c>
      <c r="C5508" s="2" t="s">
        <v>569</v>
      </c>
      <c r="D5508" s="2" t="str">
        <f t="shared" si="85"/>
        <v>Error?</v>
      </c>
    </row>
    <row r="5509" spans="1:4" x14ac:dyDescent="0.2">
      <c r="A5509" s="5">
        <v>5448</v>
      </c>
      <c r="B5509" s="1832">
        <f>'Revenues 9-14'!E5</f>
        <v>119999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119999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99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99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120098</v>
      </c>
      <c r="C5527" s="2" t="s">
        <v>569</v>
      </c>
      <c r="D5527" s="2" t="str">
        <f t="shared" si="85"/>
        <v>Error?</v>
      </c>
    </row>
    <row r="5528" spans="1:4" x14ac:dyDescent="0.2">
      <c r="A5528" s="5">
        <v>5467</v>
      </c>
      <c r="B5528" s="1832">
        <f>'Revenues 9-14'!E117</f>
        <v>3300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3300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3300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123398</v>
      </c>
      <c r="C5552" s="2" t="s">
        <v>569</v>
      </c>
      <c r="D5552" s="2" t="str">
        <f t="shared" si="85"/>
        <v>Error?</v>
      </c>
    </row>
    <row r="5553" spans="1:4" x14ac:dyDescent="0.2">
      <c r="A5553" s="5">
        <v>5492</v>
      </c>
      <c r="B5553" s="1832">
        <f>'Revenues 9-14'!F5</f>
        <v>43977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43977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1225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1225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45202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22749</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22749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22749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22749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67951</v>
      </c>
      <c r="C5720" s="2" t="s">
        <v>569</v>
      </c>
      <c r="D5720" s="2" t="str">
        <f t="shared" si="88"/>
        <v>Error?</v>
      </c>
    </row>
    <row r="5721" spans="1:4" x14ac:dyDescent="0.2">
      <c r="A5721" s="5">
        <v>5660</v>
      </c>
      <c r="B5721" s="1832">
        <f>'Revenues 9-14'!G5</f>
        <v>26272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32716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58988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3773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3773</v>
      </c>
      <c r="C5730" s="2" t="s">
        <v>569</v>
      </c>
      <c r="D5730" s="2" t="str">
        <f t="shared" si="88"/>
        <v>Error?</v>
      </c>
    </row>
    <row r="5731" spans="1:4" x14ac:dyDescent="0.2">
      <c r="A5731" s="5">
        <v>5670</v>
      </c>
      <c r="B5731" s="1832">
        <f>'Revenues 9-14'!G65</f>
        <v>1483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1483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64244</v>
      </c>
      <c r="C5870" s="2" t="s">
        <v>569</v>
      </c>
      <c r="D5870" s="2" t="str">
        <f t="shared" si="90"/>
        <v>Error?</v>
      </c>
    </row>
    <row r="5871" spans="1:4" x14ac:dyDescent="0.2">
      <c r="A5871" s="5">
        <v>5810</v>
      </c>
      <c r="B5871" s="1832">
        <f>'Revenues 9-14'!H5</f>
        <v>10995</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10995</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11124</v>
      </c>
      <c r="C5915" s="2" t="s">
        <v>569</v>
      </c>
      <c r="D5915" s="2" t="str">
        <f t="shared" si="91"/>
        <v>Error?</v>
      </c>
    </row>
    <row r="5916" spans="1:4" x14ac:dyDescent="0.2">
      <c r="A5916" s="5">
        <v>5855</v>
      </c>
      <c r="B5916" s="1832">
        <f>'Revenues 9-14'!I5</f>
        <v>10941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10941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1245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1245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12186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10995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10995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357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357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11352</v>
      </c>
      <c r="C6023" s="2" t="s">
        <v>569</v>
      </c>
      <c r="D6023" s="2" t="str">
        <f t="shared" si="93"/>
        <v>Error?</v>
      </c>
    </row>
    <row r="6024" spans="1:5" x14ac:dyDescent="0.2">
      <c r="A6024" s="5">
        <v>5963</v>
      </c>
      <c r="B6024" s="1832">
        <f>'Revenues 9-14'!G109</f>
        <v>64244</v>
      </c>
      <c r="C6024" s="2" t="s">
        <v>569</v>
      </c>
      <c r="D6024" s="2" t="str">
        <f t="shared" si="93"/>
        <v>Error?</v>
      </c>
    </row>
    <row r="6025" spans="1:5" x14ac:dyDescent="0.2">
      <c r="A6025" s="5">
        <v>5964</v>
      </c>
      <c r="B6025" s="1832">
        <f>'Revenues 9-14'!H109</f>
        <v>11124</v>
      </c>
      <c r="C6025" s="2" t="s">
        <v>569</v>
      </c>
      <c r="D6025" s="2" t="str">
        <f t="shared" si="93"/>
        <v>Error?</v>
      </c>
    </row>
    <row r="6026" spans="1:5" x14ac:dyDescent="0.2">
      <c r="A6026" s="5">
        <v>5965</v>
      </c>
      <c r="B6026" s="1832">
        <f>'Revenues 9-14'!I109</f>
        <v>12186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11352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15246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129.97999999999999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3409</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9372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9372</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9372</v>
      </c>
      <c r="D6216" s="2" t="str">
        <f t="shared" si="96"/>
        <v>Error?</v>
      </c>
      <c r="E6216" s="2" t="s">
        <v>189</v>
      </c>
    </row>
    <row r="6217" spans="1:5" x14ac:dyDescent="0.2">
      <c r="A6217">
        <v>6156</v>
      </c>
      <c r="B6217" s="1832">
        <f>'Assets-Liab 5-6'!J4</f>
        <v>9372</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100105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100105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100105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100523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100523</v>
      </c>
      <c r="D6229" s="2" t="str">
        <f t="shared" si="96"/>
        <v>Error?</v>
      </c>
      <c r="E6229" s="2" t="s">
        <v>189</v>
      </c>
    </row>
    <row r="6230" spans="1:5" x14ac:dyDescent="0.2">
      <c r="A6230">
        <v>6169</v>
      </c>
      <c r="B6230" s="1832">
        <f>'Acct Summary 7-8'!J20</f>
        <v>-418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-418</v>
      </c>
      <c r="D6263" s="2" t="str">
        <f t="shared" si="96"/>
        <v>Error?</v>
      </c>
      <c r="E6263" s="2" t="s">
        <v>189</v>
      </c>
    </row>
    <row r="6264" spans="1:5" x14ac:dyDescent="0.2">
      <c r="A6264">
        <v>6203</v>
      </c>
      <c r="B6264" s="1832">
        <f>'Acct Summary 7-8'!J79</f>
        <v>9790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9372</v>
      </c>
      <c r="D6266" s="2" t="str">
        <f t="shared" si="96"/>
        <v>Error?</v>
      </c>
      <c r="E6266" s="2" t="s">
        <v>189</v>
      </c>
    </row>
    <row r="6267" spans="1:5" x14ac:dyDescent="0.2">
      <c r="A6267">
        <v>6206</v>
      </c>
      <c r="B6267" s="1832">
        <f>'Acct Summary 7-8'!C82</f>
        <v>168255</v>
      </c>
      <c r="D6267" s="2" t="str">
        <f t="shared" si="96"/>
        <v>Error?</v>
      </c>
      <c r="E6267" s="2" t="s">
        <v>189</v>
      </c>
    </row>
    <row r="6268" spans="1:5" x14ac:dyDescent="0.2">
      <c r="A6268">
        <v>6207</v>
      </c>
      <c r="B6268" s="1832">
        <f>'Acct Summary 7-8'!D82</f>
        <v>66140</v>
      </c>
      <c r="D6268" s="2" t="str">
        <f t="shared" si="96"/>
        <v>Error?</v>
      </c>
      <c r="E6268" s="2" t="s">
        <v>189</v>
      </c>
    </row>
    <row r="6269" spans="1:5" x14ac:dyDescent="0.2">
      <c r="A6269">
        <v>6208</v>
      </c>
      <c r="B6269" s="1832">
        <f>'Acct Summary 7-8'!E82</f>
        <v>-28</v>
      </c>
      <c r="D6269" s="2" t="str">
        <f t="shared" si="96"/>
        <v>Error?</v>
      </c>
      <c r="E6269" s="2" t="s">
        <v>189</v>
      </c>
    </row>
    <row r="6270" spans="1:5" x14ac:dyDescent="0.2">
      <c r="A6270">
        <v>6209</v>
      </c>
      <c r="B6270" s="1832">
        <f>'Acct Summary 7-8'!F82</f>
        <v>-34714</v>
      </c>
      <c r="D6270" s="2" t="str">
        <f t="shared" si="96"/>
        <v>Error?</v>
      </c>
      <c r="E6270" s="2" t="s">
        <v>189</v>
      </c>
    </row>
    <row r="6271" spans="1:5" x14ac:dyDescent="0.2">
      <c r="A6271">
        <v>6210</v>
      </c>
      <c r="B6271" s="1832">
        <f>'Acct Summary 7-8'!G82</f>
        <v>19030</v>
      </c>
      <c r="D6271" s="2" t="str">
        <f t="shared" ref="D6271:D6334" si="97">IF(ISBLANK(B6271),"OK",IF(A6271-B6271=0,"OK","Error?"))</f>
        <v>Error?</v>
      </c>
      <c r="E6271" s="2" t="s">
        <v>189</v>
      </c>
    </row>
    <row r="6272" spans="1:5" x14ac:dyDescent="0.2">
      <c r="A6272">
        <v>6211</v>
      </c>
      <c r="B6272" s="1832">
        <f>'Acct Summary 7-8'!H82</f>
        <v>11124</v>
      </c>
      <c r="D6272" s="2" t="str">
        <f t="shared" si="97"/>
        <v>Error?</v>
      </c>
      <c r="E6272" s="2" t="s">
        <v>189</v>
      </c>
    </row>
    <row r="6273" spans="1:5" x14ac:dyDescent="0.2">
      <c r="A6273">
        <v>6212</v>
      </c>
      <c r="B6273" s="1832">
        <f>'Acct Summary 7-8'!I82</f>
        <v>862549</v>
      </c>
      <c r="D6273" s="2" t="str">
        <f t="shared" si="97"/>
        <v>Error?</v>
      </c>
      <c r="E6273" s="2" t="s">
        <v>189</v>
      </c>
    </row>
    <row r="6274" spans="1:5" x14ac:dyDescent="0.2">
      <c r="A6274">
        <v>6213</v>
      </c>
      <c r="B6274" s="1832">
        <f>'Acct Summary 7-8'!J82</f>
        <v>-418</v>
      </c>
      <c r="D6274" s="2" t="str">
        <f t="shared" si="97"/>
        <v>Error?</v>
      </c>
      <c r="E6274" s="2" t="s">
        <v>189</v>
      </c>
    </row>
    <row r="6275" spans="1:5" x14ac:dyDescent="0.2">
      <c r="A6275">
        <v>6214</v>
      </c>
      <c r="B6275" s="1832">
        <f>'Acct Summary 7-8'!K82</f>
        <v>11352</v>
      </c>
      <c r="D6275" s="2" t="str">
        <f t="shared" si="97"/>
        <v>Error?</v>
      </c>
      <c r="E6275" s="2" t="s">
        <v>189</v>
      </c>
    </row>
    <row r="6276" spans="1:5" x14ac:dyDescent="0.2">
      <c r="A6276">
        <v>6215</v>
      </c>
      <c r="B6276" s="1832">
        <f>'Acct Summary 7-8'!C83</f>
        <v>0.12616261108728319</v>
      </c>
      <c r="D6276" s="2" t="str">
        <f t="shared" si="97"/>
        <v>Error?</v>
      </c>
      <c r="E6276" s="2" t="s">
        <v>189</v>
      </c>
    </row>
    <row r="6277" spans="1:5" x14ac:dyDescent="0.2">
      <c r="A6277">
        <v>6216</v>
      </c>
      <c r="B6277" s="1832">
        <f>'Acct Summary 7-8'!D83</f>
        <v>0.39374438167130021</v>
      </c>
      <c r="D6277" s="2" t="str">
        <f t="shared" si="97"/>
        <v>Error?</v>
      </c>
      <c r="E6277" s="2" t="s">
        <v>189</v>
      </c>
    </row>
    <row r="6278" spans="1:5" x14ac:dyDescent="0.2">
      <c r="A6278">
        <v>6217</v>
      </c>
      <c r="B6278" s="1832">
        <f>'Acct Summary 7-8'!E83</f>
        <v>-0.8</v>
      </c>
      <c r="D6278" s="2" t="str">
        <f t="shared" si="97"/>
        <v>Error?</v>
      </c>
      <c r="E6278" s="2" t="s">
        <v>189</v>
      </c>
    </row>
    <row r="6279" spans="1:5" x14ac:dyDescent="0.2">
      <c r="A6279">
        <v>6218</v>
      </c>
      <c r="B6279" s="1832">
        <f>'Acct Summary 7-8'!F83</f>
        <v>-0.30521558697334178</v>
      </c>
      <c r="D6279" s="2" t="str">
        <f t="shared" si="97"/>
        <v>Error?</v>
      </c>
      <c r="E6279" s="2" t="s">
        <v>189</v>
      </c>
    </row>
    <row r="6280" spans="1:5" x14ac:dyDescent="0.2">
      <c r="A6280">
        <v>6219</v>
      </c>
      <c r="B6280" s="1832">
        <f>'Acct Summary 7-8'!G83</f>
        <v>0.40731148733974015</v>
      </c>
      <c r="D6280" s="2" t="str">
        <f t="shared" si="97"/>
        <v>Error?</v>
      </c>
      <c r="E6280" s="2" t="s">
        <v>189</v>
      </c>
    </row>
    <row r="6281" spans="1:5" x14ac:dyDescent="0.2">
      <c r="A6281">
        <v>6220</v>
      </c>
      <c r="B6281" s="1832">
        <f>'Acct Summary 7-8'!H83</f>
        <v>0.35070462498817745</v>
      </c>
      <c r="D6281" s="2" t="str">
        <f t="shared" si="97"/>
        <v>Error?</v>
      </c>
      <c r="E6281" s="2" t="s">
        <v>189</v>
      </c>
    </row>
    <row r="6282" spans="1:5" x14ac:dyDescent="0.2">
      <c r="A6282">
        <v>6221</v>
      </c>
      <c r="B6282" s="1832">
        <f>'Acct Summary 7-8'!I83</f>
        <v>0.67510480162047259</v>
      </c>
      <c r="D6282" s="2" t="str">
        <f t="shared" si="97"/>
        <v>Error?</v>
      </c>
      <c r="E6282" s="2" t="s">
        <v>189</v>
      </c>
    </row>
    <row r="6283" spans="1:5" x14ac:dyDescent="0.2">
      <c r="A6283">
        <v>6222</v>
      </c>
      <c r="B6283" s="1832">
        <f>'Acct Summary 7-8'!J83</f>
        <v>-4.4600938967136149E-2</v>
      </c>
      <c r="D6283" s="2" t="str">
        <f t="shared" si="97"/>
        <v>Error?</v>
      </c>
      <c r="E6283" s="2" t="s">
        <v>189</v>
      </c>
    </row>
    <row r="6284" spans="1:5" x14ac:dyDescent="0.2">
      <c r="A6284">
        <v>6223</v>
      </c>
      <c r="B6284" s="1832">
        <f>'Acct Summary 7-8'!K83</f>
        <v>0.13822157824885242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99633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99633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472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472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100105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28145</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28678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50050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7494</v>
      </c>
      <c r="D6896" s="2" t="str">
        <f t="shared" si="106"/>
        <v>Error?</v>
      </c>
    </row>
    <row r="6897" spans="1:4" x14ac:dyDescent="0.2">
      <c r="A6897">
        <v>6836</v>
      </c>
      <c r="B6897" s="1832">
        <f>'Expenditures 15-22'!K30</f>
        <v>7494</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82212</v>
      </c>
      <c r="D6983" s="2" t="str">
        <f t="shared" si="108"/>
        <v>Error?</v>
      </c>
    </row>
    <row r="6984" spans="1:4" x14ac:dyDescent="0.2">
      <c r="A6984">
        <v>6923</v>
      </c>
      <c r="B6984" s="1832">
        <f>'Expenditures 15-22'!K86</f>
        <v>82212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82212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100523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100105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3717</v>
      </c>
      <c r="D7073" s="2" t="str">
        <f t="shared" si="109"/>
        <v>Error?</v>
      </c>
    </row>
    <row r="7074" spans="1:4" x14ac:dyDescent="0.2">
      <c r="A7074">
        <v>7013</v>
      </c>
      <c r="B7074" s="1832">
        <f>'Expenditures 15-22'!K216</f>
        <v>3717</v>
      </c>
      <c r="D7074" s="2" t="str">
        <f t="shared" si="109"/>
        <v>Error?</v>
      </c>
    </row>
    <row r="7075" spans="1:4" x14ac:dyDescent="0.2">
      <c r="A7075">
        <v>7014</v>
      </c>
      <c r="B7075" s="1832">
        <f>'Expenditures 15-22'!D218</f>
        <v>474</v>
      </c>
      <c r="D7075" s="2" t="str">
        <f t="shared" si="109"/>
        <v>Error?</v>
      </c>
    </row>
    <row r="7076" spans="1:4" x14ac:dyDescent="0.2">
      <c r="A7076">
        <v>7015</v>
      </c>
      <c r="B7076" s="1832">
        <f>'Expenditures 15-22'!K218</f>
        <v>474</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6523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6523</v>
      </c>
      <c r="D7153" s="2" t="str">
        <f t="shared" si="110"/>
        <v>Error?</v>
      </c>
    </row>
    <row r="7154" spans="1:4" x14ac:dyDescent="0.2">
      <c r="A7154">
        <v>7093</v>
      </c>
      <c r="B7154" s="1832">
        <f>'Expenditures 15-22'!C323</f>
        <v>94000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94000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94000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6523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100523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94000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6523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100523</v>
      </c>
      <c r="D7224" s="2" t="str">
        <f t="shared" si="111"/>
        <v>Error?</v>
      </c>
    </row>
    <row r="7225" spans="1:4" x14ac:dyDescent="0.2">
      <c r="A7225">
        <v>7164</v>
      </c>
      <c r="B7225" s="1832">
        <f>'Expenditures 15-22'!K343</f>
        <v>-418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533</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42403</v>
      </c>
      <c r="D7251" s="2" t="str">
        <f t="shared" si="112"/>
        <v>Error?</v>
      </c>
    </row>
    <row r="7252" spans="1:4" x14ac:dyDescent="0.2">
      <c r="A7252">
        <f t="shared" si="113"/>
        <v>7191</v>
      </c>
      <c r="B7252" s="1832">
        <f>'Expenditures 15-22'!D9</f>
        <v>4821</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2826</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76606</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76606</v>
      </c>
      <c r="D7618" s="2" t="str">
        <f t="shared" si="124"/>
        <v>Error?</v>
      </c>
      <c r="E7618" s="2" t="s">
        <v>19</v>
      </c>
    </row>
    <row r="7619" spans="1:5" x14ac:dyDescent="0.2">
      <c r="A7619">
        <f t="shared" si="123"/>
        <v>7558</v>
      </c>
      <c r="B7619" s="1832">
        <f>'Cap Outlay Deprec 26'!H14</f>
        <v>55826</v>
      </c>
      <c r="D7619" s="2" t="str">
        <f t="shared" si="124"/>
        <v>Error?</v>
      </c>
      <c r="E7619" s="2" t="s">
        <v>19</v>
      </c>
    </row>
    <row r="7620" spans="1:5" x14ac:dyDescent="0.2">
      <c r="A7620">
        <f t="shared" si="123"/>
        <v>7559</v>
      </c>
      <c r="B7620" s="1832">
        <f>'Cap Outlay Deprec 26'!I14</f>
        <v>6466</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62292</v>
      </c>
      <c r="D7622" s="2" t="str">
        <f t="shared" si="124"/>
        <v>Error?</v>
      </c>
      <c r="E7622" s="2" t="s">
        <v>19</v>
      </c>
    </row>
    <row r="7623" spans="1:5" x14ac:dyDescent="0.2">
      <c r="A7623">
        <f t="shared" si="123"/>
        <v>7562</v>
      </c>
      <c r="B7623" s="1832">
        <f>'Cap Outlay Deprec 26'!L14</f>
        <v>14314</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57440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2053300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2642724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28678</v>
      </c>
      <c r="D7826" s="2" t="str">
        <f t="shared" si="129"/>
        <v>Error?</v>
      </c>
      <c r="E7826" s="4" t="s">
        <v>1998</v>
      </c>
    </row>
    <row r="7827" spans="1:5" x14ac:dyDescent="0.2">
      <c r="A7827">
        <v>7766</v>
      </c>
      <c r="B7827" s="1832">
        <f>'PCTC-OEPP 27-28'!F35</f>
        <v>50050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1119066</v>
      </c>
      <c r="D7834" s="2" t="str">
        <f t="shared" si="129"/>
        <v>Error?</v>
      </c>
      <c r="E7834" s="4" t="s">
        <v>1998</v>
      </c>
    </row>
    <row r="7835" spans="1:5" x14ac:dyDescent="0.2">
      <c r="A7835">
        <v>7774</v>
      </c>
      <c r="B7835" s="1832">
        <f>'PCTC-OEPP 27-28'!F78</f>
        <v>1523658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11722.249576857979</v>
      </c>
      <c r="D7837" s="2" t="str">
        <f t="shared" si="129"/>
        <v>Error?</v>
      </c>
      <c r="E7837" s="4" t="s">
        <v>1998</v>
      </c>
    </row>
    <row r="7838" spans="1:5" x14ac:dyDescent="0.2">
      <c r="A7838">
        <v>7777</v>
      </c>
      <c r="B7838" s="1832">
        <f>'PCTC-OEPP 27-28'!F96</f>
        <v>4030</v>
      </c>
      <c r="D7838" s="2" t="str">
        <f t="shared" si="129"/>
        <v>Error?</v>
      </c>
      <c r="E7838" s="4" t="s">
        <v>1998</v>
      </c>
    </row>
    <row r="7839" spans="1:5" x14ac:dyDescent="0.2">
      <c r="A7839">
        <v>7778</v>
      </c>
      <c r="B7839" s="1832">
        <f>'PCTC-OEPP 27-28'!F102</f>
        <v>211</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39129</v>
      </c>
      <c r="D7841" s="2" t="str">
        <f t="shared" si="129"/>
        <v>Error?</v>
      </c>
      <c r="E7841" s="4" t="s">
        <v>1998</v>
      </c>
    </row>
    <row r="7842" spans="1:5" x14ac:dyDescent="0.2">
      <c r="A7842">
        <v>7781</v>
      </c>
      <c r="B7842" s="1832">
        <f>'PCTC-OEPP 27-28'!F106</f>
        <v>12708</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22749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11182</v>
      </c>
      <c r="D7857" s="2" t="str">
        <f t="shared" si="129"/>
        <v>Error?</v>
      </c>
      <c r="E7857" s="4" t="s">
        <v>1998</v>
      </c>
    </row>
    <row r="7858" spans="1:5" x14ac:dyDescent="0.2">
      <c r="A7858">
        <v>7797</v>
      </c>
      <c r="B7858" s="1832">
        <f>'PCTC-OEPP 27-28'!F126</f>
        <v>35297</v>
      </c>
      <c r="D7858" s="2" t="str">
        <f t="shared" si="129"/>
        <v>Error?</v>
      </c>
      <c r="E7858" s="4" t="s">
        <v>1998</v>
      </c>
    </row>
    <row r="7859" spans="1:5" x14ac:dyDescent="0.2">
      <c r="A7859">
        <v>7798</v>
      </c>
      <c r="B7859" s="1832">
        <f>'PCTC-OEPP 27-28'!F127</f>
        <v>125719</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43655</v>
      </c>
      <c r="D7861" s="2" t="str">
        <f t="shared" si="129"/>
        <v>Error?</v>
      </c>
      <c r="E7861" s="4" t="s">
        <v>1998</v>
      </c>
    </row>
    <row r="7862" spans="1:5" x14ac:dyDescent="0.2">
      <c r="A7862">
        <v>7801</v>
      </c>
      <c r="B7862" s="1832">
        <f>'PCTC-OEPP 27-28'!F130</f>
        <v>61</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2484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317743</v>
      </c>
      <c r="D7877" s="2" t="str">
        <f t="shared" si="129"/>
        <v>Error?</v>
      </c>
      <c r="E7877" s="4" t="s">
        <v>1998</v>
      </c>
    </row>
    <row r="7878" spans="1:5" x14ac:dyDescent="0.2">
      <c r="A7878">
        <v>7817</v>
      </c>
      <c r="B7878" s="1832">
        <f>'PCTC-OEPP 27-28'!F176</f>
        <v>1205915</v>
      </c>
      <c r="D7878" s="2" t="str">
        <f t="shared" si="129"/>
        <v>Error?</v>
      </c>
      <c r="E7878" s="4" t="s">
        <v>1998</v>
      </c>
    </row>
    <row r="7879" spans="1:5" x14ac:dyDescent="0.2">
      <c r="A7879">
        <v>7818</v>
      </c>
      <c r="B7879" s="1832">
        <f>'PCTC-OEPP 27-28'!F178</f>
        <v>1263355</v>
      </c>
      <c r="D7879" s="2" t="str">
        <f t="shared" si="129"/>
        <v>Error?</v>
      </c>
      <c r="E7879" s="4" t="s">
        <v>1998</v>
      </c>
    </row>
    <row r="7880" spans="1:5" x14ac:dyDescent="0.2">
      <c r="A7880">
        <v>7819</v>
      </c>
      <c r="B7880" s="1832">
        <f>'PCTC-OEPP 27-28'!F180</f>
        <v>9719.6107093398987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Potomac CUSD 10</v>
      </c>
      <c r="B7" s="2516"/>
      <c r="C7" s="2516"/>
      <c r="D7" s="2554"/>
      <c r="E7" s="2555">
        <f>COVER!A13</f>
        <v>54092010026</v>
      </c>
      <c r="F7" s="2556"/>
      <c r="G7" s="2522" t="str">
        <f>COVER!T23</f>
        <v>065-019320</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Daughetee and Parks Management Consulting PC</v>
      </c>
      <c r="H9" s="2529"/>
      <c r="I9" s="2529"/>
      <c r="J9" s="2529"/>
      <c r="K9" s="2529"/>
      <c r="L9" s="2530"/>
    </row>
    <row r="10" spans="1:29" ht="13.5" customHeight="1" x14ac:dyDescent="0.2">
      <c r="A10" s="2512" t="str">
        <f>COVER!A38</f>
        <v>James Owens</v>
      </c>
      <c r="B10" s="2513"/>
      <c r="C10" s="2513"/>
      <c r="D10" s="2513"/>
      <c r="E10" s="2513"/>
      <c r="F10" s="2514"/>
      <c r="G10" s="2528" t="str">
        <f>COVER!T17</f>
        <v>2200 Kickapoo Drive STE a</v>
      </c>
      <c r="H10" s="2541"/>
      <c r="I10" s="2541"/>
      <c r="J10" s="2541"/>
      <c r="K10" s="2541"/>
      <c r="L10" s="2542"/>
    </row>
    <row r="11" spans="1:29" ht="13.5" customHeight="1" x14ac:dyDescent="0.2">
      <c r="A11" s="963" t="s">
        <v>1502</v>
      </c>
      <c r="B11" s="964"/>
      <c r="C11" s="965"/>
      <c r="D11" s="970"/>
      <c r="E11" s="965"/>
      <c r="F11" s="969"/>
      <c r="G11" s="2528" t="str">
        <f>COVER!T19</f>
        <v>Danville</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pparkscpa@gmail.com</v>
      </c>
      <c r="J13" s="2550"/>
      <c r="K13" s="2550"/>
      <c r="L13" s="2551"/>
    </row>
    <row r="14" spans="1:29" ht="13.5" customHeight="1" x14ac:dyDescent="0.2">
      <c r="A14" s="2528" t="str">
        <f>COVER!A19</f>
        <v>7915 U.S 136</v>
      </c>
      <c r="B14" s="2541"/>
      <c r="C14" s="2541"/>
      <c r="D14" s="2541"/>
      <c r="E14" s="2541"/>
      <c r="F14" s="2542"/>
      <c r="G14" s="974" t="s">
        <v>1175</v>
      </c>
      <c r="H14" s="972"/>
      <c r="I14" s="972"/>
      <c r="J14" s="972"/>
      <c r="K14" s="972"/>
      <c r="L14" s="973"/>
    </row>
    <row r="15" spans="1:29" ht="13.5" customHeight="1" x14ac:dyDescent="0.2">
      <c r="A15" s="2528" t="str">
        <f>COVER!A21</f>
        <v>Potomac</v>
      </c>
      <c r="B15" s="2541"/>
      <c r="C15" s="2541"/>
      <c r="D15" s="2541"/>
      <c r="E15" s="2541"/>
      <c r="F15" s="2542"/>
      <c r="G15" s="2538" t="str">
        <f>COVER!T15</f>
        <v>Phyllis Parks</v>
      </c>
      <c r="H15" s="2539"/>
      <c r="I15" s="2539"/>
      <c r="J15" s="2539"/>
      <c r="K15" s="2539"/>
      <c r="L15" s="2540"/>
    </row>
    <row r="16" spans="1:29" ht="12.2" customHeight="1" x14ac:dyDescent="0.2">
      <c r="A16" s="2518">
        <f>COVER!A25</f>
        <v>61865</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217-431-2727</v>
      </c>
      <c r="H18" s="2516"/>
      <c r="I18" s="2516"/>
      <c r="J18" s="2516"/>
      <c r="K18" s="2515" t="str">
        <f>COVER!X21</f>
        <v>217-431-3273</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Potomac CUSD 10</v>
      </c>
      <c r="B1" s="2558"/>
      <c r="C1" s="2558"/>
      <c r="D1" s="2558"/>
    </row>
    <row r="2" spans="1:11" s="991" customFormat="1" ht="12.75" x14ac:dyDescent="0.2">
      <c r="A2" s="2559">
        <f>'Single Audit Cover'!E7</f>
        <v>54092010026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Potomac CUSD 10</v>
      </c>
      <c r="B1" s="2562"/>
      <c r="C1" s="2562"/>
      <c r="D1" s="2562"/>
      <c r="E1" s="2562"/>
    </row>
    <row r="2" spans="1:5" x14ac:dyDescent="0.2">
      <c r="A2" s="2563">
        <f>'Single Audit Cover'!E7</f>
        <v>54092010026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220759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220759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220759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220759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Potomac CUSD 10</v>
      </c>
      <c r="C1" s="2566"/>
      <c r="D1" s="2566"/>
      <c r="E1" s="2566"/>
      <c r="F1" s="2566"/>
      <c r="G1" s="2566"/>
      <c r="H1" s="2566"/>
      <c r="I1" s="2566"/>
      <c r="J1" s="2566"/>
      <c r="K1" s="2566"/>
      <c r="L1" s="2566"/>
      <c r="M1" s="2566"/>
    </row>
    <row r="2" spans="2:14" ht="15" x14ac:dyDescent="0.2">
      <c r="B2" s="2567">
        <f>'Single Audit Cover'!E7</f>
        <v>54092010026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Potomac CUSD 10</v>
      </c>
      <c r="B1" s="2571"/>
      <c r="C1" s="2571"/>
      <c r="D1" s="2571"/>
      <c r="E1" s="2571"/>
      <c r="F1" s="2571"/>
    </row>
    <row r="2" spans="1:7" ht="13.5" customHeight="1" x14ac:dyDescent="0.2">
      <c r="A2" s="2567">
        <f>'Single Audit Cover'!E7</f>
        <v>54092010026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Potomac CUSD 10</v>
      </c>
      <c r="C1" s="2587"/>
      <c r="D1" s="2587"/>
      <c r="E1" s="2587"/>
      <c r="F1" s="2587"/>
      <c r="G1" s="2587"/>
      <c r="H1" s="2587"/>
      <c r="I1" s="2587"/>
      <c r="J1" s="1178"/>
    </row>
    <row r="2" spans="2:10" s="295" customFormat="1" ht="12.75" customHeight="1" x14ac:dyDescent="0.2">
      <c r="B2" s="2588">
        <f>'Single Audit Cover'!E7</f>
        <v>54092010026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Potomac CUSD 10</v>
      </c>
      <c r="C1" s="2586"/>
      <c r="D1" s="2586"/>
      <c r="E1" s="2586"/>
      <c r="F1" s="2586"/>
      <c r="G1" s="2586"/>
      <c r="H1" s="2586"/>
      <c r="I1" s="2586"/>
      <c r="J1" s="2586"/>
      <c r="K1" s="2586"/>
      <c r="L1" s="1144"/>
      <c r="M1" s="1144"/>
    </row>
    <row r="2" spans="1:13" ht="12" customHeight="1" x14ac:dyDescent="0.2">
      <c r="B2" s="2588">
        <f>'Single Audit Cover'!E7</f>
        <v>54092010026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Potomac CUSD 10</v>
      </c>
      <c r="C1" s="2613"/>
      <c r="D1" s="2613"/>
      <c r="E1" s="2613"/>
      <c r="F1" s="2613"/>
      <c r="G1" s="2613"/>
      <c r="H1" s="2613"/>
      <c r="I1" s="2613"/>
      <c r="J1" s="2613"/>
      <c r="K1" s="2613"/>
      <c r="L1" s="1221"/>
    </row>
    <row r="2" spans="1:12" ht="12.75" customHeight="1" x14ac:dyDescent="0.2">
      <c r="B2" s="2614">
        <f>'Single Audit Cover'!E7</f>
        <v>54092010026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Potomac CUSD 10</v>
      </c>
      <c r="C1" s="2586"/>
      <c r="D1" s="2586"/>
      <c r="E1" s="1240"/>
    </row>
    <row r="2" spans="2:5" s="1058" customFormat="1" ht="12.75" customHeight="1" x14ac:dyDescent="0.2">
      <c r="B2" s="2588">
        <f>'Single Audit Cover'!E7</f>
        <v>54092010026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www.w3.org/XML/1998/namespace"/>
    <ds:schemaRef ds:uri="d21dc803-237d-4c68-8692-8d731fd29118"/>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4d435f69-8686-490b-bd6d-b153bf22ab50"/>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2020-09-15T18:07:38Z</cp:lastPrinted>
  <dcterms:created xsi:type="dcterms:W3CDTF">2003-10-29T19:06:34Z</dcterms:created>
  <dcterms:modified xsi:type="dcterms:W3CDTF">2020-10-16T17:40:38Z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