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1568B463-72DA-47EA-BB6E-267961129BD8}" xr6:coauthVersionLast="36" xr6:coauthVersionMax="36" xr10:uidLastSave="{00000000-0000-0000-0000-000000000000}"/>
  <bookViews>
    <workbookView xWindow="-105" yWindow="-105" windowWidth="23250" windowHeight="1257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SEFA20" sheetId="185" r:id="rId28"/>
    <sheet name=" SEFA" sheetId="179" r:id="rId29"/>
    <sheet name="SEFA NOTES" sheetId="173" r:id="rId30"/>
    <sheet name="SF&amp;QC Sec-1" sheetId="174" r:id="rId31"/>
    <sheet name="SF&amp;QC Sec-2" sheetId="175" r:id="rId32"/>
    <sheet name="SF&amp;QC Sec-3" sheetId="176" r:id="rId33"/>
    <sheet name="SSPAF" sheetId="177" r:id="rId34"/>
  </sheets>
  <definedNames>
    <definedName name="_xlnm._FilterDatabase" localSheetId="23" hidden="1">'AFR20'!$A$1:$F$7884</definedName>
    <definedName name="goof">#REF!</definedName>
    <definedName name="oops">#REF!</definedName>
    <definedName name="_xlnm.Print_Area" localSheetId="28">' SEFA'!$B$1:$M$46</definedName>
    <definedName name="_xlnm.Print_Area" localSheetId="14">'Contracts Paid in CY 29'!$A$1:$F$143</definedName>
    <definedName name="_xlnm.Print_Area" localSheetId="29">'SEFA NOTES'!$A$1:$F$52</definedName>
    <definedName name="_xlnm.Print_Area" localSheetId="26">'SEFA Reconcile'!$A$1:$E$49</definedName>
    <definedName name="_xlnm.Print_Area" localSheetId="27">SEFA20!$A$1:$M$101</definedName>
    <definedName name="_xlnm.Print_Area" localSheetId="30">'SF&amp;QC Sec-1'!$A$1:$J$63</definedName>
    <definedName name="_xlnm.Print_Area" localSheetId="32">'SF&amp;QC Sec-3'!$A$1:$K$48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Print_Area_MI" localSheetId="27">SEFA20!$A$14:$M$90</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7">SEFA20!$A:$C,SEFA20!$1:$11</definedName>
    <definedName name="_xlnm.Print_Titles" localSheetId="16">'Shared Outsourced Services 31'!$5:$5</definedName>
    <definedName name="_xlnm.Print_Titles" localSheetId="25">'Single Audit Checklist'!$1:$4</definedName>
    <definedName name="SCHADDRS" localSheetId="28">#REF!</definedName>
    <definedName name="SCHADDRS" localSheetId="14">#REF!</definedName>
    <definedName name="SCHADDRS" localSheetId="21">#REF!</definedName>
    <definedName name="SCHADDRS" localSheetId="4">#REF!</definedName>
    <definedName name="SCHADDRS" localSheetId="29">#REF!</definedName>
    <definedName name="SCHADDRS" localSheetId="26">#REF!</definedName>
    <definedName name="SCHADDRS" localSheetId="27">#REF!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8">#REF!</definedName>
    <definedName name="SCHCTY" localSheetId="14">#REF!</definedName>
    <definedName name="SCHCTY" localSheetId="21">#REF!</definedName>
    <definedName name="SCHCTY" localSheetId="4">#REF!</definedName>
    <definedName name="SCHCTY" localSheetId="29">#REF!</definedName>
    <definedName name="SCHCTY" localSheetId="26">#REF!</definedName>
    <definedName name="SCHCTY" localSheetId="27">#REF!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8">#REF!</definedName>
    <definedName name="SCHNMBR" localSheetId="14">#REF!</definedName>
    <definedName name="SCHNMBR" localSheetId="21">#REF!</definedName>
    <definedName name="SCHNMBR" localSheetId="4">#REF!</definedName>
    <definedName name="SCHNMBR" localSheetId="29">#REF!</definedName>
    <definedName name="SCHNMBR" localSheetId="26">#REF!</definedName>
    <definedName name="SCHNMBR" localSheetId="27">#REF!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8">#REF!</definedName>
    <definedName name="SCHNME" localSheetId="14">#REF!</definedName>
    <definedName name="SCHNME" localSheetId="21">#REF!</definedName>
    <definedName name="SCHNME" localSheetId="4">#REF!</definedName>
    <definedName name="SCHNME" localSheetId="29">#REF!</definedName>
    <definedName name="SCHNME" localSheetId="26">#REF!</definedName>
    <definedName name="SCHNME" localSheetId="27">#REF!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8">#REF!</definedName>
    <definedName name="SUPT" localSheetId="14">#REF!</definedName>
    <definedName name="SUPT" localSheetId="21">#REF!</definedName>
    <definedName name="SUPT" localSheetId="4">#REF!</definedName>
    <definedName name="SUPT" localSheetId="29">#REF!</definedName>
    <definedName name="SUPT" localSheetId="26">#REF!</definedName>
    <definedName name="SUPT" localSheetId="27">#REF!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8" l="1"/>
  <c r="J35" i="8"/>
  <c r="L18" i="185" l="1"/>
  <c r="M61" i="184" l="1"/>
  <c r="D45" i="174" l="1"/>
  <c r="G38" i="174"/>
  <c r="C34" i="173" l="1"/>
  <c r="C33" i="173"/>
  <c r="J86" i="185"/>
  <c r="J94" i="185" s="1"/>
  <c r="H86" i="185"/>
  <c r="G86" i="185"/>
  <c r="F86" i="185"/>
  <c r="F94" i="185" s="1"/>
  <c r="E86" i="185"/>
  <c r="L84" i="185"/>
  <c r="L83" i="185"/>
  <c r="E77" i="185"/>
  <c r="L74" i="185"/>
  <c r="L73" i="185"/>
  <c r="L67" i="185"/>
  <c r="H66" i="185"/>
  <c r="J60" i="185"/>
  <c r="J77" i="185" s="1"/>
  <c r="G60" i="185"/>
  <c r="G77" i="185" s="1"/>
  <c r="E60" i="185"/>
  <c r="L58" i="185"/>
  <c r="L56" i="185"/>
  <c r="L53" i="185"/>
  <c r="L51" i="185"/>
  <c r="L50" i="185"/>
  <c r="H50" i="185"/>
  <c r="F50" i="185"/>
  <c r="L48" i="185"/>
  <c r="L46" i="185"/>
  <c r="L45" i="185"/>
  <c r="L43" i="185"/>
  <c r="H42" i="185"/>
  <c r="H60" i="185" s="1"/>
  <c r="H77" i="185" s="1"/>
  <c r="F42" i="185"/>
  <c r="F60" i="185" s="1"/>
  <c r="F77" i="185" s="1"/>
  <c r="L34" i="185"/>
  <c r="J32" i="185"/>
  <c r="J36" i="185" s="1"/>
  <c r="I32" i="185"/>
  <c r="H32" i="185"/>
  <c r="G32" i="185"/>
  <c r="F32" i="185"/>
  <c r="E32" i="185"/>
  <c r="L31" i="185"/>
  <c r="L30" i="185"/>
  <c r="L28" i="185"/>
  <c r="L27" i="185"/>
  <c r="L24" i="185"/>
  <c r="L23" i="185"/>
  <c r="L21" i="185"/>
  <c r="L20" i="185"/>
  <c r="J18" i="185"/>
  <c r="H18" i="185"/>
  <c r="H36" i="185" s="1"/>
  <c r="G18" i="185"/>
  <c r="G36" i="185" s="1"/>
  <c r="G92" i="185" s="1"/>
  <c r="F18" i="185"/>
  <c r="F36" i="185" s="1"/>
  <c r="E18" i="185"/>
  <c r="L17" i="185"/>
  <c r="L16" i="185"/>
  <c r="H9" i="185"/>
  <c r="G9" i="185"/>
  <c r="H8" i="185"/>
  <c r="L86" i="185" l="1"/>
  <c r="J92" i="185"/>
  <c r="J96" i="185"/>
  <c r="L42" i="185"/>
  <c r="L60" i="185" s="1"/>
  <c r="E36" i="185"/>
  <c r="E92" i="185" s="1"/>
  <c r="L32" i="185"/>
  <c r="L36" i="185" s="1"/>
  <c r="J88" i="185"/>
  <c r="F92" i="185"/>
  <c r="F96" i="185" s="1"/>
  <c r="H92" i="185"/>
  <c r="H96" i="185" s="1"/>
  <c r="E94" i="185"/>
  <c r="G88" i="185"/>
  <c r="F88" i="185"/>
  <c r="H88" i="185"/>
  <c r="G94" i="185"/>
  <c r="G96" i="185" s="1"/>
  <c r="H94" i="185"/>
  <c r="L66" i="185"/>
  <c r="L94" i="185" s="1"/>
  <c r="L92" i="185" l="1"/>
  <c r="L77" i="185"/>
  <c r="L88" i="185" s="1"/>
  <c r="E96" i="185"/>
  <c r="E88" i="185"/>
  <c r="L96" i="185"/>
  <c r="J7" i="184" l="1"/>
  <c r="L53" i="184" s="1"/>
  <c r="J6" i="184"/>
  <c r="L52" i="184" s="1"/>
  <c r="M68" i="184"/>
  <c r="L68" i="184"/>
  <c r="G17" i="184" s="1"/>
  <c r="K68" i="184"/>
  <c r="G16" i="184" s="1"/>
  <c r="J68" i="184"/>
  <c r="G15" i="184" s="1"/>
  <c r="I68" i="184"/>
  <c r="G14" i="184" s="1"/>
  <c r="H68" i="184"/>
  <c r="G13" i="184" s="1"/>
  <c r="G68" i="184"/>
  <c r="G12" i="184" s="1"/>
  <c r="K19" i="184"/>
  <c r="J19" i="184"/>
  <c r="I19" i="184"/>
  <c r="L18" i="184"/>
  <c r="H18" i="184"/>
  <c r="L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B7885" i="106" l="1"/>
  <c r="D7885" i="106" s="1"/>
  <c r="B7884" i="106"/>
  <c r="D7884" i="106" s="1"/>
  <c r="B7883" i="106"/>
  <c r="B7882" i="106"/>
  <c r="D7882" i="106" s="1"/>
  <c r="D7883" i="106"/>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D168" i="34" l="1"/>
  <c r="D167" i="34"/>
  <c r="C168" i="34"/>
  <c r="C167" i="34"/>
  <c r="B7812" i="106" l="1"/>
  <c r="B7811" i="106"/>
  <c r="B7809" i="106"/>
  <c r="B7816" i="106" l="1"/>
  <c r="D7816" i="106" s="1"/>
  <c r="B7815" i="106"/>
  <c r="D7815" i="106" s="1"/>
  <c r="B7813" i="106"/>
  <c r="D7813" i="106" s="1"/>
  <c r="D7811" i="106"/>
  <c r="D7812" i="106"/>
  <c r="D7809" i="106"/>
  <c r="B7808" i="106"/>
  <c r="D7808" i="106" s="1"/>
  <c r="B7807" i="106"/>
  <c r="D7807" i="106" s="1"/>
  <c r="B7806" i="106"/>
  <c r="D7806" i="106" s="1"/>
  <c r="B7805" i="106"/>
  <c r="D7805" i="106" s="1"/>
  <c r="B7804" i="106"/>
  <c r="D7804" i="106" s="1"/>
  <c r="B7803" i="106"/>
  <c r="D7803" i="106" s="1"/>
  <c r="B7801" i="106"/>
  <c r="D7801" i="106" s="1"/>
  <c r="B5196" i="106"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B7793" i="106"/>
  <c r="B7791" i="106"/>
  <c r="B7787" i="106"/>
  <c r="B7785" i="106"/>
  <c r="B7783" i="106"/>
  <c r="B7781" i="106"/>
  <c r="B7779" i="106"/>
  <c r="B7777" i="106"/>
  <c r="K334" i="29" l="1"/>
  <c r="F74" i="34" s="1"/>
  <c r="K357" i="29"/>
  <c r="B3674" i="106" s="1"/>
  <c r="B7792" i="106"/>
  <c r="K15" i="4" l="1"/>
  <c r="B7790" i="106"/>
  <c r="J15" i="4"/>
  <c r="B7796" i="106" s="1"/>
  <c r="L357" i="29"/>
  <c r="L285" i="29" l="1"/>
  <c r="D285" i="29"/>
  <c r="L160" i="29"/>
  <c r="K160" i="29"/>
  <c r="F60" i="34" l="1"/>
  <c r="B1323" i="106"/>
  <c r="E15" i="4"/>
  <c r="B4" i="179" l="1"/>
  <c r="L27" i="179" l="1"/>
  <c r="L26" i="179"/>
  <c r="L25" i="179"/>
  <c r="L24" i="179"/>
  <c r="L23" i="179"/>
  <c r="L22" i="179"/>
  <c r="L21" i="179"/>
  <c r="L20" i="179"/>
  <c r="L19" i="179"/>
  <c r="L18" i="179"/>
  <c r="L17" i="179"/>
  <c r="L16" i="179"/>
  <c r="L15" i="179"/>
  <c r="L14" i="179"/>
  <c r="L13" i="179"/>
  <c r="L12" i="179"/>
  <c r="L11" i="179"/>
  <c r="D14" i="171" l="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B7769" i="106" l="1"/>
  <c r="D7769" i="106" s="1"/>
  <c r="B7768" i="106"/>
  <c r="B7765" i="106"/>
  <c r="B7764" i="106"/>
  <c r="D7764" i="106" s="1"/>
  <c r="B7758" i="106"/>
  <c r="D7758" i="106" s="1"/>
  <c r="K6" i="29"/>
  <c r="B7763" i="106" s="1"/>
  <c r="D7763" i="106" s="1"/>
  <c r="B7762" i="106"/>
  <c r="D7762" i="106" s="1"/>
  <c r="K12" i="12"/>
  <c r="B7719" i="106" s="1"/>
  <c r="D7719" i="106" s="1"/>
  <c r="K23" i="12"/>
  <c r="B7800" i="106" s="1"/>
  <c r="D7800" i="106" s="1"/>
  <c r="J12" i="12"/>
  <c r="B7718" i="106" s="1"/>
  <c r="D7718" i="106" s="1"/>
  <c r="J21" i="12"/>
  <c r="J23" i="12" s="1"/>
  <c r="B7729" i="106"/>
  <c r="D7729" i="106" s="1"/>
  <c r="B7734" i="106"/>
  <c r="B7726" i="106"/>
  <c r="D7726" i="106" s="1"/>
  <c r="F159" i="34"/>
  <c r="B30" i="36"/>
  <c r="B33" i="36" s="1"/>
  <c r="B43" i="36" s="1"/>
  <c r="B56" i="36" s="1"/>
  <c r="B66" i="36" s="1"/>
  <c r="B70" i="36" s="1"/>
  <c r="B74" i="36" s="1"/>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6833" i="106" s="1"/>
  <c r="D6833" i="106" s="1"/>
  <c r="B7761" i="106"/>
  <c r="D7761" i="106" s="1"/>
  <c r="D78" i="36"/>
  <c r="K75" i="29"/>
  <c r="C14" i="4" s="1"/>
  <c r="B2558" i="106" s="1"/>
  <c r="D2558" i="106" s="1"/>
  <c r="K185" i="29"/>
  <c r="F62" i="34" s="1"/>
  <c r="B7833" i="106" s="1"/>
  <c r="D7833" i="106" s="1"/>
  <c r="K67" i="29"/>
  <c r="K64" i="29"/>
  <c r="F31" i="108" s="1"/>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D78" i="106"/>
  <c r="D79" i="106"/>
  <c r="D80" i="106"/>
  <c r="D81" i="106"/>
  <c r="D82" i="106"/>
  <c r="D83" i="106"/>
  <c r="D84" i="106"/>
  <c r="D85" i="106"/>
  <c r="B86" i="106"/>
  <c r="D86" i="106" s="1"/>
  <c r="D87" i="106"/>
  <c r="B88" i="106"/>
  <c r="D88" i="106" s="1"/>
  <c r="D89" i="106"/>
  <c r="D90" i="106"/>
  <c r="C34" i="3"/>
  <c r="B91" i="106" s="1"/>
  <c r="D91" i="106" s="1"/>
  <c r="D94" i="106"/>
  <c r="D95" i="106"/>
  <c r="D96" i="106"/>
  <c r="D98" i="106"/>
  <c r="D99" i="106"/>
  <c r="D100" i="106"/>
  <c r="D101" i="106"/>
  <c r="D102" i="106"/>
  <c r="D103" i="106"/>
  <c r="D106" i="106"/>
  <c r="D107" i="106"/>
  <c r="D110" i="106"/>
  <c r="D111" i="106"/>
  <c r="D112" i="106"/>
  <c r="D113" i="106"/>
  <c r="D114" i="106"/>
  <c r="D115" i="106"/>
  <c r="D116" i="106"/>
  <c r="D118" i="106"/>
  <c r="D120" i="106"/>
  <c r="D121" i="106"/>
  <c r="D125" i="106"/>
  <c r="B126" i="106"/>
  <c r="D126" i="106" s="1"/>
  <c r="D127" i="106"/>
  <c r="D128" i="106"/>
  <c r="B129" i="106"/>
  <c r="D129" i="106" s="1"/>
  <c r="B130" i="106"/>
  <c r="D130"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D1222" i="106"/>
  <c r="D1230" i="106"/>
  <c r="D1238" i="106"/>
  <c r="D1246" i="106"/>
  <c r="D1255" i="106"/>
  <c r="D1263" i="106"/>
  <c r="D1271" i="106"/>
  <c r="D1278" i="106"/>
  <c r="D1286" i="106"/>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H28" i="118" s="1"/>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D2803" i="106"/>
  <c r="D2804" i="106"/>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D3162" i="106"/>
  <c r="D3163" i="106"/>
  <c r="D3164" i="106"/>
  <c r="D3165" i="106"/>
  <c r="D3166" i="106"/>
  <c r="D3167" i="106"/>
  <c r="D3168" i="106"/>
  <c r="D3169"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D3412" i="106"/>
  <c r="D3413" i="106"/>
  <c r="D3415" i="106"/>
  <c r="D3416" i="106"/>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K53" i="4"/>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1" i="106"/>
  <c r="D4191" i="106" s="1"/>
  <c r="B4192" i="106"/>
  <c r="D4192" i="106" s="1"/>
  <c r="D4193" i="106"/>
  <c r="D4194" i="106"/>
  <c r="D4195" i="106"/>
  <c r="D4196" i="106"/>
  <c r="D4197" i="106"/>
  <c r="D4198" i="106"/>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1" i="106"/>
  <c r="D4311" i="106" s="1"/>
  <c r="B4312" i="106"/>
  <c r="D4312" i="106" s="1"/>
  <c r="B4314" i="106"/>
  <c r="D4314" i="106" s="1"/>
  <c r="B4316" i="106"/>
  <c r="D4316" i="106" s="1"/>
  <c r="B4317" i="106"/>
  <c r="D4317" i="106" s="1"/>
  <c r="B4318" i="106"/>
  <c r="D4318" i="106" s="1"/>
  <c r="D4319" i="106"/>
  <c r="D4320" i="106"/>
  <c r="B4321" i="106"/>
  <c r="D4321" i="106" s="1"/>
  <c r="B4322" i="106"/>
  <c r="D4322" i="106" s="1"/>
  <c r="D4323" i="106"/>
  <c r="D4324" i="106"/>
  <c r="D4325" i="106"/>
  <c r="D4326" i="106"/>
  <c r="B4328" i="106"/>
  <c r="D4328" i="106" s="1"/>
  <c r="B4330" i="106"/>
  <c r="D4330" i="106" s="1"/>
  <c r="B4331" i="106"/>
  <c r="D4331" i="106" s="1"/>
  <c r="B4332" i="106"/>
  <c r="D4332" i="106" s="1"/>
  <c r="B4334" i="106"/>
  <c r="D4334" i="106" s="1"/>
  <c r="B4335" i="106"/>
  <c r="D4335" i="106" s="1"/>
  <c r="B4336" i="106"/>
  <c r="D4336" i="106" s="1"/>
  <c r="B4338" i="106"/>
  <c r="D4338" i="106" s="1"/>
  <c r="B4339" i="106"/>
  <c r="D4339" i="106" s="1"/>
  <c r="B4340" i="106"/>
  <c r="D4340" i="106" s="1"/>
  <c r="B4342" i="106"/>
  <c r="D4342" i="106" s="1"/>
  <c r="B4343" i="106"/>
  <c r="D4343" i="106" s="1"/>
  <c r="B4344" i="106"/>
  <c r="D4344" i="106" s="1"/>
  <c r="B4346" i="106"/>
  <c r="D4346" i="106" s="1"/>
  <c r="D4347" i="106"/>
  <c r="D4348" i="106"/>
  <c r="D4349" i="106"/>
  <c r="D4350" i="106"/>
  <c r="B4351" i="106"/>
  <c r="D4351" i="106" s="1"/>
  <c r="B4353" i="106"/>
  <c r="D4353" i="106" s="1"/>
  <c r="B4354" i="106"/>
  <c r="D4354" i="106" s="1"/>
  <c r="B4355" i="106"/>
  <c r="D4355" i="106" s="1"/>
  <c r="B4356" i="106"/>
  <c r="D4356" i="106" s="1"/>
  <c r="B4358" i="106"/>
  <c r="D4358"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7" i="106"/>
  <c r="D4377" i="106" s="1"/>
  <c r="B4378" i="106"/>
  <c r="D4378" i="106" s="1"/>
  <c r="B4379" i="106"/>
  <c r="D4379" i="106" s="1"/>
  <c r="B4381" i="106"/>
  <c r="D4381" i="106" s="1"/>
  <c r="B4382" i="106"/>
  <c r="D4382" i="106" s="1"/>
  <c r="D4383" i="106"/>
  <c r="D4384" i="106"/>
  <c r="D4385" i="106"/>
  <c r="D4386" i="106"/>
  <c r="D4387" i="106"/>
  <c r="D4388" i="106"/>
  <c r="D4389" i="106"/>
  <c r="D4390" i="106"/>
  <c r="B4391" i="106"/>
  <c r="D4391" i="106" s="1"/>
  <c r="B4393" i="106"/>
  <c r="D4393" i="106" s="1"/>
  <c r="B4394" i="106"/>
  <c r="D4394" i="106" s="1"/>
  <c r="D4399" i="106"/>
  <c r="D4400" i="106"/>
  <c r="D4401" i="106"/>
  <c r="D4402" i="106"/>
  <c r="D4403" i="106"/>
  <c r="D4404" i="106"/>
  <c r="D4405" i="106"/>
  <c r="D4406" i="106"/>
  <c r="B4407" i="106"/>
  <c r="D4407" i="106" s="1"/>
  <c r="B4409" i="106"/>
  <c r="D4409" i="106" s="1"/>
  <c r="B4410" i="106"/>
  <c r="D4410" i="106" s="1"/>
  <c r="B4415" i="106"/>
  <c r="D4415" i="106" s="1"/>
  <c r="B4416" i="106"/>
  <c r="D4416" i="106" s="1"/>
  <c r="B4417" i="106"/>
  <c r="D4417" i="106" s="1"/>
  <c r="B4418" i="106"/>
  <c r="D4418"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4" i="106"/>
  <c r="D4794" i="106" s="1"/>
  <c r="B4795" i="106"/>
  <c r="D4795" i="106" s="1"/>
  <c r="B4796" i="106"/>
  <c r="D4796" i="106" s="1"/>
  <c r="B4797" i="106"/>
  <c r="D4797" i="106" s="1"/>
  <c r="D4798" i="106"/>
  <c r="B4799" i="106"/>
  <c r="D4799" i="106" s="1"/>
  <c r="D4800" i="106"/>
  <c r="B4801" i="106"/>
  <c r="D4801" i="106" s="1"/>
  <c r="D4803" i="106"/>
  <c r="B4804" i="106"/>
  <c r="D4804" i="106" s="1"/>
  <c r="B4805" i="106"/>
  <c r="D4805"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4" i="106"/>
  <c r="D5014" i="106" s="1"/>
  <c r="D5015" i="106"/>
  <c r="D5016" i="106"/>
  <c r="D5017" i="106"/>
  <c r="D5018" i="106"/>
  <c r="D5019" i="106"/>
  <c r="D5020" i="106"/>
  <c r="D5021" i="106"/>
  <c r="B5022" i="106"/>
  <c r="D5022"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D5329" i="106"/>
  <c r="D5363" i="106"/>
  <c r="D5364" i="106"/>
  <c r="D5365" i="106"/>
  <c r="D5366" i="106"/>
  <c r="D5371" i="106"/>
  <c r="D5372" i="106"/>
  <c r="D5373" i="106"/>
  <c r="D5376" i="106"/>
  <c r="D5377" i="106"/>
  <c r="D5378" i="106"/>
  <c r="D5379" i="106"/>
  <c r="D5380" i="106"/>
  <c r="D5381" i="106"/>
  <c r="D5382" i="106"/>
  <c r="D5385" i="106"/>
  <c r="D5386" i="106"/>
  <c r="D5388" i="106"/>
  <c r="D5389" i="106"/>
  <c r="D5390" i="106"/>
  <c r="D5392" i="106"/>
  <c r="D5396" i="106"/>
  <c r="D5397" i="106"/>
  <c r="D5398" i="106"/>
  <c r="D5399" i="106"/>
  <c r="D5400" i="106"/>
  <c r="D5402" i="106"/>
  <c r="D5403" i="106"/>
  <c r="D5404" i="106"/>
  <c r="D5405" i="106"/>
  <c r="D5406" i="106"/>
  <c r="D5407" i="106"/>
  <c r="D5408" i="106"/>
  <c r="D5409" i="106"/>
  <c r="D5410" i="106"/>
  <c r="D5411" i="106"/>
  <c r="D5413" i="106"/>
  <c r="D5414" i="106"/>
  <c r="D5415" i="106"/>
  <c r="D5416" i="106"/>
  <c r="D5417" i="106"/>
  <c r="D5418" i="106"/>
  <c r="D5419" i="106"/>
  <c r="D5420" i="106"/>
  <c r="D5427" i="106"/>
  <c r="D5428" i="106"/>
  <c r="D5429" i="106"/>
  <c r="D5430" i="106"/>
  <c r="D5433" i="106"/>
  <c r="D5434" i="106"/>
  <c r="D5435" i="106"/>
  <c r="D5436" i="106"/>
  <c r="D5437" i="106"/>
  <c r="D5438" i="106"/>
  <c r="D5441" i="106"/>
  <c r="D5442" i="106"/>
  <c r="D5443" i="106"/>
  <c r="D5445" i="106"/>
  <c r="D5446" i="106"/>
  <c r="D5447" i="106"/>
  <c r="D5448" i="106"/>
  <c r="D5449" i="106"/>
  <c r="D5450" i="106"/>
  <c r="D5451" i="106"/>
  <c r="D5452" i="106"/>
  <c r="D5453" i="106"/>
  <c r="D5454" i="106"/>
  <c r="D5455" i="106"/>
  <c r="D5456" i="106"/>
  <c r="D5457" i="106"/>
  <c r="D5460" i="106"/>
  <c r="D5461" i="106"/>
  <c r="D5465" i="106"/>
  <c r="D5466" i="106"/>
  <c r="D5467" i="106"/>
  <c r="D5468" i="106"/>
  <c r="D5469" i="106"/>
  <c r="D5471" i="106"/>
  <c r="D5472" i="106"/>
  <c r="D5473" i="106"/>
  <c r="D5474" i="106"/>
  <c r="D5475" i="106"/>
  <c r="D5476" i="106"/>
  <c r="D5477" i="106"/>
  <c r="D5478" i="106"/>
  <c r="D5479" i="106"/>
  <c r="D5480" i="106"/>
  <c r="D5481" i="106"/>
  <c r="D5482" i="106"/>
  <c r="D5483" i="106"/>
  <c r="D5484" i="106"/>
  <c r="D5486" i="106"/>
  <c r="D5487" i="106"/>
  <c r="D5489" i="106"/>
  <c r="D5490" i="106"/>
  <c r="D5491" i="106"/>
  <c r="D5492" i="106"/>
  <c r="D5493" i="106"/>
  <c r="D5495" i="106"/>
  <c r="D5497" i="106"/>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3" i="106"/>
  <c r="D6083" i="106" s="1"/>
  <c r="B6084" i="106"/>
  <c r="D6084" i="106" s="1"/>
  <c r="B6085" i="106"/>
  <c r="D6085" i="106" s="1"/>
  <c r="B6086" i="106"/>
  <c r="D6086" i="106" s="1"/>
  <c r="B6087" i="106"/>
  <c r="D6087" i="106" s="1"/>
  <c r="B6088" i="106"/>
  <c r="D6088" i="106" s="1"/>
  <c r="B6089" i="106"/>
  <c r="D6089" i="106" s="1"/>
  <c r="B6090" i="106"/>
  <c r="D6090" i="106" s="1"/>
  <c r="B6092" i="106"/>
  <c r="D6092" i="106" s="1"/>
  <c r="B6093" i="106"/>
  <c r="D6093" i="106" s="1"/>
  <c r="B6094" i="106"/>
  <c r="D6094" i="106" s="1"/>
  <c r="B6095" i="106"/>
  <c r="D6095" i="106" s="1"/>
  <c r="B6096" i="106"/>
  <c r="D6096" i="106" s="1"/>
  <c r="B6097" i="106"/>
  <c r="D6097" i="106" s="1"/>
  <c r="B6098" i="106"/>
  <c r="D6098" i="106" s="1"/>
  <c r="B6099" i="106"/>
  <c r="D6099"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7" i="106"/>
  <c r="D6127" i="106" s="1"/>
  <c r="B6128" i="106"/>
  <c r="D6128" i="106" s="1"/>
  <c r="B6129" i="106"/>
  <c r="D6129" i="106" s="1"/>
  <c r="B6130" i="106"/>
  <c r="D6130" i="106" s="1"/>
  <c r="B6131" i="106"/>
  <c r="D6131" i="106" s="1"/>
  <c r="B6132" i="106"/>
  <c r="D6132" i="106" s="1"/>
  <c r="B6133" i="106"/>
  <c r="D6133" i="106" s="1"/>
  <c r="B6135" i="106"/>
  <c r="D6135" i="106" s="1"/>
  <c r="B6136" i="106"/>
  <c r="D6136" i="106" s="1"/>
  <c r="B6137" i="106"/>
  <c r="D6137" i="106" s="1"/>
  <c r="B6138" i="106"/>
  <c r="D6138" i="106" s="1"/>
  <c r="B6139" i="106"/>
  <c r="D6139" i="106" s="1"/>
  <c r="B6140" i="106"/>
  <c r="D6140" i="106" s="1"/>
  <c r="B6141" i="106"/>
  <c r="D6141" i="106" s="1"/>
  <c r="B6142" i="106"/>
  <c r="D6142" i="106" s="1"/>
  <c r="B6144" i="106"/>
  <c r="D6144" i="106" s="1"/>
  <c r="B6145" i="106"/>
  <c r="D6145" i="106" s="1"/>
  <c r="B6146" i="106"/>
  <c r="D6146" i="106" s="1"/>
  <c r="B6147" i="106"/>
  <c r="D6147" i="106" s="1"/>
  <c r="B6148" i="106"/>
  <c r="D6148" i="106" s="1"/>
  <c r="B6149" i="106"/>
  <c r="D6149" i="106" s="1"/>
  <c r="B6150" i="106"/>
  <c r="D6150" i="106" s="1"/>
  <c r="B6151" i="106"/>
  <c r="D6151" i="106" s="1"/>
  <c r="B6153" i="106"/>
  <c r="D6153" i="106" s="1"/>
  <c r="B6154" i="106"/>
  <c r="D6154" i="106" s="1"/>
  <c r="B6155" i="106"/>
  <c r="D6155" i="106" s="1"/>
  <c r="B6156" i="106"/>
  <c r="D6156" i="106" s="1"/>
  <c r="B6157" i="106"/>
  <c r="D6157" i="106" s="1"/>
  <c r="B6158" i="106"/>
  <c r="D6158" i="106" s="1"/>
  <c r="B6159" i="106"/>
  <c r="D6159" i="106" s="1"/>
  <c r="B6160" i="106"/>
  <c r="D6160" i="106" s="1"/>
  <c r="B6162" i="106"/>
  <c r="D6162" i="106" s="1"/>
  <c r="B6163" i="106"/>
  <c r="D6163" i="106" s="1"/>
  <c r="B6164" i="106"/>
  <c r="D6164" i="106" s="1"/>
  <c r="B6165" i="106"/>
  <c r="D6165" i="106" s="1"/>
  <c r="B6166" i="106"/>
  <c r="D6166" i="106" s="1"/>
  <c r="B6167" i="106"/>
  <c r="D6167" i="106" s="1"/>
  <c r="B6168" i="106"/>
  <c r="D6168" i="106" s="1"/>
  <c r="B6169" i="106"/>
  <c r="D6169"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3" i="106"/>
  <c r="D6243" i="106" s="1"/>
  <c r="B6246" i="106"/>
  <c r="D6246" i="106" s="1"/>
  <c r="B6248" i="106"/>
  <c r="D6248" i="106" s="1"/>
  <c r="B6250" i="106"/>
  <c r="D6250" i="106" s="1"/>
  <c r="B6252" i="106"/>
  <c r="D6252" i="106" s="1"/>
  <c r="B6254" i="106"/>
  <c r="D6254" i="106" s="1"/>
  <c r="B6255" i="106"/>
  <c r="D6255" i="106" s="1"/>
  <c r="B6258" i="106"/>
  <c r="D6258" i="106" s="1"/>
  <c r="B6260" i="106"/>
  <c r="D6260" i="106" s="1"/>
  <c r="J76" i="4"/>
  <c r="B6261" i="106" s="1"/>
  <c r="D6261" i="106" s="1"/>
  <c r="B6265" i="106"/>
  <c r="D6265" i="106" s="1"/>
  <c r="B6290" i="106"/>
  <c r="D6290" i="106" s="1"/>
  <c r="B6293" i="106"/>
  <c r="D6293" i="106" s="1"/>
  <c r="B6294" i="106"/>
  <c r="D6294"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1" i="106"/>
  <c r="D6361" i="106" s="1"/>
  <c r="B6362" i="106"/>
  <c r="D6362" i="106" s="1"/>
  <c r="B6364" i="106"/>
  <c r="D6364" i="106" s="1"/>
  <c r="B6365" i="106"/>
  <c r="D6365"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6" i="106"/>
  <c r="D6616" i="106" s="1"/>
  <c r="B6617" i="106"/>
  <c r="D6617" i="106" s="1"/>
  <c r="B6618" i="106"/>
  <c r="D6618" i="106" s="1"/>
  <c r="B6619" i="106"/>
  <c r="D6619" i="106" s="1"/>
  <c r="B6620" i="106"/>
  <c r="D6620" i="106" s="1"/>
  <c r="B6621" i="106"/>
  <c r="D6621" i="106" s="1"/>
  <c r="B6622" i="106"/>
  <c r="D6622" i="106" s="1"/>
  <c r="B6624" i="106"/>
  <c r="D6624" i="106" s="1"/>
  <c r="B6625" i="106"/>
  <c r="D6625" i="106" s="1"/>
  <c r="B6626" i="106"/>
  <c r="D6626" i="106" s="1"/>
  <c r="B6628" i="106"/>
  <c r="D6628" i="106" s="1"/>
  <c r="B6629" i="106"/>
  <c r="D6629" i="106" s="1"/>
  <c r="B6630" i="106"/>
  <c r="D6630" i="106" s="1"/>
  <c r="B6631" i="106"/>
  <c r="D6631" i="106" s="1"/>
  <c r="B6632" i="106"/>
  <c r="D6632" i="106" s="1"/>
  <c r="B6633" i="106"/>
  <c r="D6633" i="106" s="1"/>
  <c r="B6634" i="106"/>
  <c r="D6634" i="106" s="1"/>
  <c r="B6636" i="106"/>
  <c r="D6636" i="106" s="1"/>
  <c r="B6637" i="106"/>
  <c r="D6637" i="106" s="1"/>
  <c r="B6638" i="106"/>
  <c r="D6638" i="106" s="1"/>
  <c r="B6639" i="106"/>
  <c r="D6639" i="106" s="1"/>
  <c r="B6640" i="106"/>
  <c r="D6640" i="106" s="1"/>
  <c r="B6641" i="106"/>
  <c r="D6641" i="106" s="1"/>
  <c r="B6642" i="106"/>
  <c r="D6642" i="106" s="1"/>
  <c r="B6644" i="106"/>
  <c r="D6644" i="106" s="1"/>
  <c r="B6645" i="106"/>
  <c r="D6645" i="106" s="1"/>
  <c r="B6646" i="106"/>
  <c r="D6646" i="106" s="1"/>
  <c r="B6647" i="106"/>
  <c r="D6647" i="106" s="1"/>
  <c r="B6648" i="106"/>
  <c r="D6648" i="106" s="1"/>
  <c r="B6649" i="106"/>
  <c r="D6649" i="106" s="1"/>
  <c r="B6650" i="106"/>
  <c r="D6650" i="106" s="1"/>
  <c r="B6652" i="106"/>
  <c r="D6652" i="106" s="1"/>
  <c r="B6653" i="106"/>
  <c r="D6653" i="106" s="1"/>
  <c r="B6654" i="106"/>
  <c r="D6654" i="106" s="1"/>
  <c r="B6655" i="106"/>
  <c r="D6655" i="106" s="1"/>
  <c r="B6656" i="106"/>
  <c r="D6656" i="106" s="1"/>
  <c r="B6657" i="106"/>
  <c r="D6657" i="106" s="1"/>
  <c r="B6658" i="106"/>
  <c r="D6658" i="106" s="1"/>
  <c r="B6660" i="106"/>
  <c r="D6660" i="106" s="1"/>
  <c r="B6661" i="106"/>
  <c r="D6661" i="106" s="1"/>
  <c r="B6662" i="106"/>
  <c r="D6662" i="106" s="1"/>
  <c r="B6663" i="106"/>
  <c r="D6663" i="106" s="1"/>
  <c r="B6664" i="106"/>
  <c r="D6664" i="106" s="1"/>
  <c r="B6665" i="106"/>
  <c r="D6665" i="106" s="1"/>
  <c r="B6666" i="106"/>
  <c r="D6666" i="106" s="1"/>
  <c r="B6668" i="106"/>
  <c r="D6668" i="106" s="1"/>
  <c r="B6669" i="106"/>
  <c r="D6669" i="106" s="1"/>
  <c r="B6670" i="106"/>
  <c r="D6670" i="106" s="1"/>
  <c r="B6671" i="106"/>
  <c r="D6671" i="106" s="1"/>
  <c r="B6672" i="106"/>
  <c r="D6672" i="106" s="1"/>
  <c r="B6673" i="106"/>
  <c r="D6673" i="106" s="1"/>
  <c r="B6674" i="106"/>
  <c r="D6674" i="106" s="1"/>
  <c r="B6676" i="106"/>
  <c r="D6676" i="106" s="1"/>
  <c r="B6677" i="106"/>
  <c r="D6677" i="106" s="1"/>
  <c r="B6678" i="106"/>
  <c r="D6678" i="106" s="1"/>
  <c r="B6679" i="106"/>
  <c r="D6679" i="106" s="1"/>
  <c r="B6680" i="106"/>
  <c r="D6680" i="106" s="1"/>
  <c r="B6681" i="106"/>
  <c r="D6681" i="106" s="1"/>
  <c r="B6682" i="106"/>
  <c r="D6682" i="106" s="1"/>
  <c r="B6684" i="106"/>
  <c r="D6684" i="106" s="1"/>
  <c r="B6685" i="106"/>
  <c r="D6685" i="106" s="1"/>
  <c r="B6686" i="106"/>
  <c r="D6686" i="106" s="1"/>
  <c r="B6687" i="106"/>
  <c r="D6687" i="106" s="1"/>
  <c r="B6688" i="106"/>
  <c r="D6688" i="106" s="1"/>
  <c r="B6689" i="106"/>
  <c r="D6689" i="106" s="1"/>
  <c r="B6690" i="106"/>
  <c r="D6690" i="106" s="1"/>
  <c r="B6692" i="106"/>
  <c r="D6692" i="106" s="1"/>
  <c r="B6693" i="106"/>
  <c r="D6693" i="106" s="1"/>
  <c r="B6694" i="106"/>
  <c r="D6694" i="106" s="1"/>
  <c r="B6696" i="106"/>
  <c r="D6696" i="106" s="1"/>
  <c r="B6698" i="106"/>
  <c r="D6698" i="106" s="1"/>
  <c r="B6699" i="106"/>
  <c r="D6699" i="106" s="1"/>
  <c r="B6700" i="106"/>
  <c r="D6700" i="106" s="1"/>
  <c r="B6701" i="106"/>
  <c r="D6701" i="106" s="1"/>
  <c r="B6702" i="106"/>
  <c r="D6702" i="106" s="1"/>
  <c r="B6703" i="106"/>
  <c r="D6703" i="106" s="1"/>
  <c r="B6704" i="106"/>
  <c r="D6704" i="106" s="1"/>
  <c r="B6706" i="106"/>
  <c r="D6706" i="106" s="1"/>
  <c r="B6707" i="106"/>
  <c r="D6707" i="106" s="1"/>
  <c r="B6708" i="106"/>
  <c r="D6708" i="106" s="1"/>
  <c r="B6709" i="106"/>
  <c r="D6709" i="106" s="1"/>
  <c r="B6710" i="106"/>
  <c r="D6710" i="106" s="1"/>
  <c r="B6711" i="106"/>
  <c r="D6711" i="106" s="1"/>
  <c r="B6712" i="106"/>
  <c r="D6712" i="106" s="1"/>
  <c r="B6714" i="106"/>
  <c r="D6714" i="106" s="1"/>
  <c r="B6715" i="106"/>
  <c r="D6715" i="106" s="1"/>
  <c r="B6716" i="106"/>
  <c r="D6716" i="106" s="1"/>
  <c r="B6717" i="106"/>
  <c r="D6717" i="106" s="1"/>
  <c r="B6718" i="106"/>
  <c r="D6718" i="106" s="1"/>
  <c r="B6719" i="106"/>
  <c r="D6719" i="106" s="1"/>
  <c r="B6720" i="106"/>
  <c r="D6720" i="106" s="1"/>
  <c r="B6722" i="106"/>
  <c r="D6722" i="106" s="1"/>
  <c r="B6723" i="106"/>
  <c r="D6723" i="106" s="1"/>
  <c r="B6724" i="106"/>
  <c r="D6724" i="106" s="1"/>
  <c r="B6725" i="106"/>
  <c r="D6725" i="106" s="1"/>
  <c r="B6726" i="106"/>
  <c r="D6726" i="106" s="1"/>
  <c r="B6727" i="106"/>
  <c r="D6727" i="106" s="1"/>
  <c r="B6728" i="106"/>
  <c r="D6728" i="106" s="1"/>
  <c r="B6729" i="106"/>
  <c r="D6729" i="106" s="1"/>
  <c r="B6731" i="106"/>
  <c r="D6731" i="106" s="1"/>
  <c r="B6732" i="106"/>
  <c r="D6732" i="106" s="1"/>
  <c r="B6733" i="106"/>
  <c r="D6733" i="106" s="1"/>
  <c r="B6734" i="106"/>
  <c r="D6734" i="106" s="1"/>
  <c r="B6735" i="106"/>
  <c r="D6735" i="106" s="1"/>
  <c r="B6736" i="106"/>
  <c r="D6736" i="106" s="1"/>
  <c r="B6737" i="106"/>
  <c r="D6737" i="106" s="1"/>
  <c r="B6739" i="106"/>
  <c r="D6739" i="106" s="1"/>
  <c r="B6740" i="106"/>
  <c r="D6740" i="106" s="1"/>
  <c r="B6741" i="106"/>
  <c r="D6741" i="106" s="1"/>
  <c r="B6742" i="106"/>
  <c r="D6742" i="106" s="1"/>
  <c r="B6743" i="106"/>
  <c r="D6743" i="106" s="1"/>
  <c r="B6744" i="106"/>
  <c r="D6744" i="106" s="1"/>
  <c r="B6745" i="106"/>
  <c r="D6745" i="106" s="1"/>
  <c r="B6747" i="106"/>
  <c r="D6747" i="106" s="1"/>
  <c r="B6748" i="106"/>
  <c r="D6748" i="106" s="1"/>
  <c r="B6749" i="106"/>
  <c r="D6749" i="106" s="1"/>
  <c r="B6750" i="106"/>
  <c r="D6750" i="106" s="1"/>
  <c r="B6751" i="106"/>
  <c r="D6751" i="106" s="1"/>
  <c r="B6752" i="106"/>
  <c r="D6752" i="106" s="1"/>
  <c r="B6753" i="106"/>
  <c r="D6753" i="106" s="1"/>
  <c r="B6755" i="106"/>
  <c r="D6755" i="106" s="1"/>
  <c r="B6756" i="106"/>
  <c r="D6756" i="106" s="1"/>
  <c r="B6757" i="106"/>
  <c r="D6757" i="106" s="1"/>
  <c r="B6758" i="106"/>
  <c r="D6758" i="106" s="1"/>
  <c r="B6759" i="106"/>
  <c r="D6759" i="106" s="1"/>
  <c r="B6760" i="106"/>
  <c r="D6760" i="106" s="1"/>
  <c r="B6761" i="106"/>
  <c r="D6761" i="106" s="1"/>
  <c r="B6763" i="106"/>
  <c r="D6763" i="106" s="1"/>
  <c r="B6764" i="106"/>
  <c r="D6764" i="106" s="1"/>
  <c r="B6765" i="106"/>
  <c r="D6765" i="106" s="1"/>
  <c r="B6766" i="106"/>
  <c r="D6766" i="106" s="1"/>
  <c r="B6767" i="106"/>
  <c r="D6767" i="106" s="1"/>
  <c r="B6768" i="106"/>
  <c r="D6768" i="106" s="1"/>
  <c r="B6769" i="106"/>
  <c r="D6769" i="106" s="1"/>
  <c r="B6771" i="106"/>
  <c r="D6771" i="106" s="1"/>
  <c r="B6772" i="106"/>
  <c r="D6772" i="106" s="1"/>
  <c r="B6773" i="106"/>
  <c r="D6773" i="106" s="1"/>
  <c r="B6774" i="106"/>
  <c r="D6774" i="106" s="1"/>
  <c r="B6775" i="106"/>
  <c r="D6775" i="106" s="1"/>
  <c r="B6776" i="106"/>
  <c r="D6776" i="106" s="1"/>
  <c r="B6777" i="106"/>
  <c r="D6777" i="106" s="1"/>
  <c r="B6779" i="106"/>
  <c r="D6779" i="106" s="1"/>
  <c r="B6780" i="106"/>
  <c r="D6780" i="106" s="1"/>
  <c r="B6781" i="106"/>
  <c r="D6781" i="106" s="1"/>
  <c r="B6782" i="106"/>
  <c r="D6782" i="106" s="1"/>
  <c r="B6783" i="106"/>
  <c r="D6783" i="106" s="1"/>
  <c r="B6784" i="106"/>
  <c r="D6784" i="106" s="1"/>
  <c r="B6785" i="106"/>
  <c r="D6785" i="106" s="1"/>
  <c r="B6787" i="106"/>
  <c r="D6787" i="106" s="1"/>
  <c r="B6788" i="106"/>
  <c r="D6788" i="106" s="1"/>
  <c r="B6789" i="106"/>
  <c r="D6789" i="106" s="1"/>
  <c r="B6790" i="106"/>
  <c r="D6790" i="106" s="1"/>
  <c r="B6791" i="106"/>
  <c r="D6791" i="106" s="1"/>
  <c r="B6792" i="106"/>
  <c r="D6792" i="106" s="1"/>
  <c r="B6793" i="106"/>
  <c r="D6793" i="106" s="1"/>
  <c r="B6795" i="106"/>
  <c r="D6795" i="106" s="1"/>
  <c r="B6796" i="106"/>
  <c r="D6796" i="106" s="1"/>
  <c r="B6797" i="106"/>
  <c r="D6797" i="106" s="1"/>
  <c r="B6798" i="106"/>
  <c r="D6798" i="106" s="1"/>
  <c r="B6799" i="106"/>
  <c r="D6799" i="106" s="1"/>
  <c r="B6800" i="106"/>
  <c r="D6800" i="106" s="1"/>
  <c r="B6801" i="106"/>
  <c r="D6801" i="106" s="1"/>
  <c r="B6803" i="106"/>
  <c r="D6803" i="106" s="1"/>
  <c r="B6804" i="106"/>
  <c r="D6804" i="106" s="1"/>
  <c r="B6805" i="106"/>
  <c r="D6805" i="106" s="1"/>
  <c r="B6806" i="106"/>
  <c r="D6806" i="106" s="1"/>
  <c r="B6807" i="106"/>
  <c r="D6807" i="106" s="1"/>
  <c r="B6808" i="106"/>
  <c r="D6808" i="106" s="1"/>
  <c r="B6809" i="106"/>
  <c r="D6809" i="106" s="1"/>
  <c r="B6811" i="106"/>
  <c r="D6811" i="106" s="1"/>
  <c r="B6812" i="106"/>
  <c r="D6812" i="106" s="1"/>
  <c r="B6813" i="106"/>
  <c r="D6813" i="106" s="1"/>
  <c r="B6814" i="106"/>
  <c r="D6814" i="106" s="1"/>
  <c r="B6815" i="106"/>
  <c r="D6815" i="106" s="1"/>
  <c r="B6816" i="106"/>
  <c r="D6816" i="106" s="1"/>
  <c r="B6817" i="106"/>
  <c r="D6817" i="106" s="1"/>
  <c r="B6819" i="106"/>
  <c r="D6819" i="106" s="1"/>
  <c r="B6820" i="106"/>
  <c r="D6820" i="106" s="1"/>
  <c r="B6821" i="106"/>
  <c r="D6821" i="106" s="1"/>
  <c r="B6822" i="106"/>
  <c r="D6822" i="106" s="1"/>
  <c r="B6823" i="106"/>
  <c r="D6823" i="106" s="1"/>
  <c r="B6824" i="106"/>
  <c r="D6824" i="106" s="1"/>
  <c r="B6825" i="106"/>
  <c r="D6825"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2" i="106"/>
  <c r="D7002" i="106" s="1"/>
  <c r="B7003" i="106"/>
  <c r="D7003" i="106" s="1"/>
  <c r="B7004" i="106"/>
  <c r="D7004" i="106" s="1"/>
  <c r="B7006" i="106"/>
  <c r="D7006" i="106" s="1"/>
  <c r="B7008" i="106"/>
  <c r="D7008" i="106" s="1"/>
  <c r="B7009" i="106"/>
  <c r="D7009" i="106" s="1"/>
  <c r="B7014" i="106"/>
  <c r="D7014" i="106" s="1"/>
  <c r="B7016" i="106"/>
  <c r="D7016" i="106" s="1"/>
  <c r="K111" i="29"/>
  <c r="B7017" i="106" s="1"/>
  <c r="D7017" i="106" s="1"/>
  <c r="B7043" i="106"/>
  <c r="D7043" i="106" s="1"/>
  <c r="B7045" i="106"/>
  <c r="D7045" i="106" s="1"/>
  <c r="B7046" i="106"/>
  <c r="D7046"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4" i="106"/>
  <c r="D7654" i="106" s="1"/>
  <c r="B7657" i="106"/>
  <c r="D7657" i="106" s="1"/>
  <c r="B7660" i="106"/>
  <c r="D7660" i="106" s="1"/>
  <c r="B7663" i="106"/>
  <c r="D7663" i="106" s="1"/>
  <c r="B7666" i="106"/>
  <c r="D7666" i="106" s="1"/>
  <c r="B7669" i="106"/>
  <c r="D7669" i="106" s="1"/>
  <c r="B7671" i="106"/>
  <c r="D7671" i="106" s="1"/>
  <c r="B7673" i="106"/>
  <c r="D7673" i="106" s="1"/>
  <c r="B7675" i="106"/>
  <c r="D7675" i="106" s="1"/>
  <c r="B7677" i="106"/>
  <c r="D7677" i="106" s="1"/>
  <c r="B7679" i="106"/>
  <c r="D7679" i="106" s="1"/>
  <c r="B7681" i="106"/>
  <c r="D7681" i="106" s="1"/>
  <c r="B7683" i="106"/>
  <c r="D7683" i="106" s="1"/>
  <c r="B7685" i="106"/>
  <c r="D7685"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7" i="36"/>
  <c r="D38" i="36"/>
  <c r="D39" i="36"/>
  <c r="D40" i="36"/>
  <c r="D41" i="36"/>
  <c r="D42" i="36"/>
  <c r="B64" i="127"/>
  <c r="B65" i="127"/>
  <c r="E27" i="108"/>
  <c r="G27" i="108"/>
  <c r="G28" i="108"/>
  <c r="G30" i="108"/>
  <c r="E31" i="108"/>
  <c r="G31" i="108"/>
  <c r="E34"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C31" i="34"/>
  <c r="D31" i="34"/>
  <c r="C32" i="34"/>
  <c r="D32" i="34"/>
  <c r="C33" i="34"/>
  <c r="D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F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C103" i="34"/>
  <c r="D103" i="34"/>
  <c r="C104" i="34"/>
  <c r="D104" i="34"/>
  <c r="C105" i="34"/>
  <c r="D105" i="34"/>
  <c r="F105" i="34"/>
  <c r="D106" i="34"/>
  <c r="D107" i="34"/>
  <c r="D108" i="34"/>
  <c r="C109" i="34"/>
  <c r="D109" i="34"/>
  <c r="F109" i="34"/>
  <c r="C110" i="34"/>
  <c r="D110" i="34"/>
  <c r="C111" i="34"/>
  <c r="D111" i="34"/>
  <c r="D112" i="34"/>
  <c r="C113" i="34"/>
  <c r="D113" i="34"/>
  <c r="F113" i="34"/>
  <c r="C114" i="34"/>
  <c r="D114" i="34"/>
  <c r="C115" i="34"/>
  <c r="D115" i="34"/>
  <c r="F115" i="34"/>
  <c r="B7849" i="106" s="1"/>
  <c r="D7849" i="106" s="1"/>
  <c r="C116" i="34"/>
  <c r="D116" i="34"/>
  <c r="F116" i="34"/>
  <c r="B7850" i="106" s="1"/>
  <c r="D7850" i="106" s="1"/>
  <c r="C117" i="34"/>
  <c r="D117" i="34"/>
  <c r="F117" i="34"/>
  <c r="B7851" i="106" s="1"/>
  <c r="D7851" i="106" s="1"/>
  <c r="C118" i="34"/>
  <c r="D118" i="34"/>
  <c r="C119" i="34"/>
  <c r="D119" i="34"/>
  <c r="C120" i="34"/>
  <c r="D120" i="34"/>
  <c r="F120" i="34"/>
  <c r="B7854" i="106" s="1"/>
  <c r="D7854" i="106" s="1"/>
  <c r="C121" i="34"/>
  <c r="D121" i="34"/>
  <c r="C122" i="34"/>
  <c r="C123" i="34"/>
  <c r="D123" i="34"/>
  <c r="F123" i="34"/>
  <c r="D124" i="34"/>
  <c r="D125" i="34"/>
  <c r="D126" i="34"/>
  <c r="D127" i="34"/>
  <c r="D128" i="34"/>
  <c r="C129" i="34"/>
  <c r="D129" i="34"/>
  <c r="C130" i="34"/>
  <c r="D130" i="34"/>
  <c r="C131" i="34"/>
  <c r="D131" i="34"/>
  <c r="C132" i="34"/>
  <c r="D132" i="34"/>
  <c r="D133" i="34"/>
  <c r="D134"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C164" i="34"/>
  <c r="D164" i="34"/>
  <c r="C165" i="34"/>
  <c r="D165" i="34"/>
  <c r="C166" i="34"/>
  <c r="D166" i="34"/>
  <c r="C169" i="34"/>
  <c r="D169" i="34"/>
  <c r="C170" i="34"/>
  <c r="D170" i="34"/>
  <c r="C171" i="34"/>
  <c r="D171" i="34"/>
  <c r="F179" i="34"/>
  <c r="F3" i="11"/>
  <c r="B7591" i="106" s="1"/>
  <c r="F5" i="11"/>
  <c r="B2026" i="106" s="1"/>
  <c r="D2026" i="106" s="1"/>
  <c r="C16" i="11"/>
  <c r="B2013" i="106" s="1"/>
  <c r="D2013" i="106" s="1"/>
  <c r="C49" i="8"/>
  <c r="B7817" i="106" s="1"/>
  <c r="D7817" i="106" s="1"/>
  <c r="B4" i="7"/>
  <c r="B1744" i="106" s="1"/>
  <c r="D1744"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6" i="7"/>
  <c r="B3446" i="106" s="1"/>
  <c r="D3446" i="106" s="1"/>
  <c r="B17" i="7"/>
  <c r="B4102" i="106" s="1"/>
  <c r="D4102"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C93" i="5"/>
  <c r="B5112" i="106" s="1"/>
  <c r="D5112" i="106" s="1"/>
  <c r="C108" i="5"/>
  <c r="B5120" i="106" s="1"/>
  <c r="D5120"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F114" i="5"/>
  <c r="B5592" i="106" s="1"/>
  <c r="D5592" i="106" s="1"/>
  <c r="G114" i="5"/>
  <c r="B5741" i="106" s="1"/>
  <c r="D5741" i="106" s="1"/>
  <c r="C122" i="5"/>
  <c r="B5132" i="106" s="1"/>
  <c r="D5132"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C141" i="5"/>
  <c r="B5161" i="106" s="1"/>
  <c r="D5161" i="106" s="1"/>
  <c r="G141" i="5"/>
  <c r="B5752" i="106" s="1"/>
  <c r="D5752" i="106" s="1"/>
  <c r="G145" i="5"/>
  <c r="B5756" i="106" s="1"/>
  <c r="D5756" i="106" s="1"/>
  <c r="G155" i="5"/>
  <c r="B4357" i="106" s="1"/>
  <c r="D4357" i="106" s="1"/>
  <c r="C145" i="5"/>
  <c r="B5165" i="106" s="1"/>
  <c r="D5165" i="106" s="1"/>
  <c r="C155" i="5"/>
  <c r="B5178" i="106" s="1"/>
  <c r="D5178" i="106" s="1"/>
  <c r="E169" i="5"/>
  <c r="H169" i="5"/>
  <c r="B5899" i="106" s="1"/>
  <c r="D5899" i="106" s="1"/>
  <c r="I169" i="5"/>
  <c r="B4363" i="106" s="1"/>
  <c r="D4363" i="106" s="1"/>
  <c r="J169" i="5"/>
  <c r="B6396" i="106" s="1"/>
  <c r="D6396" i="106" s="1"/>
  <c r="K169" i="5"/>
  <c r="B5000" i="106" s="1"/>
  <c r="D5000" i="106" s="1"/>
  <c r="C175" i="5"/>
  <c r="B5225" i="106" s="1"/>
  <c r="D5225"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F181" i="5"/>
  <c r="B5658" i="106" s="1"/>
  <c r="D5658" i="106" s="1"/>
  <c r="G181" i="5"/>
  <c r="B5784" i="106" s="1"/>
  <c r="D5784" i="106" s="1"/>
  <c r="H181" i="5"/>
  <c r="B5908" i="106" s="1"/>
  <c r="D5908" i="106" s="1"/>
  <c r="K181" i="5"/>
  <c r="B6016" i="106" s="1"/>
  <c r="D6016" i="106" s="1"/>
  <c r="F188" i="5"/>
  <c r="G188" i="5"/>
  <c r="G198" i="5"/>
  <c r="B6409" i="106" s="1"/>
  <c r="D6409" i="106" s="1"/>
  <c r="F204" i="5"/>
  <c r="B5677" i="106" s="1"/>
  <c r="D5677" i="106" s="1"/>
  <c r="G204" i="5"/>
  <c r="B5803" i="106" s="1"/>
  <c r="D5803" i="106" s="1"/>
  <c r="F209" i="5"/>
  <c r="B4413" i="106" s="1"/>
  <c r="D4413" i="106" s="1"/>
  <c r="G209" i="5"/>
  <c r="B4414" i="106" s="1"/>
  <c r="D4414" i="106" s="1"/>
  <c r="F217" i="5"/>
  <c r="B5703" i="106" s="1"/>
  <c r="D5703" i="106" s="1"/>
  <c r="G217" i="5"/>
  <c r="B5829" i="106" s="1"/>
  <c r="D5829" i="106" s="1"/>
  <c r="G221" i="5"/>
  <c r="B5847" i="106" s="1"/>
  <c r="D5847" i="106" s="1"/>
  <c r="G252" i="5"/>
  <c r="B6837" i="106" s="1"/>
  <c r="D6837"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33" i="118"/>
  <c r="D22" i="37"/>
  <c r="L22" i="37"/>
  <c r="F42" i="34" l="1"/>
  <c r="F71" i="34"/>
  <c r="B7078" i="106"/>
  <c r="D7078" i="106" s="1"/>
  <c r="F72" i="34"/>
  <c r="G14" i="4"/>
  <c r="B2609" i="106" s="1"/>
  <c r="D2609" i="106" s="1"/>
  <c r="F52" i="34"/>
  <c r="B7831" i="106" s="1"/>
  <c r="D7831" i="106" s="1"/>
  <c r="D69" i="36"/>
  <c r="D24" i="37"/>
  <c r="B4270" i="106" s="1"/>
  <c r="D4270" i="106" s="1"/>
  <c r="G35" i="108"/>
  <c r="H365" i="29"/>
  <c r="B7242" i="106" s="1"/>
  <c r="D7242" i="106" s="1"/>
  <c r="B2724" i="106"/>
  <c r="D2724" i="106" s="1"/>
  <c r="D36" i="108"/>
  <c r="C352" i="29"/>
  <c r="B3621" i="106" s="1"/>
  <c r="D3621" i="106" s="1"/>
  <c r="H342" i="29"/>
  <c r="B7221" i="106" s="1"/>
  <c r="D7221" i="106" s="1"/>
  <c r="B7074" i="106"/>
  <c r="D7074" i="106" s="1"/>
  <c r="F64" i="34"/>
  <c r="I210" i="29"/>
  <c r="B7071" i="106" s="1"/>
  <c r="D7071" i="106" s="1"/>
  <c r="F36" i="34"/>
  <c r="B7828" i="106" s="1"/>
  <c r="D7828" i="106" s="1"/>
  <c r="F70" i="34"/>
  <c r="B7189" i="106"/>
  <c r="D7189" i="106" s="1"/>
  <c r="E64" i="184"/>
  <c r="N64" i="184" s="1"/>
  <c r="B7153" i="106"/>
  <c r="D7153" i="106" s="1"/>
  <c r="E60" i="184"/>
  <c r="N60" i="184" s="1"/>
  <c r="H12" i="184"/>
  <c r="J210" i="29"/>
  <c r="B7072" i="106" s="1"/>
  <c r="D7072" i="106" s="1"/>
  <c r="F34" i="34"/>
  <c r="B7826" i="106" s="1"/>
  <c r="D7826" i="106" s="1"/>
  <c r="B7162" i="106"/>
  <c r="D7162" i="106" s="1"/>
  <c r="E61" i="184"/>
  <c r="N61" i="184" s="1"/>
  <c r="B7705" i="106"/>
  <c r="D7705" i="106" s="1"/>
  <c r="E67" i="184"/>
  <c r="N67" i="184" s="1"/>
  <c r="F77" i="4"/>
  <c r="B3255" i="106" s="1"/>
  <c r="D3255" i="106" s="1"/>
  <c r="F68" i="34"/>
  <c r="F36" i="108"/>
  <c r="B7696" i="106"/>
  <c r="D7696" i="106" s="1"/>
  <c r="E66" i="184"/>
  <c r="N66" i="184" s="1"/>
  <c r="B7171" i="106"/>
  <c r="D7171" i="106" s="1"/>
  <c r="E62" i="184"/>
  <c r="N62" i="184" s="1"/>
  <c r="B7135" i="106"/>
  <c r="D7135" i="106" s="1"/>
  <c r="E58" i="184"/>
  <c r="N58" i="184" s="1"/>
  <c r="B7198" i="106"/>
  <c r="D7198" i="106" s="1"/>
  <c r="E65" i="184"/>
  <c r="N65" i="184" s="1"/>
  <c r="B7126" i="106"/>
  <c r="D7126" i="106" s="1"/>
  <c r="E57" i="184"/>
  <c r="F37" i="34"/>
  <c r="B7829" i="106" s="1"/>
  <c r="D7829" i="106" s="1"/>
  <c r="D31" i="108"/>
  <c r="E16" i="184"/>
  <c r="H16" i="184" s="1"/>
  <c r="C342" i="29"/>
  <c r="B7216" i="106" s="1"/>
  <c r="D7216" i="106" s="1"/>
  <c r="B7180" i="106"/>
  <c r="D7180" i="106" s="1"/>
  <c r="E63" i="184"/>
  <c r="N63" i="184" s="1"/>
  <c r="B2836" i="106"/>
  <c r="D2836" i="106" s="1"/>
  <c r="G33" i="108"/>
  <c r="E17" i="184"/>
  <c r="H17" i="184" s="1"/>
  <c r="B1124" i="106"/>
  <c r="D1124" i="106" s="1"/>
  <c r="E33" i="108"/>
  <c r="B1126" i="106"/>
  <c r="D1126" i="106" s="1"/>
  <c r="J22" i="37"/>
  <c r="L367" i="29"/>
  <c r="L342" i="29"/>
  <c r="F19" i="7"/>
  <c r="B1807" i="106" s="1"/>
  <c r="D1807" i="106" s="1"/>
  <c r="F46" i="34"/>
  <c r="F38" i="34"/>
  <c r="B7830" i="106" s="1"/>
  <c r="D7830" i="106" s="1"/>
  <c r="E35" i="108"/>
  <c r="F27" i="108"/>
  <c r="D54" i="36"/>
  <c r="H112" i="29"/>
  <c r="B7018" i="106" s="1"/>
  <c r="D7018" i="106" s="1"/>
  <c r="J77" i="4"/>
  <c r="B6262" i="106" s="1"/>
  <c r="D6262" i="106" s="1"/>
  <c r="B3647" i="106"/>
  <c r="D3647" i="106" s="1"/>
  <c r="L13" i="11"/>
  <c r="B2060" i="106" s="1"/>
  <c r="D2060" i="106" s="1"/>
  <c r="K184" i="29"/>
  <c r="F13" i="4" s="1"/>
  <c r="B2596" i="106" s="1"/>
  <c r="D2596" i="106" s="1"/>
  <c r="G210" i="29"/>
  <c r="L5" i="11"/>
  <c r="B2056" i="106" s="1"/>
  <c r="D2056" i="106" s="1"/>
  <c r="J352" i="29"/>
  <c r="J367" i="29" s="1"/>
  <c r="B7245" i="106" s="1"/>
  <c r="D7245" i="106" s="1"/>
  <c r="D6103" i="106"/>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D37" i="108"/>
  <c r="E30" i="108"/>
  <c r="F37" i="108"/>
  <c r="F26" i="108"/>
  <c r="D26" i="108"/>
  <c r="D31" i="36"/>
  <c r="B4087" i="106"/>
  <c r="D4087" i="106" s="1"/>
  <c r="L15" i="11"/>
  <c r="B3459" i="106" s="1"/>
  <c r="D3459" i="106" s="1"/>
  <c r="B3254" i="106"/>
  <c r="D3254" i="106" s="1"/>
  <c r="I24" i="12"/>
  <c r="B3649" i="106"/>
  <c r="D3649" i="106" s="1"/>
  <c r="G367" i="29"/>
  <c r="B3650" i="106" s="1"/>
  <c r="D3650" i="106" s="1"/>
  <c r="L312" i="29"/>
  <c r="I342" i="29"/>
  <c r="K350" i="29"/>
  <c r="F21" i="8"/>
  <c r="K24" i="12"/>
  <c r="F41" i="34"/>
  <c r="F35" i="34"/>
  <c r="B7827" i="106" s="1"/>
  <c r="D7827" i="106" s="1"/>
  <c r="D3583" i="106"/>
  <c r="F45" i="34"/>
  <c r="K285" i="29"/>
  <c r="B3724" i="106" s="1"/>
  <c r="D3724" i="106" s="1"/>
  <c r="B1410" i="106"/>
  <c r="D1410" i="106" s="1"/>
  <c r="B1329" i="106"/>
  <c r="D1329" i="106" s="1"/>
  <c r="F61" i="34"/>
  <c r="D12" i="7"/>
  <c r="B1769" i="106" s="1"/>
  <c r="D1769" i="106" s="1"/>
  <c r="B1746" i="106"/>
  <c r="D1746" i="106" s="1"/>
  <c r="I170" i="5"/>
  <c r="B4216" i="106" s="1"/>
  <c r="D4216" i="106" s="1"/>
  <c r="B5096" i="106"/>
  <c r="D5096" i="106" s="1"/>
  <c r="D4" i="7"/>
  <c r="B1760" i="106" s="1"/>
  <c r="D1760" i="106" s="1"/>
  <c r="G5" i="4"/>
  <c r="B3409" i="106" s="1"/>
  <c r="D3409" i="106" s="1"/>
  <c r="C109" i="5"/>
  <c r="B5121" i="106" s="1"/>
  <c r="D5121" i="106" s="1"/>
  <c r="G169" i="5"/>
  <c r="G170" i="5" s="1"/>
  <c r="B5778" i="106" s="1"/>
  <c r="D5778" i="106" s="1"/>
  <c r="I267" i="5"/>
  <c r="I7" i="4" s="1"/>
  <c r="B4444" i="106" s="1"/>
  <c r="D4444" i="106" s="1"/>
  <c r="G109" i="5"/>
  <c r="B5066" i="106"/>
  <c r="D5066" i="106" s="1"/>
  <c r="C169" i="5"/>
  <c r="K170" i="5"/>
  <c r="K6" i="4" s="1"/>
  <c r="B3570" i="106" s="1"/>
  <c r="D3570" i="106" s="1"/>
  <c r="J267" i="5"/>
  <c r="B7054" i="106" s="1"/>
  <c r="D7054" i="106" s="1"/>
  <c r="K267" i="5"/>
  <c r="B6022" i="106" s="1"/>
  <c r="D6022" i="106" s="1"/>
  <c r="H170" i="5"/>
  <c r="D11" i="7"/>
  <c r="B1768" i="106" s="1"/>
  <c r="D1768" i="106" s="1"/>
  <c r="H109" i="5"/>
  <c r="E109" i="5"/>
  <c r="E4" i="4" s="1"/>
  <c r="B2630" i="106" s="1"/>
  <c r="D2630" i="106" s="1"/>
  <c r="D7" i="7"/>
  <c r="B1763" i="106" s="1"/>
  <c r="D1763" i="106" s="1"/>
  <c r="F169" i="5"/>
  <c r="B5644" i="106" s="1"/>
  <c r="D5644"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84" i="29"/>
  <c r="B2088" i="106" s="1"/>
  <c r="D2088" i="106" s="1"/>
  <c r="B79" i="36"/>
  <c r="B77" i="36"/>
  <c r="F108" i="34"/>
  <c r="B7844" i="106" s="1"/>
  <c r="D7844" i="106" s="1"/>
  <c r="F109" i="5"/>
  <c r="J109" i="5"/>
  <c r="J170" i="5"/>
  <c r="F126" i="34"/>
  <c r="B7858" i="106" s="1"/>
  <c r="D7858" i="106" s="1"/>
  <c r="F5" i="4"/>
  <c r="B3408" i="106" s="1"/>
  <c r="D3408" i="106" s="1"/>
  <c r="C5" i="4"/>
  <c r="B3405" i="106" s="1"/>
  <c r="D3405" i="106" s="1"/>
  <c r="B6840" i="106"/>
  <c r="D6840" i="106" s="1"/>
  <c r="B6839" i="106"/>
  <c r="D6839" i="106" s="1"/>
  <c r="B6838" i="106"/>
  <c r="D6838"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146" i="106"/>
  <c r="D1146" i="106" s="1"/>
  <c r="K110" i="29"/>
  <c r="B1134" i="106"/>
  <c r="D1134" i="106" s="1"/>
  <c r="B7759" i="106"/>
  <c r="D7759" i="106" s="1"/>
  <c r="B1339" i="106"/>
  <c r="D1339" i="106" s="1"/>
  <c r="C210" i="29"/>
  <c r="B1340" i="106" s="1"/>
  <c r="D1340" i="106" s="1"/>
  <c r="B169" i="106"/>
  <c r="D169" i="106" s="1"/>
  <c r="B1131" i="106"/>
  <c r="D1131" i="106" s="1"/>
  <c r="L3" i="11"/>
  <c r="B7596" i="106" s="1"/>
  <c r="L9" i="11"/>
  <c r="B7614" i="106" s="1"/>
  <c r="L10" i="11"/>
  <c r="B2058" i="106" s="1"/>
  <c r="D2058" i="106" s="1"/>
  <c r="D10" i="7"/>
  <c r="B1765" i="106" s="1"/>
  <c r="D1765" i="106" s="1"/>
  <c r="D16" i="7"/>
  <c r="B3447" i="106" s="1"/>
  <c r="D3447"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7248" i="106"/>
  <c r="D7247" i="106"/>
  <c r="D7246" i="106"/>
  <c r="J312" i="29"/>
  <c r="B7117" i="106" s="1"/>
  <c r="D7117" i="106" s="1"/>
  <c r="I312" i="29"/>
  <c r="B7116" i="106" s="1"/>
  <c r="D7116" i="106" s="1"/>
  <c r="B6916" i="106"/>
  <c r="D6916" i="106" s="1"/>
  <c r="I74" i="29"/>
  <c r="I49" i="8"/>
  <c r="B3633" i="106"/>
  <c r="D3633" i="106" s="1"/>
  <c r="E352" i="29"/>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K100" i="29"/>
  <c r="B7013" i="106" s="1"/>
  <c r="D7013" i="106" s="1"/>
  <c r="B1135" i="106"/>
  <c r="D1135" i="106" s="1"/>
  <c r="K72" i="29"/>
  <c r="B1141" i="106" s="1"/>
  <c r="D1141" i="106" s="1"/>
  <c r="B1021" i="106"/>
  <c r="D1021" i="106" s="1"/>
  <c r="H74" i="29"/>
  <c r="B847" i="106"/>
  <c r="D847" i="106" s="1"/>
  <c r="E74" i="29"/>
  <c r="B1144" i="106"/>
  <c r="D1144" i="106" s="1"/>
  <c r="K194" i="29"/>
  <c r="B1358" i="106"/>
  <c r="D1358" i="106" s="1"/>
  <c r="F210" i="29"/>
  <c r="B1359" i="106" s="1"/>
  <c r="D1359" i="106" s="1"/>
  <c r="B1345" i="106"/>
  <c r="D1345" i="106" s="1"/>
  <c r="D210" i="29"/>
  <c r="B1346" i="106" s="1"/>
  <c r="D1346" i="106" s="1"/>
  <c r="B1109" i="106"/>
  <c r="D1109" i="106" s="1"/>
  <c r="K42" i="29"/>
  <c r="H102" i="29"/>
  <c r="B1047" i="106" s="1"/>
  <c r="D1047" i="106" s="1"/>
  <c r="G74" i="29"/>
  <c r="B905" i="106"/>
  <c r="D905" i="106" s="1"/>
  <c r="F74" i="29"/>
  <c r="D74" i="29"/>
  <c r="B211" i="106"/>
  <c r="D211" i="106" s="1"/>
  <c r="B188" i="106"/>
  <c r="D188" i="106" s="1"/>
  <c r="B139" i="106"/>
  <c r="D139" i="106" s="1"/>
  <c r="C266" i="5"/>
  <c r="J24" i="12"/>
  <c r="B7730" i="106"/>
  <c r="D7730" i="106" s="1"/>
  <c r="L16" i="11" l="1"/>
  <c r="B2061" i="106" s="1"/>
  <c r="D2061" i="106" s="1"/>
  <c r="B4435" i="106"/>
  <c r="D4435" i="106" s="1"/>
  <c r="J16" i="4"/>
  <c r="B6226" i="106" s="1"/>
  <c r="D6226" i="106" s="1"/>
  <c r="L114" i="29"/>
  <c r="C367" i="29"/>
  <c r="B3622" i="106" s="1"/>
  <c r="D3622" i="106" s="1"/>
  <c r="K365" i="29"/>
  <c r="B7243" i="106" s="1"/>
  <c r="D7243" i="106" s="1"/>
  <c r="B7235" i="106"/>
  <c r="D7235" i="106" s="1"/>
  <c r="B1381" i="106"/>
  <c r="D1381" i="106" s="1"/>
  <c r="F66" i="34"/>
  <c r="E19" i="184"/>
  <c r="B5770" i="106"/>
  <c r="D5770" i="106" s="1"/>
  <c r="N57" i="184"/>
  <c r="N68" i="184" s="1"/>
  <c r="E68" i="184"/>
  <c r="B5527" i="106"/>
  <c r="D5527" i="106" s="1"/>
  <c r="E367" i="29"/>
  <c r="B3636" i="106" s="1"/>
  <c r="D3636" i="106" s="1"/>
  <c r="B3635" i="106"/>
  <c r="D3635" i="106" s="1"/>
  <c r="B1328" i="106"/>
  <c r="D1328" i="106" s="1"/>
  <c r="B7220" i="106"/>
  <c r="D7220" i="106" s="1"/>
  <c r="F75" i="34"/>
  <c r="B7886" i="106" s="1"/>
  <c r="D7886" i="106" s="1"/>
  <c r="B7222" i="106"/>
  <c r="D7222" i="106" s="1"/>
  <c r="F76" i="34"/>
  <c r="B7887" i="106" s="1"/>
  <c r="D7887" i="106" s="1"/>
  <c r="K342" i="29"/>
  <c r="F13" i="34"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H268" i="5"/>
  <c r="B5915" i="106" s="1"/>
  <c r="D5915" i="106" s="1"/>
  <c r="B6024" i="106"/>
  <c r="D6024" i="106" s="1"/>
  <c r="G4" i="4"/>
  <c r="B2603" i="106" s="1"/>
  <c r="D2603" i="106" s="1"/>
  <c r="J7" i="4"/>
  <c r="B6222" i="106" s="1"/>
  <c r="D6222" i="106" s="1"/>
  <c r="B6014" i="106"/>
  <c r="D6014" i="106" s="1"/>
  <c r="B6025" i="106"/>
  <c r="D6025" i="106" s="1"/>
  <c r="H4" i="4"/>
  <c r="B5906" i="106"/>
  <c r="D5906" i="106" s="1"/>
  <c r="H6" i="4"/>
  <c r="B2656" i="106" s="1"/>
  <c r="D2656" i="106" s="1"/>
  <c r="B5214" i="106"/>
  <c r="D5214" i="106" s="1"/>
  <c r="C170" i="5"/>
  <c r="B7760" i="106"/>
  <c r="D7760" i="106" s="1"/>
  <c r="D24" i="36"/>
  <c r="K102" i="29"/>
  <c r="F53" i="34" s="1"/>
  <c r="B1515" i="106"/>
  <c r="D1515" i="106" s="1"/>
  <c r="G16" i="4"/>
  <c r="B2611" i="106" s="1"/>
  <c r="D2611" i="106" s="1"/>
  <c r="D3674" i="106"/>
  <c r="B3573" i="106"/>
  <c r="D3573" i="106" s="1"/>
  <c r="K4" i="4"/>
  <c r="B6028" i="106"/>
  <c r="D6028" i="106" s="1"/>
  <c r="F4" i="4"/>
  <c r="B2591" i="106" s="1"/>
  <c r="D2591" i="106" s="1"/>
  <c r="B5588" i="106"/>
  <c r="D5588" i="106" s="1"/>
  <c r="B1151" i="106"/>
  <c r="D1151" i="106" s="1"/>
  <c r="K112" i="29"/>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K74" i="29"/>
  <c r="K196" i="29"/>
  <c r="B2837" i="106"/>
  <c r="D2837" i="106" s="1"/>
  <c r="B1331" i="106"/>
  <c r="D1331" i="106" s="1"/>
  <c r="E16" i="4"/>
  <c r="B1446" i="106"/>
  <c r="D1446" i="106" s="1"/>
  <c r="B1448" i="106"/>
  <c r="D1448" i="106" s="1"/>
  <c r="B1125" i="106"/>
  <c r="D1125" i="106" s="1"/>
  <c r="G24" i="108"/>
  <c r="E24" i="108"/>
  <c r="K208" i="29"/>
  <c r="B4157" i="106"/>
  <c r="D4157" i="106" s="1"/>
  <c r="K312" i="29"/>
  <c r="B1560" i="106" s="1"/>
  <c r="D1560" i="106" s="1"/>
  <c r="B1559" i="106"/>
  <c r="D1559" i="106" s="1"/>
  <c r="H13" i="4"/>
  <c r="B1875" i="106"/>
  <c r="D1875" i="106" s="1"/>
  <c r="F22" i="37"/>
  <c r="B1983" i="106"/>
  <c r="D1983" i="106" s="1"/>
  <c r="H26" i="12"/>
  <c r="B7740" i="106" s="1"/>
  <c r="D7740"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24" i="106" l="1"/>
  <c r="D7224" i="106" s="1"/>
  <c r="B1145" i="106"/>
  <c r="D1145" i="106" s="1"/>
  <c r="K367" i="29"/>
  <c r="K368" i="29" s="1"/>
  <c r="B3681" i="106" s="1"/>
  <c r="D3681" i="106" s="1"/>
  <c r="K16" i="4"/>
  <c r="F24" i="37"/>
  <c r="J17" i="4"/>
  <c r="B6227" i="106" s="1"/>
  <c r="D6227" i="106" s="1"/>
  <c r="K13" i="4"/>
  <c r="B3572" i="106" s="1"/>
  <c r="D3572" i="106" s="1"/>
  <c r="B3672" i="106"/>
  <c r="D3672" i="106" s="1"/>
  <c r="F268" i="5"/>
  <c r="B5720" i="106" s="1"/>
  <c r="D5720"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3569" i="106"/>
  <c r="D3569" i="106" s="1"/>
  <c r="K8" i="4"/>
  <c r="B2631" i="106"/>
  <c r="D2631" i="106" s="1"/>
  <c r="B2556" i="106"/>
  <c r="D2556" i="106" s="1"/>
  <c r="A7259" i="106"/>
  <c r="D7258" i="106"/>
  <c r="B4434" i="106"/>
  <c r="D4434" i="106" s="1"/>
  <c r="E7" i="4"/>
  <c r="B4443" i="106" s="1"/>
  <c r="D4443" i="106" s="1"/>
  <c r="E268" i="5"/>
  <c r="B2634" i="106"/>
  <c r="D2634" i="106" s="1"/>
  <c r="E17" i="4"/>
  <c r="B1332" i="106"/>
  <c r="D1332" i="106" s="1"/>
  <c r="B989" i="106"/>
  <c r="D989" i="106" s="1"/>
  <c r="F54" i="34"/>
  <c r="C268" i="5"/>
  <c r="B5326" i="106"/>
  <c r="D5326" i="106" s="1"/>
  <c r="C7" i="4"/>
  <c r="H37" i="37"/>
  <c r="B285" i="106"/>
  <c r="D285" i="106" s="1"/>
  <c r="N37" i="3"/>
  <c r="B1510" i="106"/>
  <c r="D1510" i="106" s="1"/>
  <c r="K295" i="29"/>
  <c r="F12" i="34" s="1"/>
  <c r="G13" i="4"/>
  <c r="B3574" i="106"/>
  <c r="D3574" i="106" s="1"/>
  <c r="B5869" i="106"/>
  <c r="D5869" i="106" s="1"/>
  <c r="G268" i="5"/>
  <c r="G7" i="4"/>
  <c r="B3225" i="106"/>
  <c r="D3225" i="106" s="1"/>
  <c r="I8" i="4"/>
  <c r="B7020" i="106"/>
  <c r="D7020" i="106" s="1"/>
  <c r="F55" i="34"/>
  <c r="B2659" i="106"/>
  <c r="D2659" i="106" s="1"/>
  <c r="H17" i="4"/>
  <c r="B1387" i="106"/>
  <c r="D1387" i="106" s="1"/>
  <c r="F16" i="4"/>
  <c r="B2599" i="106" s="1"/>
  <c r="D2599" i="106" s="1"/>
  <c r="B1382" i="106"/>
  <c r="D1382" i="106" s="1"/>
  <c r="F63" i="34"/>
  <c r="F15" i="4"/>
  <c r="K210" i="29"/>
  <c r="F11" i="34" s="1"/>
  <c r="B1143" i="106"/>
  <c r="D1143" i="106" s="1"/>
  <c r="C13" i="4"/>
  <c r="B2557" i="106" s="1"/>
  <c r="D2557" i="106" s="1"/>
  <c r="B6223" i="106"/>
  <c r="D6223" i="106" s="1"/>
  <c r="B3678" i="106" l="1"/>
  <c r="D3678" i="106" s="1"/>
  <c r="J19" i="4"/>
  <c r="B6229" i="106" s="1"/>
  <c r="D6229" i="106" s="1"/>
  <c r="K17" i="4"/>
  <c r="B3575" i="106" s="1"/>
  <c r="D3575" i="106" s="1"/>
  <c r="J20" i="4"/>
  <c r="J78" i="4" s="1"/>
  <c r="F8" i="4"/>
  <c r="B2658" i="106"/>
  <c r="D2658" i="106" s="1"/>
  <c r="H10" i="4"/>
  <c r="B4127" i="106" s="1"/>
  <c r="D4127" i="106" s="1"/>
  <c r="F8" i="34"/>
  <c r="K10" i="4"/>
  <c r="B4130" i="106" s="1"/>
  <c r="D4130" i="106" s="1"/>
  <c r="B3571" i="106"/>
  <c r="D3571" i="106" s="1"/>
  <c r="B1388" i="106"/>
  <c r="D1388" i="106" s="1"/>
  <c r="K211" i="29"/>
  <c r="B1389" i="106" s="1"/>
  <c r="D1389" i="106" s="1"/>
  <c r="H19" i="4"/>
  <c r="B4141" i="106" s="1"/>
  <c r="D4141" i="106" s="1"/>
  <c r="B2661" i="106"/>
  <c r="D2661" i="106" s="1"/>
  <c r="H20" i="4"/>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19" i="4" l="1"/>
  <c r="B4144" i="106" s="1"/>
  <c r="D4144" i="106" s="1"/>
  <c r="K20" i="4"/>
  <c r="B6230" i="106"/>
  <c r="D6230" i="106" s="1"/>
  <c r="F10" i="4"/>
  <c r="B4125" i="106" s="1"/>
  <c r="D4125" i="106" s="1"/>
  <c r="D8" i="146"/>
  <c r="B2595" i="106"/>
  <c r="D2595" i="106" s="1"/>
  <c r="C10" i="4"/>
  <c r="B4122" i="106" s="1"/>
  <c r="D4122" i="106" s="1"/>
  <c r="B8" i="146"/>
  <c r="B2555" i="106"/>
  <c r="D2555" i="106" s="1"/>
  <c r="C20" i="4"/>
  <c r="G10" i="4"/>
  <c r="B4126" i="106" s="1"/>
  <c r="D4126" i="106" s="1"/>
  <c r="G20" i="4"/>
  <c r="B2606" i="106"/>
  <c r="D2606" i="106" s="1"/>
  <c r="E20" i="4"/>
  <c r="B2632" i="106"/>
  <c r="D2632" i="106" s="1"/>
  <c r="E10" i="4"/>
  <c r="B4124" i="106" s="1"/>
  <c r="D4124" i="106" s="1"/>
  <c r="A7261" i="106"/>
  <c r="D7260" i="106"/>
  <c r="G19" i="4"/>
  <c r="B4140" i="106" s="1"/>
  <c r="D4140" i="106" s="1"/>
  <c r="B2612" i="106"/>
  <c r="D2612" i="106" s="1"/>
  <c r="B9" i="146"/>
  <c r="B2561" i="106"/>
  <c r="D2561" i="106" s="1"/>
  <c r="C19" i="4"/>
  <c r="B4136" i="106" s="1"/>
  <c r="D4136" i="106" s="1"/>
  <c r="B288" i="106"/>
  <c r="D288" i="106" s="1"/>
  <c r="B2662" i="106"/>
  <c r="D2662" i="106" s="1"/>
  <c r="B3227" i="106"/>
  <c r="D3227" i="106" s="1"/>
  <c r="D9" i="146"/>
  <c r="F19" i="4"/>
  <c r="B4139" i="106" s="1"/>
  <c r="D4139" i="106" s="1"/>
  <c r="B2600" i="106"/>
  <c r="D2600" i="106" s="1"/>
  <c r="F20" i="4"/>
  <c r="B3576" i="106"/>
  <c r="D3576" i="106" s="1"/>
  <c r="B6263" i="106"/>
  <c r="D6263" i="106" s="1"/>
  <c r="D10" i="146" l="1"/>
  <c r="F78" i="4"/>
  <c r="B2601" i="106"/>
  <c r="D2601" i="106" s="1"/>
  <c r="A7262" i="106"/>
  <c r="D7261" i="106"/>
  <c r="G78" i="4"/>
  <c r="B2613" i="106"/>
  <c r="D2613" i="106" s="1"/>
  <c r="B2562" i="106"/>
  <c r="D2562" i="106" s="1"/>
  <c r="C78" i="4"/>
  <c r="B10" i="146"/>
  <c r="B2636" i="106"/>
  <c r="D2636" i="106" s="1"/>
  <c r="B3233" i="106" l="1"/>
  <c r="D3233" i="106" s="1"/>
  <c r="A7263" i="106"/>
  <c r="D7262" i="106"/>
  <c r="F81" i="4"/>
  <c r="B3256" i="106"/>
  <c r="D3256" i="106" s="1"/>
  <c r="G81" i="4"/>
  <c r="B3262" i="106"/>
  <c r="D3262" i="106" s="1"/>
  <c r="G82" i="4" l="1"/>
  <c r="B1686" i="106"/>
  <c r="D1686" i="106" s="1"/>
  <c r="B1672" i="106"/>
  <c r="D1672" i="106" s="1"/>
  <c r="F82" i="4"/>
  <c r="D11" i="146"/>
  <c r="A7264" i="106"/>
  <c r="D7263" i="106"/>
  <c r="A7265" i="106" l="1"/>
  <c r="D7264" i="106"/>
  <c r="B6270" i="106"/>
  <c r="D6270" i="106" s="1"/>
  <c r="F83" i="4"/>
  <c r="B6279" i="106" s="1"/>
  <c r="D6279" i="106" s="1"/>
  <c r="B6271" i="106"/>
  <c r="D6271" i="106" s="1"/>
  <c r="G83" i="4"/>
  <c r="B6280" i="106" s="1"/>
  <c r="D6280" i="106" s="1"/>
  <c r="A7266" i="106" l="1"/>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A7626" i="106" l="1"/>
  <c r="A7627" i="106" s="1"/>
  <c r="A7628" i="106" s="1"/>
  <c r="A7629" i="106" s="1"/>
  <c r="A7630" i="106" s="1"/>
  <c r="A7631" i="106" s="1"/>
  <c r="A7632" i="106" l="1"/>
  <c r="A7633" i="106" s="1"/>
  <c r="A7634" i="106" s="1"/>
  <c r="A7635" i="106" s="1"/>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2663" i="106" l="1"/>
  <c r="D2663" i="106" s="1"/>
  <c r="B3322" i="106"/>
  <c r="D3322" i="106" s="1"/>
  <c r="B3590" i="106"/>
  <c r="D3590" i="106" s="1"/>
  <c r="B6292" i="106"/>
  <c r="D6292" i="106" s="1"/>
  <c r="B3273" i="106"/>
  <c r="D3273" i="106" s="1"/>
  <c r="B3585" i="106"/>
  <c r="D3585" i="106" s="1"/>
  <c r="B3295" i="106"/>
  <c r="D3295" i="106" s="1"/>
  <c r="B7653" i="106"/>
  <c r="D7653" i="106" s="1"/>
  <c r="B7656" i="106"/>
  <c r="D7656" i="106" s="1"/>
  <c r="B7659" i="106"/>
  <c r="D7659" i="106" s="1"/>
  <c r="B7662" i="106"/>
  <c r="D7662" i="106" s="1"/>
  <c r="B7665" i="106"/>
  <c r="D7665" i="106" s="1"/>
  <c r="B7668" i="106"/>
  <c r="D7668" i="106" s="1"/>
  <c r="B6256" i="106"/>
  <c r="D6256" i="106" s="1"/>
  <c r="B3297" i="106"/>
  <c r="D3297" i="106" s="1"/>
  <c r="B6295" i="106" l="1"/>
  <c r="D6295" i="106" s="1"/>
  <c r="B6245" i="106"/>
  <c r="D6245" i="106" s="1"/>
  <c r="B6242" i="106"/>
  <c r="D6242" i="106" s="1"/>
  <c r="B2848" i="106"/>
  <c r="D2848" i="106" s="1"/>
  <c r="B6257" i="106"/>
  <c r="D6257" i="106" s="1"/>
  <c r="B6259" i="106"/>
  <c r="D6259" i="106" s="1"/>
  <c r="B3417" i="106"/>
  <c r="D3417" i="106" s="1"/>
  <c r="D34" i="36"/>
  <c r="B1645" i="106"/>
  <c r="D1645" i="106" s="1"/>
  <c r="B3321" i="106"/>
  <c r="D3321" i="106" s="1"/>
  <c r="B1687" i="106"/>
  <c r="D1687" i="106" s="1"/>
  <c r="D36" i="36" l="1"/>
  <c r="B3411" i="106"/>
  <c r="D3411" i="106" s="1"/>
  <c r="C13" i="3"/>
  <c r="B77" i="106" s="1"/>
  <c r="D77" i="106" s="1"/>
  <c r="E13" i="3"/>
  <c r="B131" i="106" s="1"/>
  <c r="D131" i="106" s="1"/>
  <c r="B3589" i="106"/>
  <c r="D3589" i="106" s="1"/>
  <c r="B6264" i="106"/>
  <c r="D6264" i="106" s="1"/>
  <c r="J81" i="4"/>
  <c r="J82" i="4" l="1"/>
  <c r="B6266" i="106"/>
  <c r="D6266" i="106" s="1"/>
  <c r="B1617" i="106"/>
  <c r="D1617" i="106" s="1"/>
  <c r="C81" i="4"/>
  <c r="J83" i="4" l="1"/>
  <c r="B6283" i="106" s="1"/>
  <c r="D6283" i="106" s="1"/>
  <c r="B6274" i="106"/>
  <c r="D6274" i="106" s="1"/>
  <c r="B11" i="146"/>
  <c r="C82" i="4"/>
  <c r="B1630" i="106"/>
  <c r="D1630" i="106" s="1"/>
  <c r="B6267" i="106" l="1"/>
  <c r="D6267" i="106" s="1"/>
  <c r="C83" i="4"/>
  <c r="B6276" i="106" s="1"/>
  <c r="D6276" i="106" s="1"/>
  <c r="B2912" i="106" l="1"/>
  <c r="D2912" i="106" s="1"/>
  <c r="I41" i="3"/>
  <c r="B140" i="106"/>
  <c r="D140" i="106" s="1"/>
  <c r="E41" i="3"/>
  <c r="B141" i="106" l="1"/>
  <c r="D141" i="106" s="1"/>
  <c r="D46" i="36"/>
  <c r="B2913" i="106"/>
  <c r="D2913" i="106" s="1"/>
  <c r="D50" i="36"/>
  <c r="B3567" i="106" l="1"/>
  <c r="D3567" i="106" s="1"/>
  <c r="K41" i="3"/>
  <c r="B6215" i="106"/>
  <c r="D6215" i="106" s="1"/>
  <c r="J41" i="3"/>
  <c r="D64" i="36"/>
  <c r="B282" i="106"/>
  <c r="D282" i="106" s="1"/>
  <c r="N23" i="3"/>
  <c r="B212" i="106"/>
  <c r="D212" i="106" s="1"/>
  <c r="H41" i="3"/>
  <c r="G41" i="3" l="1"/>
  <c r="B189" i="106"/>
  <c r="D189" i="106" s="1"/>
  <c r="D61" i="36"/>
  <c r="D51" i="36"/>
  <c r="B6216" i="106"/>
  <c r="D6216" i="106" s="1"/>
  <c r="C41" i="3"/>
  <c r="B92" i="106"/>
  <c r="D92" i="106" s="1"/>
  <c r="D57" i="36"/>
  <c r="D52" i="36"/>
  <c r="B3568" i="106"/>
  <c r="D3568" i="106" s="1"/>
  <c r="D49" i="36"/>
  <c r="B213" i="106"/>
  <c r="D213" i="106" s="1"/>
  <c r="B170" i="106"/>
  <c r="D170" i="106" s="1"/>
  <c r="F41" i="3"/>
  <c r="D60" i="36"/>
  <c r="B284" i="106"/>
  <c r="D284" i="106" s="1"/>
  <c r="D55" i="36"/>
  <c r="B93" i="106" l="1"/>
  <c r="D93" i="106" s="1"/>
  <c r="D44" i="36"/>
  <c r="B171" i="106"/>
  <c r="D171" i="106" s="1"/>
  <c r="D47" i="36"/>
  <c r="D48" i="36"/>
  <c r="B190" i="106"/>
  <c r="D190" i="106" s="1"/>
  <c r="F167" i="34" l="1"/>
  <c r="B7810" i="106"/>
  <c r="D7810" i="106" s="1"/>
  <c r="F168" i="34"/>
  <c r="B7814" i="106"/>
  <c r="D7814" i="106" s="1"/>
  <c r="B7775" i="106" l="1"/>
  <c r="D7775" i="106" s="1"/>
  <c r="B7774" i="106"/>
  <c r="D7774" i="106" s="1"/>
  <c r="K133" i="29"/>
  <c r="B7776" i="106" l="1"/>
  <c r="D7776" i="106" s="1"/>
  <c r="F160" i="34" l="1"/>
  <c r="B7867" i="106" s="1"/>
  <c r="D7867" i="106" s="1"/>
  <c r="B7766" i="106"/>
  <c r="D7766" i="106" s="1"/>
  <c r="B2575" i="106"/>
  <c r="D2575" i="106" s="1"/>
  <c r="B5350" i="106"/>
  <c r="D5350" i="106" s="1"/>
  <c r="B6321" i="106"/>
  <c r="D6321" i="106" s="1"/>
  <c r="B5352" i="106"/>
  <c r="D5352" i="106" s="1"/>
  <c r="B6331" i="106"/>
  <c r="D6331" i="106" s="1"/>
  <c r="B6341" i="106"/>
  <c r="D6341" i="106" s="1"/>
  <c r="B7044" i="106"/>
  <c r="D7044" i="106" s="1"/>
  <c r="B5354" i="106"/>
  <c r="D5354" i="106" s="1"/>
  <c r="B5336" i="106"/>
  <c r="D5336" i="106" s="1"/>
  <c r="B5337" i="106"/>
  <c r="D5337" i="106" s="1"/>
  <c r="B5338" i="106"/>
  <c r="D5338" i="106" s="1"/>
  <c r="B5344" i="106"/>
  <c r="D5344" i="106" s="1"/>
  <c r="B5345" i="106"/>
  <c r="D5345" i="106" s="1"/>
  <c r="B5346" i="106"/>
  <c r="D5346" i="106" s="1"/>
  <c r="B5359" i="106"/>
  <c r="D5359" i="106" s="1"/>
  <c r="B5362" i="106"/>
  <c r="D5362" i="106" s="1"/>
  <c r="B7802" i="106"/>
  <c r="D7802" i="106" s="1"/>
  <c r="B4883" i="106"/>
  <c r="D4883" i="106" s="1"/>
  <c r="B4310" i="106"/>
  <c r="D4310" i="106" s="1"/>
  <c r="B5374" i="106"/>
  <c r="D5374" i="106" s="1"/>
  <c r="B5375" i="106"/>
  <c r="D5375" i="106" s="1"/>
  <c r="B6360" i="106"/>
  <c r="D6360" i="106" s="1"/>
  <c r="B6363" i="106"/>
  <c r="D6363" i="106" s="1"/>
  <c r="B6366" i="106"/>
  <c r="D6366" i="106" s="1"/>
  <c r="B4228" i="106"/>
  <c r="D4228" i="106" s="1"/>
  <c r="B5393" i="106"/>
  <c r="D5393" i="106" s="1"/>
  <c r="B4315" i="106"/>
  <c r="D4315" i="106" s="1"/>
  <c r="B5401" i="106"/>
  <c r="D5401" i="106" s="1"/>
  <c r="B4327" i="106"/>
  <c r="D4327" i="106" s="1"/>
  <c r="B4945" i="106"/>
  <c r="D4945" i="106" s="1"/>
  <c r="B4802" i="106"/>
  <c r="D4802" i="106" s="1"/>
  <c r="B4806" i="106"/>
  <c r="D4806" i="106" s="1"/>
  <c r="B4376" i="106"/>
  <c r="D4376" i="106" s="1"/>
  <c r="B4380" i="106"/>
  <c r="D4380" i="106" s="1"/>
  <c r="B4392" i="106"/>
  <c r="D4392" i="106" s="1"/>
  <c r="B5432" i="106"/>
  <c r="D5432" i="106" s="1"/>
  <c r="B5439" i="106"/>
  <c r="D5439" i="106" s="1"/>
  <c r="B4333" i="106"/>
  <c r="D4333" i="106" s="1"/>
  <c r="B4408" i="106"/>
  <c r="D4408" i="106" s="1"/>
  <c r="B4337" i="106"/>
  <c r="D4337" i="106" s="1"/>
  <c r="B4345" i="106"/>
  <c r="D4345" i="106" s="1"/>
  <c r="B6659" i="106"/>
  <c r="D6659" i="106" s="1"/>
  <c r="B6695" i="106"/>
  <c r="D6695" i="106" s="1"/>
  <c r="B6697" i="106"/>
  <c r="D6697" i="106" s="1"/>
  <c r="B6705" i="106"/>
  <c r="D6705" i="106" s="1"/>
  <c r="B6746" i="106"/>
  <c r="D6746" i="106" s="1"/>
  <c r="B6786" i="106"/>
  <c r="D6786" i="106" s="1"/>
  <c r="B1228" i="106"/>
  <c r="D1228" i="106" s="1"/>
  <c r="B1236" i="106"/>
  <c r="D1236" i="106" s="1"/>
  <c r="B1244" i="106"/>
  <c r="D1244" i="106" s="1"/>
  <c r="B1252" i="106"/>
  <c r="D1252" i="106" s="1"/>
  <c r="B1261" i="106"/>
  <c r="D1261" i="106" s="1"/>
  <c r="B7026" i="106"/>
  <c r="D7026" i="106" s="1"/>
  <c r="B7027" i="106"/>
  <c r="D7027" i="106" s="1"/>
  <c r="B1229" i="106"/>
  <c r="D1229" i="106" s="1"/>
  <c r="B1237" i="106"/>
  <c r="D1237" i="106" s="1"/>
  <c r="B1245" i="106"/>
  <c r="D1245" i="106" s="1"/>
  <c r="B1253" i="106"/>
  <c r="D1253" i="106" s="1"/>
  <c r="B1262" i="106"/>
  <c r="D1262" i="106" s="1"/>
  <c r="B7028" i="106"/>
  <c r="D7028" i="106" s="1"/>
  <c r="B7029" i="106"/>
  <c r="D7029" i="106" s="1"/>
  <c r="B3483" i="106"/>
  <c r="D3483" i="106" s="1"/>
  <c r="B3484" i="106"/>
  <c r="D3484" i="106" s="1"/>
  <c r="B3485" i="106"/>
  <c r="D3485" i="106" s="1"/>
  <c r="B3486" i="106"/>
  <c r="D3486" i="106" s="1"/>
  <c r="B3487" i="106"/>
  <c r="D3487" i="106" s="1"/>
  <c r="B7030" i="106"/>
  <c r="D7030" i="106" s="1"/>
  <c r="B7031" i="106"/>
  <c r="D7031" i="106" s="1"/>
  <c r="B7032" i="106"/>
  <c r="D7032" i="106" s="1"/>
  <c r="B1232" i="106"/>
  <c r="D1232" i="106" s="1"/>
  <c r="B1240" i="106"/>
  <c r="D1240" i="106" s="1"/>
  <c r="B1248" i="106"/>
  <c r="D1248" i="106" s="1"/>
  <c r="B1257" i="106"/>
  <c r="D1257" i="106" s="1"/>
  <c r="B1265" i="106"/>
  <c r="D1265" i="106" s="1"/>
  <c r="B7035" i="106"/>
  <c r="D7035" i="106" s="1"/>
  <c r="B7036" i="106"/>
  <c r="D7036" i="106" s="1"/>
  <c r="B2798" i="106"/>
  <c r="D2798" i="106" s="1"/>
  <c r="B2799" i="106"/>
  <c r="D2799" i="106" s="1"/>
  <c r="B2800" i="106"/>
  <c r="D2800" i="106" s="1"/>
  <c r="B2801" i="106"/>
  <c r="D2801" i="106" s="1"/>
  <c r="B2802" i="106"/>
  <c r="D2802" i="106" s="1"/>
  <c r="B7039" i="106"/>
  <c r="D7039" i="106" s="1"/>
  <c r="B7040" i="106"/>
  <c r="D7040" i="106" s="1"/>
  <c r="B2980" i="106"/>
  <c r="D2980" i="106" s="1"/>
  <c r="B2981" i="106"/>
  <c r="D2981" i="106" s="1"/>
  <c r="B3079" i="106"/>
  <c r="D3079" i="106" s="1"/>
  <c r="B3080" i="106"/>
  <c r="D3080" i="106" s="1"/>
  <c r="B3531" i="106"/>
  <c r="D3531" i="106" s="1"/>
  <c r="B3234" i="106"/>
  <c r="D3234" i="106" s="1"/>
  <c r="B2806" i="106"/>
  <c r="D2806" i="106" s="1"/>
  <c r="B7652" i="106"/>
  <c r="D7652" i="106" s="1"/>
  <c r="B7655" i="106"/>
  <c r="D7655" i="106" s="1"/>
  <c r="B7658" i="106"/>
  <c r="D7658" i="106" s="1"/>
  <c r="B7661" i="106"/>
  <c r="D7661" i="106" s="1"/>
  <c r="B7664" i="106"/>
  <c r="D7664" i="106" s="1"/>
  <c r="B7667" i="106"/>
  <c r="D7667" i="106" s="1"/>
  <c r="B7670" i="106"/>
  <c r="D7670" i="106" s="1"/>
  <c r="B7672" i="106"/>
  <c r="D7672" i="106" s="1"/>
  <c r="B7674" i="106"/>
  <c r="D7674" i="106" s="1"/>
  <c r="B7676" i="106"/>
  <c r="D7676" i="106" s="1"/>
  <c r="B7678" i="106"/>
  <c r="D7678" i="106" s="1"/>
  <c r="B7680" i="106"/>
  <c r="D7680" i="106" s="1"/>
  <c r="B7682" i="106"/>
  <c r="D7682" i="106" s="1"/>
  <c r="B7684" i="106"/>
  <c r="D7684" i="106" s="1"/>
  <c r="B7686" i="106"/>
  <c r="D7686" i="106" s="1"/>
  <c r="B6253" i="106"/>
  <c r="D6253" i="106" s="1"/>
  <c r="B3236" i="106"/>
  <c r="D3236" i="106" s="1"/>
  <c r="B6170" i="106"/>
  <c r="D6170" i="106" s="1"/>
  <c r="B6161" i="106"/>
  <c r="D6161" i="106" s="1"/>
  <c r="B6152" i="106"/>
  <c r="D6152" i="106" s="1"/>
  <c r="B6143" i="106"/>
  <c r="D6143" i="106" s="1"/>
  <c r="B6134" i="106"/>
  <c r="D6134" i="106" s="1"/>
  <c r="B108" i="106"/>
  <c r="D108" i="106" s="1"/>
  <c r="B6114" i="106"/>
  <c r="D6114" i="106" s="1"/>
  <c r="B104" i="106"/>
  <c r="D104" i="106" s="1"/>
  <c r="B6100" i="106"/>
  <c r="D6100" i="106" s="1"/>
  <c r="B6091" i="106"/>
  <c r="D6091" i="106" s="1"/>
  <c r="B6082" i="106"/>
  <c r="D6082" i="106" s="1"/>
  <c r="B97" i="106"/>
  <c r="D97" i="106" s="1"/>
  <c r="B117" i="106"/>
  <c r="D117" i="106" s="1"/>
  <c r="B119" i="106"/>
  <c r="D119" i="106" s="1"/>
  <c r="B105" i="106"/>
  <c r="D105" i="106" s="1"/>
  <c r="D76" i="4" l="1"/>
  <c r="B3237" i="106" s="1"/>
  <c r="D3237" i="106" s="1"/>
  <c r="B5023" i="106"/>
  <c r="D5023" i="106" s="1"/>
  <c r="D44" i="4"/>
  <c r="I47" i="4"/>
  <c r="B7749" i="106"/>
  <c r="D7749" i="106" s="1"/>
  <c r="B2979" i="106"/>
  <c r="D2979" i="106" s="1"/>
  <c r="H137" i="29"/>
  <c r="B1243" i="106"/>
  <c r="D1243" i="106" s="1"/>
  <c r="F127" i="29"/>
  <c r="B1247" i="106" s="1"/>
  <c r="D1247" i="106" s="1"/>
  <c r="B4853" i="106"/>
  <c r="D4853" i="106" s="1"/>
  <c r="F171" i="34"/>
  <c r="B7876" i="106" s="1"/>
  <c r="D7876" i="106" s="1"/>
  <c r="B5494" i="106"/>
  <c r="D5494" i="106" s="1"/>
  <c r="F33" i="34"/>
  <c r="D114" i="5"/>
  <c r="B5357" i="106"/>
  <c r="D5357" i="106" s="1"/>
  <c r="B5351" i="106"/>
  <c r="D5351" i="106" s="1"/>
  <c r="F103" i="34"/>
  <c r="B7840" i="106" s="1"/>
  <c r="D7840" i="106" s="1"/>
  <c r="B5462" i="106"/>
  <c r="D5462" i="106" s="1"/>
  <c r="F129" i="34"/>
  <c r="B7861" i="106" s="1"/>
  <c r="D7861" i="106" s="1"/>
  <c r="L137" i="29"/>
  <c r="L139" i="29" s="1"/>
  <c r="B6247" i="106"/>
  <c r="D6247" i="106" s="1"/>
  <c r="E39" i="4"/>
  <c r="B6287" i="106" s="1"/>
  <c r="D6287" i="106" s="1"/>
  <c r="B6291" i="106"/>
  <c r="D6291" i="106" s="1"/>
  <c r="D73" i="36"/>
  <c r="B1270" i="106"/>
  <c r="D1270" i="106" s="1"/>
  <c r="K146" i="29"/>
  <c r="B1285" i="106" s="1"/>
  <c r="D1285" i="106" s="1"/>
  <c r="D127" i="29"/>
  <c r="B1231" i="106" s="1"/>
  <c r="D1231" i="106" s="1"/>
  <c r="B1227" i="106"/>
  <c r="D1227" i="106" s="1"/>
  <c r="B4359" i="106"/>
  <c r="D4359" i="106" s="1"/>
  <c r="F169" i="34"/>
  <c r="B7874" i="106" s="1"/>
  <c r="D7874" i="106" s="1"/>
  <c r="B6770" i="106"/>
  <c r="D6770" i="106" s="1"/>
  <c r="F150" i="34"/>
  <c r="B6683" i="106"/>
  <c r="D6683" i="106" s="1"/>
  <c r="F142" i="34"/>
  <c r="B4199" i="106"/>
  <c r="D4199" i="106" s="1"/>
  <c r="K134" i="29"/>
  <c r="E137" i="29"/>
  <c r="D188" i="5"/>
  <c r="B5426" i="106"/>
  <c r="D5426" i="106" s="1"/>
  <c r="B2808" i="106"/>
  <c r="D2808" i="106" s="1"/>
  <c r="K145" i="29"/>
  <c r="B2811" i="106" s="1"/>
  <c r="D2811" i="106" s="1"/>
  <c r="B3482" i="106"/>
  <c r="D3482" i="106" s="1"/>
  <c r="K125" i="29"/>
  <c r="B1219" i="106"/>
  <c r="D1219" i="106" s="1"/>
  <c r="C127" i="29"/>
  <c r="B1223" i="106" s="1"/>
  <c r="D1223" i="106" s="1"/>
  <c r="B4190" i="106"/>
  <c r="D4190" i="106" s="1"/>
  <c r="F166" i="34"/>
  <c r="B7873" i="106" s="1"/>
  <c r="D7873" i="106" s="1"/>
  <c r="F149" i="34"/>
  <c r="B6762" i="106"/>
  <c r="D6762" i="106" s="1"/>
  <c r="B6675" i="106"/>
  <c r="D6675" i="106" s="1"/>
  <c r="F141" i="34"/>
  <c r="D141" i="5"/>
  <c r="B5370" i="106"/>
  <c r="D5370" i="106" s="1"/>
  <c r="F114" i="34"/>
  <c r="B7848" i="106" s="1"/>
  <c r="D7848" i="106" s="1"/>
  <c r="B5395" i="106"/>
  <c r="D5395" i="106" s="1"/>
  <c r="K144" i="29"/>
  <c r="B2810" i="106" s="1"/>
  <c r="D2810" i="106" s="1"/>
  <c r="B2807" i="106"/>
  <c r="D2807" i="106" s="1"/>
  <c r="B7023" i="106"/>
  <c r="D7023" i="106" s="1"/>
  <c r="B4419" i="106"/>
  <c r="D4419" i="106" s="1"/>
  <c r="F165" i="34"/>
  <c r="B7872" i="106" s="1"/>
  <c r="D7872" i="106" s="1"/>
  <c r="B6754" i="106"/>
  <c r="D6754" i="106" s="1"/>
  <c r="F148" i="34"/>
  <c r="B6667" i="106"/>
  <c r="D6667" i="106" s="1"/>
  <c r="F140" i="34"/>
  <c r="B5424" i="106"/>
  <c r="D5424" i="106" s="1"/>
  <c r="D181" i="5"/>
  <c r="B5391" i="106"/>
  <c r="D5391" i="106" s="1"/>
  <c r="D155" i="5"/>
  <c r="F104" i="34"/>
  <c r="B7841" i="106" s="1"/>
  <c r="D7841" i="106" s="1"/>
  <c r="B5353" i="106"/>
  <c r="D5353" i="106" s="1"/>
  <c r="L149" i="29"/>
  <c r="L147" i="29"/>
  <c r="B1269" i="106"/>
  <c r="D1269" i="106" s="1"/>
  <c r="K143" i="29"/>
  <c r="B1284" i="106" s="1"/>
  <c r="D1284" i="106" s="1"/>
  <c r="K128" i="29"/>
  <c r="B1224" i="106"/>
  <c r="D1224" i="106" s="1"/>
  <c r="B7022" i="106"/>
  <c r="D7022" i="106" s="1"/>
  <c r="F164" i="34"/>
  <c r="B7871" i="106" s="1"/>
  <c r="D7871" i="106" s="1"/>
  <c r="B5498" i="106"/>
  <c r="D5498" i="106" s="1"/>
  <c r="D209" i="5"/>
  <c r="B5440" i="106"/>
  <c r="D5440" i="106" s="1"/>
  <c r="B4313" i="106"/>
  <c r="D4313" i="106" s="1"/>
  <c r="F30" i="34"/>
  <c r="B7823" i="106" s="1"/>
  <c r="D132" i="5"/>
  <c r="B5368" i="106"/>
  <c r="D5368" i="106" s="1"/>
  <c r="B5343" i="106"/>
  <c r="D5343" i="106" s="1"/>
  <c r="B5464" i="106"/>
  <c r="D5464" i="106" s="1"/>
  <c r="F131" i="34"/>
  <c r="B7863" i="106" s="1"/>
  <c r="D7863" i="106" s="1"/>
  <c r="B5459" i="106"/>
  <c r="D5459" i="106" s="1"/>
  <c r="F32" i="34"/>
  <c r="B7825" i="106" s="1"/>
  <c r="D7825" i="106" s="1"/>
  <c r="K148" i="29"/>
  <c r="B7050" i="106" s="1"/>
  <c r="D7050" i="106" s="1"/>
  <c r="B7049" i="106"/>
  <c r="D7049" i="106" s="1"/>
  <c r="B6778" i="106"/>
  <c r="D6778" i="106" s="1"/>
  <c r="F151" i="34"/>
  <c r="H41" i="4"/>
  <c r="B6251" i="106"/>
  <c r="D6251" i="106" s="1"/>
  <c r="B6244" i="106"/>
  <c r="D6244" i="106" s="1"/>
  <c r="E38" i="4"/>
  <c r="B6286" i="106" s="1"/>
  <c r="D6286" i="106" s="1"/>
  <c r="B3078" i="106"/>
  <c r="D3078" i="106" s="1"/>
  <c r="D68" i="36"/>
  <c r="B1268" i="106"/>
  <c r="D1268" i="106" s="1"/>
  <c r="H147" i="29"/>
  <c r="K142" i="29"/>
  <c r="B4079" i="106"/>
  <c r="D4079" i="106" s="1"/>
  <c r="F163" i="34"/>
  <c r="B7870" i="106" s="1"/>
  <c r="D7870" i="106" s="1"/>
  <c r="B5496" i="106"/>
  <c r="D5496" i="106" s="1"/>
  <c r="F147" i="34"/>
  <c r="B6738" i="106"/>
  <c r="D6738" i="106" s="1"/>
  <c r="F138" i="34"/>
  <c r="B6651" i="106"/>
  <c r="D6651" i="106" s="1"/>
  <c r="D175" i="5"/>
  <c r="B5422" i="106"/>
  <c r="D5422" i="106" s="1"/>
  <c r="F29" i="34"/>
  <c r="B5387" i="106"/>
  <c r="D5387" i="106" s="1"/>
  <c r="K52" i="4"/>
  <c r="B3698" i="106"/>
  <c r="D3698" i="106" s="1"/>
  <c r="B2092" i="106"/>
  <c r="D2092" i="106" s="1"/>
  <c r="K138" i="29"/>
  <c r="B2094" i="106" s="1"/>
  <c r="D2094" i="106" s="1"/>
  <c r="K126" i="29"/>
  <c r="B1277" i="106" s="1"/>
  <c r="D1277" i="106" s="1"/>
  <c r="B1254" i="106"/>
  <c r="D1254" i="106" s="1"/>
  <c r="B1220" i="106"/>
  <c r="D1220" i="106" s="1"/>
  <c r="K123" i="29"/>
  <c r="B1275" i="106" s="1"/>
  <c r="D1275" i="106" s="1"/>
  <c r="B4078" i="106"/>
  <c r="D4078" i="106" s="1"/>
  <c r="B6826" i="106"/>
  <c r="D6826" i="106" s="1"/>
  <c r="F157" i="34"/>
  <c r="B6730" i="106"/>
  <c r="D6730" i="106" s="1"/>
  <c r="F146" i="34"/>
  <c r="F137" i="34"/>
  <c r="B6643" i="106"/>
  <c r="D6643" i="106" s="1"/>
  <c r="F122" i="34"/>
  <c r="B7855" i="106" s="1"/>
  <c r="D7855" i="106" s="1"/>
  <c r="B4793" i="106"/>
  <c r="D4793" i="106" s="1"/>
  <c r="F111" i="34"/>
  <c r="B7846" i="106" s="1"/>
  <c r="D7846" i="106" s="1"/>
  <c r="B5384" i="106"/>
  <c r="D5384" i="106" s="1"/>
  <c r="B5340" i="106"/>
  <c r="D5340" i="106" s="1"/>
  <c r="H51" i="4"/>
  <c r="B3161" i="106"/>
  <c r="D3161" i="106" s="1"/>
  <c r="J127" i="29"/>
  <c r="B7034" i="106" s="1"/>
  <c r="D7034" i="106" s="1"/>
  <c r="B7025" i="106"/>
  <c r="D7025" i="106" s="1"/>
  <c r="B4077" i="106"/>
  <c r="D4077" i="106" s="1"/>
  <c r="F156" i="34"/>
  <c r="B6818" i="106"/>
  <c r="D6818" i="106" s="1"/>
  <c r="F145" i="34"/>
  <c r="B6721" i="106"/>
  <c r="D6721" i="106" s="1"/>
  <c r="F136" i="34"/>
  <c r="B6635" i="106"/>
  <c r="D6635" i="106" s="1"/>
  <c r="B4329" i="106"/>
  <c r="D4329" i="106" s="1"/>
  <c r="F121" i="34"/>
  <c r="F110" i="34"/>
  <c r="B7845" i="106" s="1"/>
  <c r="D7845" i="106" s="1"/>
  <c r="B4352" i="106"/>
  <c r="D4352" i="106" s="1"/>
  <c r="B5349" i="106"/>
  <c r="D5349" i="106" s="1"/>
  <c r="D108" i="5"/>
  <c r="B5355" i="106" s="1"/>
  <c r="D5355" i="106" s="1"/>
  <c r="F102" i="34"/>
  <c r="B7839" i="106" s="1"/>
  <c r="D7839" i="106" s="1"/>
  <c r="F143" i="34"/>
  <c r="B6691" i="106"/>
  <c r="D6691" i="106" s="1"/>
  <c r="B5347" i="106"/>
  <c r="D5347" i="106" s="1"/>
  <c r="B2758" i="106"/>
  <c r="D2758" i="106" s="1"/>
  <c r="D72" i="36"/>
  <c r="B4201" i="106"/>
  <c r="D4201" i="106" s="1"/>
  <c r="K136" i="29"/>
  <c r="B2988" i="106" s="1"/>
  <c r="D2988" i="106" s="1"/>
  <c r="B2797" i="106"/>
  <c r="D2797" i="106" s="1"/>
  <c r="K130" i="29"/>
  <c r="I127" i="29"/>
  <c r="B7033" i="106" s="1"/>
  <c r="D7033" i="106" s="1"/>
  <c r="B7024" i="106"/>
  <c r="D7024" i="106" s="1"/>
  <c r="B4076" i="106"/>
  <c r="D4076" i="106" s="1"/>
  <c r="B6810" i="106"/>
  <c r="D6810" i="106" s="1"/>
  <c r="F155" i="34"/>
  <c r="F144" i="34"/>
  <c r="B6713" i="106"/>
  <c r="D6713" i="106" s="1"/>
  <c r="F135" i="34"/>
  <c r="B6627" i="106"/>
  <c r="D6627" i="106" s="1"/>
  <c r="B5431" i="106"/>
  <c r="D5431" i="106" s="1"/>
  <c r="D204" i="5"/>
  <c r="B5361" i="106"/>
  <c r="D5361" i="106" s="1"/>
  <c r="D122" i="5"/>
  <c r="F130" i="34"/>
  <c r="B7862" i="106" s="1"/>
  <c r="D7862" i="106" s="1"/>
  <c r="B5463" i="106"/>
  <c r="D5463" i="106" s="1"/>
  <c r="D217" i="5"/>
  <c r="B5470" i="106" s="1"/>
  <c r="D5470" i="106" s="1"/>
  <c r="B5458" i="106"/>
  <c r="D5458" i="106" s="1"/>
  <c r="F31" i="34"/>
  <c r="B7824" i="106" s="1"/>
  <c r="D17" i="171"/>
  <c r="B4446" i="106"/>
  <c r="D4446" i="106" s="1"/>
  <c r="F170" i="34"/>
  <c r="B7875" i="106" s="1"/>
  <c r="D7875" i="106" s="1"/>
  <c r="E40" i="4"/>
  <c r="B6288" i="106" s="1"/>
  <c r="D6288" i="106" s="1"/>
  <c r="B6249" i="106"/>
  <c r="D6249" i="106" s="1"/>
  <c r="B6241" i="106"/>
  <c r="D6241" i="106" s="1"/>
  <c r="H19" i="118"/>
  <c r="H14" i="118"/>
  <c r="E37" i="4"/>
  <c r="D71" i="36"/>
  <c r="B5013" i="106"/>
  <c r="D5013" i="106" s="1"/>
  <c r="H127" i="29"/>
  <c r="B1264" i="106" s="1"/>
  <c r="D1264" i="106" s="1"/>
  <c r="B1260" i="106"/>
  <c r="D1260" i="106" s="1"/>
  <c r="B4075" i="106"/>
  <c r="D4075" i="106" s="1"/>
  <c r="D129" i="29"/>
  <c r="B6802" i="106"/>
  <c r="D6802" i="106" s="1"/>
  <c r="F154" i="34"/>
  <c r="B6623" i="106"/>
  <c r="D6623" i="106" s="1"/>
  <c r="F134" i="34"/>
  <c r="B6389" i="106"/>
  <c r="D6389" i="106" s="1"/>
  <c r="F119" i="34"/>
  <c r="B7853" i="106" s="1"/>
  <c r="D7853" i="106" s="1"/>
  <c r="F132" i="34"/>
  <c r="B7864" i="106" s="1"/>
  <c r="D7864" i="106" s="1"/>
  <c r="B4341" i="106"/>
  <c r="D4341" i="106" s="1"/>
  <c r="B432" i="106"/>
  <c r="D432" i="106" s="1"/>
  <c r="I48" i="4"/>
  <c r="B2106" i="106" s="1"/>
  <c r="D2106" i="106" s="1"/>
  <c r="B4200" i="106"/>
  <c r="D4200" i="106" s="1"/>
  <c r="K135" i="29"/>
  <c r="B2987" i="106" s="1"/>
  <c r="D2987" i="106" s="1"/>
  <c r="B1221" i="106"/>
  <c r="D1221" i="106" s="1"/>
  <c r="K124" i="29"/>
  <c r="B1251" i="106"/>
  <c r="D1251" i="106" s="1"/>
  <c r="G127" i="29"/>
  <c r="B1256" i="106" s="1"/>
  <c r="D1256" i="106" s="1"/>
  <c r="K120" i="29"/>
  <c r="B4074" i="106"/>
  <c r="D4074" i="106" s="1"/>
  <c r="C129" i="29"/>
  <c r="B6794" i="106"/>
  <c r="D6794" i="106" s="1"/>
  <c r="F153" i="34"/>
  <c r="B6615" i="106"/>
  <c r="D6615" i="106" s="1"/>
  <c r="D252" i="5"/>
  <c r="B6834" i="106" s="1"/>
  <c r="D6834" i="106" s="1"/>
  <c r="B4916" i="106"/>
  <c r="D4916" i="106" s="1"/>
  <c r="F118" i="34"/>
  <c r="B7852" i="106" s="1"/>
  <c r="D7852" i="106" s="1"/>
  <c r="D12" i="171"/>
  <c r="B5358" i="106"/>
  <c r="D5358" i="106" s="1"/>
  <c r="B5335" i="106"/>
  <c r="D5335" i="106" s="1"/>
  <c r="D18" i="5"/>
  <c r="B5339" i="106" s="1"/>
  <c r="D5339" i="106" s="1"/>
  <c r="B5341" i="106"/>
  <c r="D5341" i="106" s="1"/>
  <c r="B1631" i="106"/>
  <c r="D1631" i="106" s="1"/>
  <c r="F129" i="29" l="1"/>
  <c r="L127" i="29"/>
  <c r="L129" i="29" s="1"/>
  <c r="L151" i="29" s="1"/>
  <c r="D82" i="5"/>
  <c r="B1280" i="106"/>
  <c r="D1280" i="106" s="1"/>
  <c r="G38" i="108"/>
  <c r="E38" i="108"/>
  <c r="B5383" i="106"/>
  <c r="D5383" i="106" s="1"/>
  <c r="F107" i="34"/>
  <c r="B7843" i="106" s="1"/>
  <c r="D7843" i="106" s="1"/>
  <c r="B5330" i="106"/>
  <c r="D5330" i="106" s="1"/>
  <c r="B13" i="7"/>
  <c r="B1235" i="106"/>
  <c r="D1235" i="106" s="1"/>
  <c r="E127" i="29"/>
  <c r="B5369" i="106"/>
  <c r="D5369" i="106" s="1"/>
  <c r="F106" i="34"/>
  <c r="B7842" i="106" s="1"/>
  <c r="D7842" i="106" s="1"/>
  <c r="D169" i="5"/>
  <c r="B5412" i="106" s="1"/>
  <c r="D5412" i="106" s="1"/>
  <c r="D35" i="36"/>
  <c r="H24" i="118"/>
  <c r="B3414" i="106"/>
  <c r="D3414" i="106" s="1"/>
  <c r="D13" i="3"/>
  <c r="B4080" i="106"/>
  <c r="D4080" i="106" s="1"/>
  <c r="E21" i="108"/>
  <c r="G21" i="108"/>
  <c r="B3170" i="106"/>
  <c r="D3170" i="106" s="1"/>
  <c r="H76" i="4"/>
  <c r="B3298" i="106" s="1"/>
  <c r="D3298" i="106" s="1"/>
  <c r="B3702" i="106"/>
  <c r="D3702" i="106" s="1"/>
  <c r="K76" i="4"/>
  <c r="H129" i="29"/>
  <c r="E44" i="4"/>
  <c r="B6285" i="106"/>
  <c r="D6285" i="106" s="1"/>
  <c r="F125" i="34"/>
  <c r="B7857" i="106" s="1"/>
  <c r="D7857" i="106" s="1"/>
  <c r="B4396" i="106"/>
  <c r="D4396" i="106" s="1"/>
  <c r="B1283" i="106"/>
  <c r="D1283" i="106" s="1"/>
  <c r="K147" i="29"/>
  <c r="J129" i="29"/>
  <c r="E139" i="29"/>
  <c r="B4203" i="106" s="1"/>
  <c r="D4203" i="106" s="1"/>
  <c r="B4202" i="106"/>
  <c r="D4202" i="106" s="1"/>
  <c r="H139" i="29"/>
  <c r="B1267" i="106" s="1"/>
  <c r="D1267" i="106" s="1"/>
  <c r="B2091" i="106"/>
  <c r="D2091" i="106" s="1"/>
  <c r="B1276" i="106"/>
  <c r="D1276" i="106" s="1"/>
  <c r="F28" i="108"/>
  <c r="F41" i="108" s="1"/>
  <c r="G43" i="108" s="1"/>
  <c r="E28" i="108"/>
  <c r="F158" i="34"/>
  <c r="B7866" i="106" s="1"/>
  <c r="D7866" i="106" s="1"/>
  <c r="G129" i="29"/>
  <c r="B7881" i="106"/>
  <c r="D7881" i="106" s="1"/>
  <c r="H149" i="29"/>
  <c r="B1272" i="106" s="1"/>
  <c r="D1272" i="106" s="1"/>
  <c r="B7047" i="106"/>
  <c r="D7047" i="106" s="1"/>
  <c r="B4412" i="106"/>
  <c r="D4412" i="106" s="1"/>
  <c r="F128" i="34"/>
  <c r="B7860" i="106" s="1"/>
  <c r="D7860" i="106" s="1"/>
  <c r="B2986" i="106"/>
  <c r="D2986" i="106" s="1"/>
  <c r="K137" i="29"/>
  <c r="D67" i="5"/>
  <c r="B5342" i="106" s="1"/>
  <c r="D5342" i="106" s="1"/>
  <c r="B5394" i="106"/>
  <c r="D5394" i="106" s="1"/>
  <c r="F112" i="34"/>
  <c r="B7847" i="106" s="1"/>
  <c r="D7847" i="106" s="1"/>
  <c r="B6289" i="106"/>
  <c r="D6289" i="106" s="1"/>
  <c r="H44" i="4"/>
  <c r="B5367" i="106"/>
  <c r="D5367" i="106" s="1"/>
  <c r="B5423" i="106"/>
  <c r="D5423" i="106" s="1"/>
  <c r="K122" i="29"/>
  <c r="B5" i="7"/>
  <c r="D12" i="5"/>
  <c r="B5328" i="106"/>
  <c r="D5328" i="106" s="1"/>
  <c r="B2105" i="106"/>
  <c r="D2105" i="106" s="1"/>
  <c r="I76" i="4"/>
  <c r="B6126" i="106"/>
  <c r="D6126" i="106" s="1"/>
  <c r="D34" i="3"/>
  <c r="I129" i="29"/>
  <c r="B5425" i="106"/>
  <c r="D5425" i="106" s="1"/>
  <c r="F124" i="34"/>
  <c r="B7856" i="106" s="1"/>
  <c r="D7856" i="106" s="1"/>
  <c r="B5333" i="106"/>
  <c r="D5333" i="106" s="1"/>
  <c r="B18" i="7"/>
  <c r="B3235" i="106"/>
  <c r="D3235" i="106" s="1"/>
  <c r="D77" i="4"/>
  <c r="B3238" i="106" s="1"/>
  <c r="D3238" i="106" s="1"/>
  <c r="D151" i="29"/>
  <c r="B1234" i="106" s="1"/>
  <c r="D1234" i="106" s="1"/>
  <c r="B1233" i="106"/>
  <c r="D1233" i="106" s="1"/>
  <c r="B5444" i="106"/>
  <c r="D5444" i="106" s="1"/>
  <c r="F127" i="34"/>
  <c r="B7859" i="106" s="1"/>
  <c r="D7859" i="106" s="1"/>
  <c r="F56" i="34"/>
  <c r="B7832" i="106" s="1"/>
  <c r="D7832" i="106" s="1"/>
  <c r="B2805" i="106"/>
  <c r="D2805" i="106" s="1"/>
  <c r="G39" i="108"/>
  <c r="E39" i="108"/>
  <c r="D14" i="4"/>
  <c r="B2570" i="106" s="1"/>
  <c r="D2570" i="106" s="1"/>
  <c r="F151" i="29"/>
  <c r="B1250" i="106" s="1"/>
  <c r="D1250" i="106" s="1"/>
  <c r="B1249" i="106"/>
  <c r="D1249" i="106" s="1"/>
  <c r="B15" i="7"/>
  <c r="B5332" i="106"/>
  <c r="D5332" i="106" s="1"/>
  <c r="B3488" i="106"/>
  <c r="D3488" i="106" s="1"/>
  <c r="E29" i="108"/>
  <c r="G29" i="108"/>
  <c r="D221" i="5"/>
  <c r="B5485" i="106"/>
  <c r="D5485" i="106" s="1"/>
  <c r="B5360" i="106"/>
  <c r="D5360" i="106" s="1"/>
  <c r="D5" i="4"/>
  <c r="B3406" i="106" s="1"/>
  <c r="D3406" i="106" s="1"/>
  <c r="B1225" i="106"/>
  <c r="D1225" i="106" s="1"/>
  <c r="C151" i="29"/>
  <c r="B1226" i="106" s="1"/>
  <c r="D1226" i="106" s="1"/>
  <c r="B5331" i="106"/>
  <c r="D5331" i="106" s="1"/>
  <c r="B14" i="7"/>
  <c r="D170" i="5" l="1"/>
  <c r="B5421" i="106"/>
  <c r="D5421" i="106" s="1"/>
  <c r="D6" i="4"/>
  <c r="B2566" i="106" s="1"/>
  <c r="D2566" i="106" s="1"/>
  <c r="B7038" i="106"/>
  <c r="D7038" i="106" s="1"/>
  <c r="J151" i="29"/>
  <c r="B7052" i="106" s="1"/>
  <c r="D7052" i="106" s="1"/>
  <c r="B1239" i="106"/>
  <c r="D1239" i="106" s="1"/>
  <c r="E129" i="29"/>
  <c r="B5488" i="106"/>
  <c r="D5488" i="106" s="1"/>
  <c r="F133" i="34"/>
  <c r="B7865" i="106" s="1"/>
  <c r="D7865" i="106" s="1"/>
  <c r="B7037" i="106"/>
  <c r="D7037" i="106" s="1"/>
  <c r="I151" i="29"/>
  <c r="K149" i="29"/>
  <c r="B7048" i="106"/>
  <c r="D7048" i="106" s="1"/>
  <c r="B122" i="106"/>
  <c r="D122" i="106" s="1"/>
  <c r="B3296" i="106"/>
  <c r="D3296" i="106" s="1"/>
  <c r="H77" i="4"/>
  <c r="B3725" i="106"/>
  <c r="D3725" i="106" s="1"/>
  <c r="D13" i="7"/>
  <c r="B3726" i="106" s="1"/>
  <c r="D3726" i="106" s="1"/>
  <c r="G151" i="29"/>
  <c r="B1258" i="106"/>
  <c r="D1258" i="106" s="1"/>
  <c r="B3318" i="106"/>
  <c r="D3318" i="106" s="1"/>
  <c r="I77" i="4"/>
  <c r="D266" i="5"/>
  <c r="B109" i="106"/>
  <c r="D109" i="106" s="1"/>
  <c r="B1754" i="106"/>
  <c r="D1754" i="106" s="1"/>
  <c r="D14" i="7"/>
  <c r="B1770" i="106" s="1"/>
  <c r="D1770" i="106" s="1"/>
  <c r="B1756" i="106"/>
  <c r="D1756" i="106" s="1"/>
  <c r="D15" i="7"/>
  <c r="B1772" i="106" s="1"/>
  <c r="D1772" i="106" s="1"/>
  <c r="B5334" i="106"/>
  <c r="D5334" i="106" s="1"/>
  <c r="D109" i="5"/>
  <c r="K139" i="29"/>
  <c r="B2093" i="106"/>
  <c r="D2093" i="106" s="1"/>
  <c r="B3274" i="106"/>
  <c r="D3274" i="106" s="1"/>
  <c r="E77" i="4"/>
  <c r="B1745" i="106"/>
  <c r="D1745" i="106" s="1"/>
  <c r="D5" i="7"/>
  <c r="B19" i="7"/>
  <c r="B1759" i="106" s="1"/>
  <c r="D1759" i="106" s="1"/>
  <c r="H151" i="29"/>
  <c r="B1273" i="106" s="1"/>
  <c r="D1273" i="106" s="1"/>
  <c r="B1266" i="106"/>
  <c r="D1266" i="106" s="1"/>
  <c r="B4103" i="106"/>
  <c r="D4103" i="106" s="1"/>
  <c r="D18" i="7"/>
  <c r="B4105" i="106" s="1"/>
  <c r="D4105" i="106" s="1"/>
  <c r="F15" i="184"/>
  <c r="G26" i="108"/>
  <c r="G41" i="108" s="1"/>
  <c r="G44" i="108" s="1"/>
  <c r="G45" i="108" s="1"/>
  <c r="E26" i="108"/>
  <c r="E41" i="108" s="1"/>
  <c r="E44" i="108" s="1"/>
  <c r="E45" i="108" s="1"/>
  <c r="B1274" i="106"/>
  <c r="D1274" i="106" s="1"/>
  <c r="K127" i="29"/>
  <c r="K77" i="4"/>
  <c r="B3586" i="106"/>
  <c r="D3586" i="106" s="1"/>
  <c r="B5348" i="106"/>
  <c r="D5348" i="106" s="1"/>
  <c r="F96" i="34"/>
  <c r="F57" i="34" l="1"/>
  <c r="B1282" i="106"/>
  <c r="D1282" i="106" s="1"/>
  <c r="D15" i="4"/>
  <c r="B2571" i="106" s="1"/>
  <c r="D2571" i="106" s="1"/>
  <c r="D16" i="4"/>
  <c r="B2572" i="106" s="1"/>
  <c r="D2572" i="106" s="1"/>
  <c r="B1287" i="106"/>
  <c r="D1287" i="106" s="1"/>
  <c r="B5356" i="106"/>
  <c r="D5356" i="106" s="1"/>
  <c r="D4" i="4"/>
  <c r="F59" i="34"/>
  <c r="B7051" i="106"/>
  <c r="D7051" i="106" s="1"/>
  <c r="F17" i="11"/>
  <c r="F58" i="34"/>
  <c r="B1259" i="106"/>
  <c r="D1259" i="106" s="1"/>
  <c r="B7838" i="106"/>
  <c r="D7838" i="106" s="1"/>
  <c r="F175" i="34"/>
  <c r="B7877" i="106" s="1"/>
  <c r="D7877" i="106" s="1"/>
  <c r="B3299" i="106"/>
  <c r="D3299" i="106" s="1"/>
  <c r="H78" i="4"/>
  <c r="B1241" i="106"/>
  <c r="D1241" i="106" s="1"/>
  <c r="E151" i="29"/>
  <c r="B1242" i="106" s="1"/>
  <c r="D1242" i="106" s="1"/>
  <c r="F19" i="184"/>
  <c r="H15" i="184"/>
  <c r="H19" i="184" s="1"/>
  <c r="L20" i="184" s="1"/>
  <c r="B1761" i="106"/>
  <c r="D1761" i="106" s="1"/>
  <c r="D19" i="7"/>
  <c r="B1775" i="106" s="1"/>
  <c r="D1775" i="106" s="1"/>
  <c r="K78" i="4"/>
  <c r="B3587" i="106"/>
  <c r="D3587" i="106" s="1"/>
  <c r="B1279" i="106"/>
  <c r="D1279" i="106" s="1"/>
  <c r="K129" i="29"/>
  <c r="B3277" i="106"/>
  <c r="D3277" i="106" s="1"/>
  <c r="E78" i="4"/>
  <c r="B5501" i="106"/>
  <c r="D5501" i="106" s="1"/>
  <c r="D267" i="5"/>
  <c r="D268" i="5" s="1"/>
  <c r="I78" i="4"/>
  <c r="B3319" i="106"/>
  <c r="D3319" i="106" s="1"/>
  <c r="B5508" i="106" l="1"/>
  <c r="D5508" i="106" s="1"/>
  <c r="B7624" i="106"/>
  <c r="D7624" i="106" s="1"/>
  <c r="I17" i="11"/>
  <c r="B3588" i="106"/>
  <c r="D3588" i="106" s="1"/>
  <c r="K81" i="4"/>
  <c r="I81" i="4"/>
  <c r="B3320" i="106"/>
  <c r="D3320" i="106" s="1"/>
  <c r="D7" i="4"/>
  <c r="D8" i="4" s="1"/>
  <c r="B5507" i="106"/>
  <c r="D5507" i="106" s="1"/>
  <c r="B2564" i="106"/>
  <c r="D2564" i="106" s="1"/>
  <c r="E81" i="4"/>
  <c r="B3278" i="106"/>
  <c r="D3278" i="106" s="1"/>
  <c r="B3300" i="106"/>
  <c r="D3300" i="106" s="1"/>
  <c r="H81" i="4"/>
  <c r="K151" i="29"/>
  <c r="B1281" i="106"/>
  <c r="D1281" i="106" s="1"/>
  <c r="D13" i="4"/>
  <c r="F77" i="34"/>
  <c r="B7834" i="106" s="1"/>
  <c r="D7834" i="106" s="1"/>
  <c r="B2567" i="106" l="1"/>
  <c r="D2567" i="106" s="1"/>
  <c r="D10" i="171"/>
  <c r="D19" i="171" s="1"/>
  <c r="D32" i="171" s="1"/>
  <c r="D49" i="171" s="1"/>
  <c r="D17" i="4"/>
  <c r="B2569" i="106"/>
  <c r="D2569" i="106" s="1"/>
  <c r="E11" i="146"/>
  <c r="B3323" i="106"/>
  <c r="D3323" i="106" s="1"/>
  <c r="I82" i="4"/>
  <c r="D63" i="36"/>
  <c r="B1288" i="106"/>
  <c r="D1288" i="106" s="1"/>
  <c r="F9" i="34"/>
  <c r="F14" i="34" s="1"/>
  <c r="B3591" i="106"/>
  <c r="D3591" i="106" s="1"/>
  <c r="K82" i="4"/>
  <c r="D65" i="36"/>
  <c r="B1700" i="106"/>
  <c r="D1700" i="106" s="1"/>
  <c r="H82" i="4"/>
  <c r="D62" i="36"/>
  <c r="I18" i="11"/>
  <c r="B7625" i="106"/>
  <c r="D7625" i="106" s="1"/>
  <c r="C8" i="146"/>
  <c r="F8" i="146" s="1"/>
  <c r="D16" i="37"/>
  <c r="D10" i="4"/>
  <c r="B4123" i="106" s="1"/>
  <c r="D4123" i="106" s="1"/>
  <c r="B2568" i="106"/>
  <c r="D2568" i="106" s="1"/>
  <c r="H13" i="118"/>
  <c r="H18" i="118"/>
  <c r="K152" i="29"/>
  <c r="B1289" i="106" s="1"/>
  <c r="D1289" i="106" s="1"/>
  <c r="E82" i="4"/>
  <c r="B1658" i="106"/>
  <c r="D1658" i="106" s="1"/>
  <c r="D59" i="36"/>
  <c r="B123" i="106" l="1"/>
  <c r="D123" i="106" s="1"/>
  <c r="D76" i="36"/>
  <c r="D41" i="3"/>
  <c r="B6273" i="106"/>
  <c r="D6273" i="106" s="1"/>
  <c r="I83" i="4"/>
  <c r="B6282" i="106" s="1"/>
  <c r="D6282" i="106" s="1"/>
  <c r="F78" i="34"/>
  <c r="F80" i="34" s="1"/>
  <c r="B7837" i="106" s="1"/>
  <c r="D7837" i="106" s="1"/>
  <c r="B7822" i="106"/>
  <c r="F177" i="34"/>
  <c r="B7631" i="106"/>
  <c r="D7631" i="106" s="1"/>
  <c r="B6269" i="106"/>
  <c r="D6269" i="106" s="1"/>
  <c r="E83" i="4"/>
  <c r="B6278" i="106" s="1"/>
  <c r="D6278" i="106" s="1"/>
  <c r="H83" i="4"/>
  <c r="B6281" i="106" s="1"/>
  <c r="D6281" i="106" s="1"/>
  <c r="B6272" i="106"/>
  <c r="D6272" i="106" s="1"/>
  <c r="H17" i="118"/>
  <c r="D19" i="4"/>
  <c r="B4137" i="106" s="1"/>
  <c r="D4137" i="106" s="1"/>
  <c r="B2573" i="106"/>
  <c r="D2573" i="106" s="1"/>
  <c r="C9" i="146"/>
  <c r="F16" i="37"/>
  <c r="H16" i="37" s="1"/>
  <c r="D20" i="4"/>
  <c r="B6275" i="106"/>
  <c r="D6275" i="106" s="1"/>
  <c r="K83" i="4"/>
  <c r="B6284" i="106" s="1"/>
  <c r="D6284" i="106" s="1"/>
  <c r="F176" i="34" l="1"/>
  <c r="B7835" i="106"/>
  <c r="D7835" i="106" s="1"/>
  <c r="H25" i="118"/>
  <c r="K24" i="118" s="1"/>
  <c r="O23" i="118" s="1"/>
  <c r="O25" i="118" s="1"/>
  <c r="K17" i="118"/>
  <c r="C10" i="146"/>
  <c r="F9" i="146"/>
  <c r="F10" i="146" s="1"/>
  <c r="B2574" i="106"/>
  <c r="D2574" i="106" s="1"/>
  <c r="D78" i="4"/>
  <c r="B124" i="106"/>
  <c r="D124" i="106" s="1"/>
  <c r="D45" i="36"/>
  <c r="B3239" i="106" l="1"/>
  <c r="D3239" i="106" s="1"/>
  <c r="D81" i="4"/>
  <c r="J20" i="118"/>
  <c r="K20" i="118"/>
  <c r="O16" i="118"/>
  <c r="O17" i="118" s="1"/>
  <c r="O20" i="118" s="1"/>
  <c r="B7878" i="106"/>
  <c r="D7878" i="106" s="1"/>
  <c r="F178" i="34"/>
  <c r="F180" i="34" l="1"/>
  <c r="B7880" i="106" s="1"/>
  <c r="D7880" i="106" s="1"/>
  <c r="B7879" i="106"/>
  <c r="D7879" i="106" s="1"/>
  <c r="D82" i="4"/>
  <c r="B1644" i="106"/>
  <c r="D1644" i="106" s="1"/>
  <c r="C11" i="146"/>
  <c r="F11" i="146" s="1"/>
  <c r="H12" i="118"/>
  <c r="K12" i="118" s="1"/>
  <c r="O11" i="118" s="1"/>
  <c r="O13" i="118" s="1"/>
  <c r="O35" i="118" s="1"/>
  <c r="O37" i="118" s="1"/>
  <c r="J16" i="37"/>
  <c r="B4269" i="106" s="1"/>
  <c r="D4269" i="106" s="1"/>
  <c r="D58" i="36"/>
  <c r="D83" i="4" l="1"/>
  <c r="B6277" i="106" s="1"/>
  <c r="D6277" i="106" s="1"/>
  <c r="B6268" i="106"/>
  <c r="D6268" i="106" s="1"/>
  <c r="D29" i="36"/>
  <c r="J24" i="24" s="1"/>
  <c r="C12" i="1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<sst xmlns="http://schemas.openxmlformats.org/spreadsheetml/2006/main" count="5353" uniqueCount="2181">
  <si>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</si>
  <si>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</si>
  <si>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</si>
  <si>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</si>
  <si>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</si>
  <si>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</si>
  <si>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</si>
  <si>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</si>
  <si>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</si>
  <si>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</si>
  <si>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</si>
  <si>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</si>
  <si>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</si>
  <si>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</si>
  <si>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</si>
  <si>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</si>
  <si>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</si>
  <si>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</si>
  <si>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</si>
  <si>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</si>
  <si>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</si>
  <si>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</si>
  <si>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</si>
  <si>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</si>
  <si>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</si>
  <si>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</si>
  <si>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</si>
  <si>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</si>
  <si>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</si>
  <si>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</si>
  <si>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</si>
  <si>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</si>
  <si>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</si>
  <si>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</si>
  <si>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</si>
  <si>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</si>
  <si>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</si>
  <si>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</si>
  <si>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</si>
  <si>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</si>
  <si>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</si>
  <si>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</si>
  <si>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</si>
  <si>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</si>
  <si>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</si>
  <si>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</si>
  <si>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</si>
  <si>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</si>
  <si>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</si>
  <si>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</si>
  <si>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</si>
  <si>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</si>
  <si>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</si>
  <si>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</si>
  <si>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</si>
  <si>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</si>
  <si>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</si>
  <si>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</si>
  <si>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</si>
  <si>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</si>
  <si>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</si>
  <si>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</si>
  <si>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</si>
  <si>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</si>
  <si>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</si>
  <si>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</si>
  <si>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</si>
  <si>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</si>
  <si>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</si>
  <si>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</si>
  <si>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</si>
  <si>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</si>
  <si>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</si>
  <si>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</si>
  <si>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</si>
  <si>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</si>
  <si>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</si>
  <si>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</si>
  <si>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</si>
  <si>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</si>
  <si>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</si>
  <si>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</si>
  <si>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</si>
  <si>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</si>
  <si>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</si>
  <si>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</si>
  <si>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</si>
  <si>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</si>
  <si>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</si>
  <si>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</si>
  <si>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</si>
  <si>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</si>
  <si>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</si>
  <si>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</si>
  <si>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</si>
  <si>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</si>
  <si>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</si>
  <si>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</si>
  <si>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</si>
  <si>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</si>
  <si>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</si>
  <si>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</si>
  <si>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</si>
  <si>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</si>
  <si>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</si>
  <si>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</si>
  <si>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</si>
  <si>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</si>
  <si>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</si>
  <si>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</si>
  <si>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</si>
  <si>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</si>
  <si>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</si>
  <si>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</si>
  <si>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</si>
  <si>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</si>
  <si>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</si>
  <si>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</si>
  <si>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</si>
  <si>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</si>
  <si>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</si>
  <si>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</si>
  <si>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</si>
  <si>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</si>
  <si>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</si>
  <si>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</si>
  <si>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</si>
  <si>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</si>
  <si>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</si>
  <si>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</si>
  <si>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</si>
  <si>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</si>
  <si>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</si>
  <si>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</si>
  <si>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</si>
  <si>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</si>
  <si>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</si>
  <si>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</si>
  <si>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</si>
  <si>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</si>
  <si>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</si>
  <si>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</si>
  <si>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</si>
  <si>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</si>
  <si>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</si>
  <si>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</si>
  <si>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</si>
  <si>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</si>
  <si>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</si>
  <si>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</si>
  <si>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</si>
  <si>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</si>
  <si>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</si>
  <si>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</si>
  <si>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</si>
  <si>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</si>
  <si>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</si>
  <si>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</si>
  <si>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</si>
  <si>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</si>
  <si>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</si>
  <si>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</si>
  <si>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</si>
  <si>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</si>
  <si>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</si>
  <si>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</si>
  <si>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</si>
  <si>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</si>
  <si>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</si>
  <si>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</si>
  <si>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</si>
  <si>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</si>
  <si>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</si>
  <si>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</si>
  <si>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</si>
  <si>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</si>
  <si>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</si>
  <si>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</si>
  <si>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</si>
  <si>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</si>
  <si>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</si>
  <si>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</si>
  <si>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</si>
  <si>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</si>
  <si>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</si>
  <si>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</si>
  <si>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</si>
  <si>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</si>
  <si>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</si>
  <si>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</si>
  <si>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</si>
  <si>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</si>
  <si>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</si>
  <si>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</si>
  <si>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</si>
  <si>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</si>
  <si>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</si>
  <si>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</si>
  <si>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</si>
  <si>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</si>
  <si>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</si>
  <si>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</si>
  <si>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</si>
  <si>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</si>
  <si>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</si>
  <si>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</si>
  <si>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</si>
  <si>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</si>
  <si>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</si>
  <si>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</si>
  <si>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</si>
  <si>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</si>
  <si>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</si>
  <si>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</si>
  <si>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</si>
  <si>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</si>
  <si>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</si>
  <si>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</si>
  <si>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</si>
  <si>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</si>
  <si>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</si>
  <si>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</si>
  <si>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</si>
  <si>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</si>
  <si>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</si>
  <si>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</si>
  <si>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</si>
  <si>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</si>
  <si>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</si>
  <si>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</si>
  <si>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</si>
  <si>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</si>
  <si>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</si>
  <si>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</si>
  <si>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</si>
  <si>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</si>
  <si>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</si>
  <si>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</si>
  <si>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</si>
  <si>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</si>
  <si>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</si>
  <si>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</si>
  <si>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</si>
  <si>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</si>
  <si>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</si>
  <si>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</si>
  <si>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</si>
  <si>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</si>
  <si>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</si>
  <si>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</si>
  <si>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</si>
  <si>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</si>
  <si>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</si>
  <si>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</si>
  <si>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</si>
  <si>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</si>
  <si>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</si>
  <si>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</si>
  <si>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</si>
  <si>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</si>
  <si>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</si>
  <si>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</si>
  <si>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</si>
  <si>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</si>
  <si>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</si>
  <si>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</si>
  <si>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</si>
  <si>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</si>
  <si>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</si>
  <si>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</si>
  <si>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</si>
  <si>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</si>
  <si>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</si>
  <si>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</si>
  <si>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</si>
  <si>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</si>
  <si>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</si>
  <si>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</si>
  <si>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</si>
  <si>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</si>
  <si>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</si>
  <si>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</si>
  <si>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</si>
  <si>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</si>
  <si>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</si>
  <si>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</si>
  <si>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</si>
  <si>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</si>
  <si>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</si>
  <si>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</si>
  <si>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</si>
  <si>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</si>
  <si>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</si>
  <si>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</si>
  <si>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</si>
  <si>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</si>
  <si>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</si>
  <si>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</si>
  <si>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</si>
  <si>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</si>
  <si>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</si>
  <si>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</si>
  <si>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</si>
  <si>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</si>
  <si>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</si>
  <si>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</si>
  <si>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</si>
  <si>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</si>
  <si>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</si>
  <si>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</si>
  <si>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</si>
  <si>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</si>
  <si>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</si>
  <si>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</si>
  <si>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</si>
  <si>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</si>
  <si>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</si>
  <si>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</si>
  <si>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</si>
  <si>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</si>
  <si>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</si>
  <si>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</si>
  <si>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</si>
  <si>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</si>
  <si>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</si>
  <si>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</si>
  <si>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</si>
  <si>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</si>
  <si>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</si>
  <si>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</si>
  <si>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</si>
  <si>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</si>
  <si>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</si>
  <si>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</si>
  <si>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</si>
  <si>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</si>
  <si>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</si>
  <si>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</si>
  <si>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</si>
  <si>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</si>
  <si>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</si>
  <si>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</si>
  <si>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</si>
  <si>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</si>
  <si>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</si>
  <si>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</si>
  <si>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</si>
  <si>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</si>
  <si>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</si>
  <si>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</si>
  <si>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</si>
  <si>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</si>
  <si>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</si>
  <si>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</si>
  <si>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</si>
  <si>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</si>
  <si>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</si>
  <si>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</si>
  <si>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</si>
  <si>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</si>
  <si>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</si>
  <si>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</si>
  <si>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</si>
  <si>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</si>
  <si>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</si>
  <si>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</si>
  <si>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</si>
  <si>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</si>
  <si>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</si>
  <si>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</si>
  <si>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</si>
  <si>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</si>
  <si>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</si>
  <si>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</si>
  <si>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</si>
  <si>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</si>
  <si>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</si>
  <si>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</si>
  <si>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</si>
  <si>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</si>
  <si>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</si>
  <si>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</si>
  <si>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</si>
  <si>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</si>
  <si>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</si>
  <si>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</si>
  <si>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</si>
  <si>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</si>
  <si>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</si>
  <si>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</si>
  <si>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</si>
  <si>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</si>
  <si>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</si>
  <si>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</si>
  <si>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</si>
  <si>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</si>
  <si>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</si>
  <si>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</si>
  <si>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</si>
  <si>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</si>
  <si>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</si>
  <si>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</si>
  <si>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</si>
  <si>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</si>
  <si>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</si>
  <si>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</si>
  <si>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</si>
  <si>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</si>
  <si>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</si>
  <si>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</si>
  <si>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</si>
  <si>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</si>
  <si>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</si>
  <si>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</si>
  <si>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</si>
  <si>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</si>
  <si>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</si>
  <si>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</si>
  <si>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</si>
  <si>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</si>
  <si>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</si>
  <si>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</si>
  <si>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</si>
  <si>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</si>
  <si>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</si>
  <si>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</si>
  <si>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</si>
  <si>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</si>
  <si>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</si>
  <si>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</si>
  <si>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</si>
  <si>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</si>
  <si>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</si>
  <si>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</si>
  <si>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</si>
  <si>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</si>
  <si>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</si>
  <si>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</si>
  <si>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</si>
  <si>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</si>
  <si>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</si>
  <si>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</si>
  <si>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</si>
  <si>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</si>
  <si>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</si>
  <si>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</si>
  <si>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</si>
  <si>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</si>
  <si>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</si>
  <si>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</si>
  <si>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</si>
  <si>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</si>
  <si>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</si>
  <si>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</si>
  <si>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</si>
  <si>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</si>
  <si>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</si>
  <si>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</si>
  <si>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</si>
  <si>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</si>
  <si>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</si>
  <si>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</si>
  <si>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</si>
  <si>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</si>
  <si>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</si>
  <si>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</si>
  <si>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</si>
  <si>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</si>
  <si>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</si>
  <si>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</si>
  <si>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</si>
  <si>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</si>
  <si>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</si>
  <si>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</si>
  <si>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</si>
  <si>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</si>
  <si>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</si>
  <si>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</si>
  <si>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</si>
  <si>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</si>
  <si>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</si>
  <si>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</si>
  <si>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</si>
  <si>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</si>
  <si>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</si>
  <si>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</si>
  <si>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</si>
  <si>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</si>
  <si>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</si>
  <si>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</si>
  <si>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</si>
  <si>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</si>
  <si>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</si>
  <si>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</si>
  <si>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</si>
  <si>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</si>
  <si>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</si>
  <si>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</si>
  <si>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</si>
  <si>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</si>
  <si>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</si>
  <si>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</si>
  <si>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</si>
  <si>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</si>
  <si>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</si>
  <si>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</si>
  <si>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</si>
  <si>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</si>
  <si>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</si>
  <si>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</si>
  <si>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</si>
  <si>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</si>
  <si>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</si>
  <si>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</si>
  <si>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</si>
  <si>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</si>
  <si>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</si>
  <si>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</si>
  <si>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</si>
  <si>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</si>
  <si>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</si>
  <si>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</si>
  <si>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</si>
  <si>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</si>
  <si>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</si>
  <si>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</si>
  <si>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</si>
  <si>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</si>
  <si>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</si>
  <si>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</si>
  <si>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</si>
  <si>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</si>
  <si>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</si>
  <si>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</si>
  <si>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</si>
  <si>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</si>
  <si>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</si>
  <si>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</si>
  <si>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</si>
  <si>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</si>
  <si>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</si>
  <si>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</si>
  <si>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</si>
  <si>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</si>
  <si>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</si>
  <si>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</si>
  <si>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</si>
  <si>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</si>
  <si>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</si>
  <si>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</si>
  <si>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</si>
  <si>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</si>
  <si>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</si>
  <si>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</si>
  <si>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</si>
  <si>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</si>
  <si>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</si>
  <si>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</si>
  <si>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</si>
  <si>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</si>
  <si>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</si>
  <si>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</si>
  <si>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</si>
  <si>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</si>
  <si>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</si>
  <si>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</si>
  <si>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</si>
  <si>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</si>
  <si>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</si>
  <si>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</si>
  <si>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</si>
  <si>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</si>
  <si>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</si>
  <si>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</si>
  <si>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</si>
  <si>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</si>
  <si>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</si>
  <si>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</si>
  <si>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</si>
  <si>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</si>
  <si>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</si>
  <si>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</si>
  <si>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</si>
  <si>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</si>
  <si>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</si>
  <si>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</si>
  <si>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</si>
  <si>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</si>
  <si>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</si>
  <si>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</si>
  <si>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</si>
  <si>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</si>
  <si>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</si>
  <si>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</si>
  <si>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</si>
  <si>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</si>
  <si>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</si>
  <si>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</si>
  <si>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</si>
  <si>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</si>
  <si>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</si>
  <si>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</si>
  <si>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</si>
  <si>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</si>
  <si>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</si>
  <si>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</si>
  <si>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</si>
  <si>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</si>
  <si>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</si>
  <si>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</si>
  <si>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</si>
  <si>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</si>
  <si>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</si>
  <si>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</si>
  <si>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</si>
  <si>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</si>
  <si>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</si>
  <si>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</si>
  <si>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</si>
  <si>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</si>
  <si>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</si>
  <si>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</si>
  <si>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</si>
  <si>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</si>
  <si>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</si>
  <si>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</si>
  <si>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</si>
  <si>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</si>
  <si>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</si>
  <si>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</si>
  <si>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</si>
  <si>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</si>
  <si>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</si>
  <si>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</si>
  <si>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</si>
  <si>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</si>
  <si>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</si>
  <si>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</si>
  <si>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</si>
  <si>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</si>
  <si>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</si>
  <si>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</si>
  <si>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</si>
  <si>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</si>
  <si>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</si>
  <si>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</si>
  <si>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</si>
  <si>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</si>
  <si>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</si>
  <si>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</si>
  <si>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</si>
  <si>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</si>
  <si>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</si>
  <si>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</si>
  <si>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</si>
  <si>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</si>
  <si>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</si>
  <si>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</si>
  <si>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</si>
  <si>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</si>
  <si>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</si>
  <si>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</si>
  <si>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</si>
  <si>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</si>
  <si>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</si>
  <si>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</si>
  <si>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</si>
  <si>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</si>
  <si>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</si>
  <si>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</si>
  <si>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</si>
  <si>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</si>
  <si>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</si>
  <si>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</si>
  <si>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</si>
  <si>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</si>
  <si>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</si>
  <si>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</si>
  <si>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</si>
  <si>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</si>
  <si>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</si>
  <si>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</si>
  <si>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</si>
  <si>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</si>
  <si>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</si>
  <si>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</si>
  <si>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</si>
  <si>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</si>
  <si>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</si>
  <si>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</si>
  <si>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</si>
  <si>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</si>
  <si>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</si>
  <si>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</si>
  <si>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</si>
  <si>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</si>
  <si>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</si>
  <si>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</si>
  <si>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</si>
  <si>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</si>
  <si>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</si>
  <si>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</si>
  <si>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</si>
  <si>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</si>
  <si>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</si>
  <si>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</si>
  <si>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</si>
  <si>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</si>
  <si>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</si>
  <si>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</si>
  <si>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</si>
  <si>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</si>
  <si>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</si>
  <si>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</si>
  <si>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</si>
  <si>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</si>
  <si>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</si>
  <si>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</si>
  <si>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</si>
  <si>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</si>
  <si>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</si>
  <si>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</si>
  <si>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</si>
  <si>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</si>
  <si>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</si>
  <si>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</si>
  <si>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</si>
  <si>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</si>
  <si>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</si>
  <si>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</si>
  <si>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</si>
  <si>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</si>
  <si>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</si>
  <si>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</si>
  <si>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</si>
  <si>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</si>
  <si>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</si>
  <si>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</si>
  <si>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</si>
  <si>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</si>
  <si>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</si>
  <si>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</si>
  <si>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</si>
  <si>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</si>
  <si>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</si>
  <si>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</si>
  <si>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</si>
  <si>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</si>
  <si>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</si>
  <si>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</si>
  <si>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</si>
  <si>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</si>
  <si>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</si>
  <si>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</si>
  <si>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</si>
  <si>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</si>
  <si>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</si>
  <si>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</si>
  <si>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</si>
  <si>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</si>
  <si>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</si>
  <si>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</si>
  <si>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</si>
  <si>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</si>
  <si>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</si>
  <si>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</si>
  <si>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</si>
  <si>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</si>
  <si>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</si>
  <si>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</si>
  <si>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</si>
  <si>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</si>
  <si>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</si>
  <si>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</si>
  <si>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</si>
  <si>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</si>
  <si>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</si>
  <si>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</si>
  <si>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</si>
  <si>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</si>
  <si>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</si>
  <si>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</si>
  <si>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</si>
  <si>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</si>
  <si>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</si>
  <si>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</si>
  <si>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</si>
  <si>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</si>
  <si>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</si>
  <si>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</si>
  <si>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</si>
  <si>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</si>
  <si>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</si>
  <si>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</si>
  <si>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</si>
  <si>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</si>
  <si>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</si>
  <si>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</si>
  <si>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</si>
  <si>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</si>
  <si>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</si>
  <si>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</si>
  <si>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</si>
  <si>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</si>
  <si>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</si>
  <si>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</si>
  <si>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</si>
  <si>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</si>
  <si>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</si>
  <si>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</si>
  <si>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</si>
  <si>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</si>
  <si>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</si>
  <si>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</si>
  <si>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</si>
  <si>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</si>
  <si>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</si>
  <si>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</si>
  <si>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</si>
  <si>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</si>
  <si>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</si>
  <si>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</si>
  <si>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</si>
  <si>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</si>
  <si>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</si>
  <si>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</si>
  <si>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</si>
  <si>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</si>
  <si>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</si>
  <si>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</si>
  <si>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</si>
  <si>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</si>
  <si>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</si>
  <si>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</si>
  <si>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</si>
  <si>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</si>
  <si>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</si>
  <si>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</si>
  <si>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</si>
  <si>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</si>
  <si>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</si>
  <si>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</si>
  <si>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</si>
  <si>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</si>
  <si>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</si>
  <si>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</si>
  <si>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</si>
  <si>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</si>
  <si>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</si>
  <si>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</si>
  <si>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</si>
  <si>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</si>
  <si>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</si>
  <si>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</si>
  <si>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</si>
  <si>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</si>
  <si>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</si>
  <si>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</si>
  <si>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</si>
  <si>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</si>
  <si>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</si>
  <si>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</si>
  <si>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</si>
  <si>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</si>
  <si>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</si>
  <si>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</si>
  <si>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</si>
  <si>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</si>
  <si>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</si>
  <si>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</si>
  <si>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</si>
  <si>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</si>
  <si>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</si>
  <si>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</si>
  <si>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</si>
  <si>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</si>
  <si>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</si>
  <si>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</si>
  <si>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</si>
  <si>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</si>
  <si>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</si>
  <si>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</si>
  <si>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</si>
  <si>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</si>
  <si>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</si>
  <si>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</si>
  <si>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</si>
  <si>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</si>
  <si>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</si>
  <si>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</si>
  <si>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</si>
  <si>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</si>
  <si>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</si>
  <si>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</si>
  <si>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</si>
  <si>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</si>
  <si>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</si>
  <si>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</si>
  <si>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</si>
  <si>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</si>
  <si>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</si>
  <si>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</si>
  <si>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</si>
  <si>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</si>
  <si>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</si>
  <si>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</si>
  <si>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</si>
  <si>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</si>
  <si>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</si>
  <si>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</si>
  <si>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</si>
  <si>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</si>
  <si>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</si>
  <si>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</si>
  <si>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</si>
  <si>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</si>
  <si>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</si>
  <si>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</si>
  <si>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</si>
  <si>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</si>
  <si>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</si>
  <si>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</si>
  <si>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</si>
  <si>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</si>
  <si>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</si>
  <si>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</si>
  <si>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</si>
  <si>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</si>
  <si>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</si>
  <si>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</si>
  <si>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</si>
  <si>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</si>
  <si>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</si>
  <si>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</si>
  <si>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</si>
  <si>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</si>
  <si>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</si>
  <si>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</si>
  <si>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</si>
  <si>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</si>
  <si>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</si>
  <si>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</si>
  <si>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</si>
  <si>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</si>
  <si>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</si>
  <si>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</si>
  <si>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</si>
  <si>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</si>
  <si>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</si>
  <si>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</si>
  <si>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</si>
  <si>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</si>
  <si>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</si>
  <si>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</si>
  <si>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</si>
  <si>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</si>
  <si>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</si>
  <si>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</si>
  <si>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</si>
  <si>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</si>
  <si>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</si>
  <si>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</si>
  <si>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</si>
  <si>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</si>
  <si>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</si>
  <si>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</si>
  <si>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</si>
  <si>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</si>
  <si>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</si>
  <si>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</si>
  <si>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</si>
  <si>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</si>
  <si>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</si>
  <si>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</si>
  <si>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</si>
  <si>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</si>
  <si>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</si>
  <si>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</si>
  <si>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</si>
  <si>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</si>
  <si>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</si>
  <si>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</si>
  <si>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</si>
  <si>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</si>
  <si>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</si>
  <si>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</si>
  <si>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</si>
  <si>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</si>
  <si>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</si>
  <si>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</si>
  <si>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</si>
  <si>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</si>
  <si>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</si>
  <si>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</si>
  <si>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</si>
  <si>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</si>
  <si>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</si>
  <si>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</si>
  <si>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</si>
  <si>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</si>
  <si>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</si>
  <si>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</si>
  <si>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</si>
  <si>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</si>
  <si>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</si>
  <si>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</si>
  <si>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</si>
  <si>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</si>
  <si>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</si>
  <si>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</si>
  <si>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</si>
  <si>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</si>
  <si>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</si>
  <si>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</si>
  <si>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</si>
  <si>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</si>
  <si>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</si>
  <si>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</si>
  <si>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</si>
  <si>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</si>
  <si>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</si>
  <si>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</si>
  <si>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</si>
  <si>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</si>
  <si>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</si>
  <si>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</si>
  <si>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</si>
  <si>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</si>
  <si>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</si>
  <si>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</si>
  <si>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</si>
  <si>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</si>
  <si>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</si>
  <si>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</si>
  <si>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</si>
  <si>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</si>
  <si>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</si>
  <si>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</si>
  <si>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</si>
  <si>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</si>
  <si>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</si>
  <si>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</si>
  <si>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</si>
  <si>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</si>
  <si>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</si>
  <si>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</si>
  <si>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</si>
  <si>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</si>
  <si>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</si>
  <si>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</si>
  <si>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</si>
  <si>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</si>
  <si>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</si>
  <si>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</si>
  <si>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</si>
  <si>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</si>
  <si>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</si>
  <si>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</si>
  <si>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</si>
  <si>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</si>
  <si>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</si>
  <si>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</si>
  <si>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</si>
  <si>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</si>
  <si>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</si>
  <si>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</si>
  <si>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</si>
  <si>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</si>
  <si>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</si>
  <si>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</si>
  <si>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</si>
  <si>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</si>
  <si>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</si>
  <si>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</si>
  <si>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</si>
  <si>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</si>
  <si>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</si>
  <si>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</si>
  <si>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</si>
  <si>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</si>
  <si>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</si>
  <si>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</si>
  <si>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</si>
  <si>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</si>
  <si>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</si>
  <si>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</si>
  <si>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</si>
  <si>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</si>
  <si>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</si>
  <si>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</si>
  <si>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</si>
  <si>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</si>
  <si>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</si>
  <si>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</si>
  <si>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</si>
  <si>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</si>
  <si>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</si>
  <si>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</si>
  <si>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</si>
  <si>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</si>
  <si>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</si>
  <si>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</si>
  <si>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</si>
  <si>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</si>
  <si>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</si>
  <si>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</si>
  <si>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</si>
  <si>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</si>
  <si>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</si>
  <si>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</si>
  <si>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</si>
  <si>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</si>
  <si>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</si>
  <si>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</si>
  <si>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</si>
  <si>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</si>
  <si>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</si>
  <si>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</si>
  <si>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</si>
  <si>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</si>
  <si>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</si>
  <si>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</si>
  <si>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</si>
  <si>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</si>
  <si>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</si>
  <si>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</si>
  <si>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</si>
  <si>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</si>
  <si>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</si>
  <si>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</si>
  <si>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</si>
  <si>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</si>
  <si>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</si>
  <si>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</si>
  <si>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</si>
  <si>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</si>
  <si>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</si>
  <si>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</si>
  <si>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</si>
  <si>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</si>
  <si>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</si>
  <si>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</si>
  <si>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</si>
  <si>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</si>
  <si>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</si>
  <si>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</si>
  <si>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</si>
  <si>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</si>
  <si>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</si>
  <si>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</si>
  <si>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</si>
  <si>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</si>
  <si>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</si>
  <si>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</si>
  <si>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</si>
  <si>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</si>
  <si>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</si>
  <si>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</si>
  <si>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</si>
  <si>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</si>
  <si>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</si>
  <si>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</si>
  <si>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</si>
  <si>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</si>
  <si>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</si>
  <si>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</si>
  <si>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</si>
  <si>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</si>
  <si>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</si>
  <si>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</si>
  <si>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</si>
  <si>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</si>
  <si>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</si>
  <si>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</si>
  <si>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</si>
  <si>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</si>
  <si>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</si>
  <si>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</si>
  <si>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</si>
  <si>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</si>
  <si>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</si>
  <si>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</si>
  <si>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</si>
  <si>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</si>
  <si>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</si>
  <si>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</si>
  <si>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</si>
  <si>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</si>
  <si>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</si>
  <si>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</si>
  <si>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</si>
  <si>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</si>
  <si>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</si>
  <si>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</si>
  <si>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</si>
  <si>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</si>
  <si>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</si>
  <si>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</si>
  <si>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</si>
  <si>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</si>
  <si>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</si>
  <si>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</si>
  <si>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</si>
  <si>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</si>
  <si>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</si>
  <si>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</si>
  <si>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</si>
  <si>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</si>
  <si>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</si>
  <si>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</si>
  <si>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</si>
  <si>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</si>
  <si>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</si>
  <si>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</si>
  <si>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</si>
  <si>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</si>
  <si>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</si>
  <si>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</si>
  <si>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</si>
  <si>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</si>
  <si>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</si>
  <si>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</si>
  <si>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</si>
  <si>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</si>
  <si>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</si>
  <si>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</si>
  <si>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</si>
  <si>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</si>
  <si>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</si>
  <si>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</si>
  <si>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</si>
  <si>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</si>
  <si>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</si>
  <si>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</si>
  <si>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</si>
  <si>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</si>
  <si>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</si>
  <si>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</si>
  <si>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</si>
  <si>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</si>
  <si>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</si>
  <si>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</si>
  <si>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</si>
  <si>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</si>
  <si>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</si>
  <si>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</si>
  <si>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</si>
  <si>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</si>
  <si>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</si>
  <si>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</si>
  <si>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</si>
  <si>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</si>
  <si>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</si>
  <si>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</si>
  <si>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</si>
  <si>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</si>
  <si>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</si>
  <si>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</si>
  <si>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</si>
  <si>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</si>
  <si>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</si>
  <si>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</si>
  <si>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</si>
  <si>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</si>
  <si>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</si>
  <si>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</si>
  <si>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</si>
  <si>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</si>
  <si>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</si>
  <si>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</si>
  <si>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</si>
  <si>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</si>
  <si>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</si>
  <si>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</si>
  <si>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</si>
  <si>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</si>
  <si>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</si>
  <si>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</si>
  <si>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</si>
  <si>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</si>
  <si>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</si>
  <si>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</si>
  <si>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</si>
  <si>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</si>
  <si>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</si>
  <si>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</si>
  <si>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</si>
  <si>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</si>
  <si>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</si>
  <si>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</si>
  <si>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</si>
  <si>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</si>
  <si>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</si>
  <si>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</si>
  <si>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</si>
  <si>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</si>
  <si>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</si>
  <si>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</si>
  <si>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</si>
  <si>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</si>
  <si>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</si>
  <si>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</si>
  <si>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</si>
  <si>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</si>
  <si>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</si>
  <si>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</si>
  <si>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</si>
  <si>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</si>
  <si>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</si>
  <si>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</si>
  <si>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</si>
  <si>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</si>
  <si>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</si>
  <si>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</si>
  <si>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</si>
  <si>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</si>
  <si>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</si>
  <si>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</si>
  <si>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</si>
  <si>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</si>
  <si>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</si>
  <si>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</si>
  <si>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</si>
  <si>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</si>
  <si>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</si>
  <si>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</si>
  <si>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</si>
  <si>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</si>
  <si>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</si>
  <si>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</si>
  <si>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</si>
  <si>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</si>
  <si>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</si>
  <si>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</si>
  <si>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</si>
  <si>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</si>
  <si>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</si>
  <si>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</si>
  <si>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</si>
  <si>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</si>
  <si>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</si>
  <si>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</si>
  <si>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</si>
  <si>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</si>
  <si>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</si>
  <si>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</si>
  <si>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</si>
  <si>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</si>
  <si>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</si>
  <si>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</si>
  <si>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</si>
  <si>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</si>
  <si>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</si>
  <si>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</si>
  <si>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</si>
  <si>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</si>
  <si>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</si>
  <si>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</si>
  <si>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</si>
  <si>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</si>
  <si>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</si>
  <si>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</si>
  <si>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</si>
  <si>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</si>
  <si>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</si>
  <si>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</si>
  <si>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</si>
  <si>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</si>
  <si>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</si>
  <si>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</si>
  <si>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</si>
  <si>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</si>
  <si>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</si>
  <si>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</si>
  <si>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</si>
  <si>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</si>
  <si>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</si>
  <si>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</si>
  <si>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</si>
  <si>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</si>
  <si>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</si>
  <si>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</si>
  <si>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</si>
  <si>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</si>
  <si>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</si>
  <si>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</si>
  <si>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</si>
  <si>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</si>
  <si>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</si>
  <si>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</si>
  <si>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</si>
  <si>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</si>
  <si>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</si>
  <si>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</si>
  <si>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</si>
  <si>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</si>
  <si>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</si>
  <si>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</si>
  <si>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</si>
  <si>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</si>
  <si>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</si>
  <si>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</si>
  <si>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</si>
  <si>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</si>
  <si>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</si>
  <si>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</si>
  <si>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</si>
  <si>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</si>
  <si>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</si>
  <si>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</si>
  <si>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</si>
  <si>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</si>
  <si>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</si>
  <si>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</si>
  <si>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</si>
  <si>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</si>
  <si>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</si>
  <si>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</si>
  <si>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</si>
  <si>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</si>
  <si>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</si>
  <si>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</si>
  <si>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</si>
  <si>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</si>
  <si>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</si>
  <si>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</si>
  <si>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</si>
  <si>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</si>
  <si>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</si>
  <si>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</si>
  <si>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</si>
  <si>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</si>
  <si>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</si>
  <si>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</si>
  <si>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</si>
  <si>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</si>
  <si>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</si>
  <si>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</si>
  <si>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</si>
  <si>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</si>
  <si>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</si>
  <si>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</si>
  <si>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</si>
  <si>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</si>
  <si>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</si>
  <si>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</si>
  <si>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</si>
  <si>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</si>
  <si>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</si>
  <si>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</si>
  <si>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</si>
  <si>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</si>
  <si>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</si>
  <si>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</si>
  <si>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</si>
  <si>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</si>
  <si>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</si>
  <si>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</si>
  <si>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</si>
  <si>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</si>
  <si>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</si>
  <si>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</si>
  <si>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</si>
  <si>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</si>
  <si>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</si>
  <si>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</si>
  <si>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</si>
  <si>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</si>
  <si>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</si>
  <si>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</si>
  <si>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</si>
  <si>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</si>
  <si>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</si>
  <si>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</si>
  <si>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</si>
  <si>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</si>
  <si>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</si>
  <si>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</si>
  <si>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</si>
  <si>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</si>
  <si>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</si>
  <si>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</si>
  <si>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</si>
  <si>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</si>
  <si>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</si>
  <si>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</si>
  <si>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</si>
  <si>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</si>
  <si>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</si>
  <si>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</si>
  <si>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</si>
  <si>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</si>
  <si>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</si>
  <si>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</si>
  <si>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</si>
  <si>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</si>
  <si>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</si>
  <si>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</si>
  <si>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</si>
  <si>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</si>
  <si>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</si>
  <si>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</si>
  <si>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</si>
  <si>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</si>
  <si>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</si>
  <si>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</si>
  <si>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</si>
  <si>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</si>
  <si>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</si>
  <si>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</si>
  <si>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</si>
  <si>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</si>
  <si>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</si>
  <si>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</si>
  <si>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</si>
  <si>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</si>
  <si>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</si>
  <si>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</si>
  <si>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</si>
  <si>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</si>
  <si>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</si>
  <si>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</si>
  <si>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</si>
  <si>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</si>
  <si>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</si>
  <si>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</si>
  <si>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</si>
  <si>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</si>
  <si>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</si>
  <si>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</si>
  <si>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</si>
  <si>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</si>
  <si>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</si>
  <si>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</si>
  <si>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</si>
  <si>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</si>
  <si>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</si>
  <si>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</si>
  <si>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</si>
  <si>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</si>
  <si>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</si>
  <si>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</si>
  <si>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</si>
  <si>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</si>
  <si>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</si>
  <si>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</si>
  <si>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</si>
  <si>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</si>
  <si>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</si>
  <si>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</si>
  <si>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</si>
  <si>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</si>
  <si>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</si>
  <si>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</si>
  <si>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</si>
  <si>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</si>
  <si>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</si>
  <si>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</si>
  <si>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</si>
  <si>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</si>
  <si>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</si>
  <si>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</si>
  <si>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</si>
  <si>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</si>
  <si>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</si>
  <si>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</si>
  <si>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</si>
  <si>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</si>
  <si>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</si>
  <si>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</si>
  <si>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</si>
  <si>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</si>
  <si>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</si>
  <si>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</si>
  <si>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</si>
  <si>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</si>
  <si>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</si>
  <si>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</si>
  <si>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</si>
  <si>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</si>
  <si>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</si>
  <si>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</si>
  <si>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</si>
  <si>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</si>
  <si>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</si>
  <si>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</si>
  <si>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</si>
  <si>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</si>
  <si>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</si>
  <si>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</si>
  <si>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</si>
  <si>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</si>
  <si>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</si>
  <si>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</si>
  <si>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</si>
  <si>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</si>
  <si>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</si>
  <si>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</si>
  <si>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</si>
  <si>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</si>
  <si>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</si>
  <si>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</si>
  <si>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</si>
  <si>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</si>
  <si>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</si>
  <si>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</si>
  <si>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</si>
  <si>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</si>
  <si>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</si>
  <si>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</si>
  <si>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</si>
  <si>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</si>
  <si>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</si>
  <si>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</si>
  <si>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</si>
  <si>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</si>
  <si>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</si>
  <si>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</si>
  <si>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</si>
  <si>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</si>
  <si>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</si>
  <si>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</si>
  <si>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</si>
  <si>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</si>
  <si>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</si>
  <si>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</si>
  <si>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</si>
  <si>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</si>
  <si>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</si>
  <si>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</si>
  <si>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</si>
  <si>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</si>
  <si>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</si>
  <si>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</si>
  <si>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</si>
  <si>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</si>
  <si>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</si>
  <si>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</si>
  <si>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</si>
  <si>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</si>
  <si>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</si>
  <si>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</si>
  <si>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</si>
  <si>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</si>
  <si>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</si>
  <si>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</si>
  <si>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</si>
  <si>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</si>
  <si>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</si>
  <si>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</si>
  <si>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</si>
  <si>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</si>
  <si>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</si>
  <si>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</si>
  <si>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</si>
  <si>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</si>
  <si>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</si>
  <si>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</si>
  <si>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</si>
  <si>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</si>
  <si>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</si>
  <si>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</si>
  <si>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</si>
  <si>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</si>
  <si>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</si>
  <si>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</si>
  <si>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</si>
  <si>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</si>
  <si>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</si>
  <si>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</si>
  <si>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</si>
  <si>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</si>
  <si>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</si>
  <si>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</si>
  <si>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</si>
  <si>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</si>
  <si>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</si>
  <si>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</si>
  <si>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</si>
  <si>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</si>
  <si>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</si>
  <si>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</si>
  <si>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</si>
  <si>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</si>
  <si>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</si>
  <si>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</si>
  <si>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</si>
  <si>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</si>
  <si>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</si>
  <si>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</si>
  <si>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</si>
  <si>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</si>
  <si>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</si>
  <si>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</si>
  <si>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</si>
  <si>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</si>
  <si>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</si>
  <si>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</si>
  <si>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</si>
  <si>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</si>
  <si>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</si>
  <si>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</si>
  <si>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</si>
  <si>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</si>
  <si>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</si>
  <si>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</si>
  <si>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</si>
  <si>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</si>
  <si>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</si>
  <si>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</si>
  <si>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</si>
  <si>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</si>
  <si>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</si>
  <si>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</si>
  <si>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</si>
  <si>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</si>
  <si>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</si>
  <si>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</si>
  <si>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</si>
  <si>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</si>
  <si>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</si>
  <si>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</si>
  <si>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</si>
  <si>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</si>
  <si>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</si>
  <si>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</si>
  <si>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</si>
  <si>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</si>
  <si>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</si>
  <si>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</si>
  <si>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</si>
  <si>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</si>
  <si>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</si>
  <si>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</si>
  <si>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</si>
  <si>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</si>
  <si>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</si>
  <si>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</si>
  <si>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</si>
  <si>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</si>
  <si>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</si>
  <si>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</si>
  <si>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</si>
  <si>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</si>
  <si>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</si>
  <si>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</si>
  <si>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</si>
  <si>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</si>
  <si>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</si>
  <si>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</si>
  <si>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</si>
  <si>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</si>
  <si>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</si>
  <si>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</si>
  <si>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</si>
  <si>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</si>
  <si>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</si>
  <si>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</si>
  <si>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</si>
  <si>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</si>
  <si>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</si>
  <si>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</si>
  <si>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</si>
  <si>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</si>
  <si>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</si>
  <si>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</si>
  <si>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</si>
  <si>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</si>
  <si>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</si>
  <si>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</si>
  <si>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</si>
  <si>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</si>
  <si>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</si>
  <si>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</si>
  <si>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</si>
  <si>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</si>
  <si>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</si>
  <si>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</si>
  <si>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</si>
  <si>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</si>
  <si>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</si>
  <si>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</si>
  <si>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</si>
  <si>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</si>
  <si>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</si>
  <si>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</si>
  <si>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</si>
  <si>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</si>
  <si>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</si>
  <si>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</si>
  <si>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</si>
  <si>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</si>
  <si>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</si>
  <si>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</si>
  <si>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</si>
  <si>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</si>
  <si>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</si>
  <si>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</si>
  <si>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</si>
  <si>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</si>
  <si>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</si>
  <si>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</si>
  <si>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</si>
  <si>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</si>
  <si>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</si>
  <si>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</si>
  <si>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</si>
  <si>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</si>
  <si>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</si>
  <si>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</si>
  <si>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</si>
  <si>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</si>
  <si>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</si>
  <si>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</si>
  <si>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</si>
  <si>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</si>
  <si>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</si>
  <si>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</si>
  <si>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</si>
  <si>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</si>
  <si>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</si>
  <si>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</si>
  <si>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</si>
  <si>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</si>
  <si>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</si>
  <si>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</si>
  <si>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</si>
  <si>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</si>
  <si>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</si>
  <si>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</si>
  <si>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</si>
  <si>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</si>
  <si>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</si>
  <si>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</si>
  <si>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</si>
  <si>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</si>
  <si>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</si>
  <si>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</si>
  <si>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</si>
  <si>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</si>
  <si>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</si>
  <si>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</si>
  <si>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</si>
  <si>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</si>
  <si>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</si>
  <si>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</si>
  <si>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</si>
  <si>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</si>
  <si>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</si>
  <si>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</si>
  <si>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</si>
  <si>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</si>
  <si>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</si>
  <si>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</si>
  <si>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</si>
  <si>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</si>
  <si>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</si>
  <si>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</si>
  <si>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</si>
  <si>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</si>
  <si>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</si>
  <si>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</si>
  <si>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</si>
  <si>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</si>
  <si>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</si>
  <si>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</si>
  <si>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</si>
  <si>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</si>
  <si>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</si>
  <si>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</si>
  <si>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</si>
  <si>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</si>
  <si>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</si>
  <si>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</si>
  <si>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</si>
  <si>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</si>
  <si>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</si>
  <si>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</si>
  <si>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</si>
  <si>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</si>
  <si>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</si>
  <si>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</si>
  <si>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</si>
  <si>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</si>
  <si>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</si>
  <si>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</si>
  <si>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</si>
  <si>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</si>
  <si>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</si>
  <si>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</si>
  <si>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</si>
  <si>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</si>
  <si>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</si>
  <si>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</si>
  <si>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</si>
  <si>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</si>
  <si>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</si>
  <si>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</si>
  <si>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</si>
  <si>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</si>
  <si>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</si>
  <si>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</si>
  <si>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</si>
  <si>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</si>
  <si>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</si>
  <si>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</si>
  <si>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</si>
  <si>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</si>
  <si>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</si>
  <si>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</si>
  <si>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</si>
  <si>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</si>
  <si>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</si>
  <si>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</si>
  <si>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</si>
  <si>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</si>
  <si>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</si>
  <si>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</si>
  <si>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</si>
  <si>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</si>
  <si>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</si>
  <si>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</si>
  <si>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</si>
  <si>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</si>
  <si>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</si>
  <si>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</si>
  <si>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</si>
  <si>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</si>
  <si>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</si>
  <si>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</si>
  <si>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</si>
  <si>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</si>
  <si>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</si>
  <si>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</si>
  <si>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</si>
  <si>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</si>
  <si>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</si>
  <si>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</si>
  <si>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</si>
  <si>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</si>
  <si>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</si>
  <si>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</si>
  <si>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</si>
  <si>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</si>
  <si>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</si>
  <si>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</si>
  <si>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</si>
  <si>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</si>
  <si>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</si>
  <si>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</si>
  <si>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</si>
  <si>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</si>
  <si>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</si>
  <si>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</si>
  <si>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</si>
  <si>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</si>
  <si>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</si>
  <si>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</si>
  <si>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</si>
  <si>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</si>
  <si>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</si>
  <si>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</si>
  <si>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</si>
  <si>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</si>
  <si>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</si>
  <si>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</si>
  <si>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</si>
  <si>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</si>
  <si>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</si>
  <si>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</si>
  <si>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</si>
  <si>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</si>
  <si>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</si>
  <si>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</si>
  <si>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</si>
  <si>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</si>
  <si>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</si>
  <si>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</si>
  <si>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</si>
  <si>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</si>
  <si>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</si>
  <si>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</si>
  <si>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</si>
  <si>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</si>
  <si>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</si>
  <si>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</si>
  <si>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</si>
  <si>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</si>
  <si>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</si>
  <si>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</si>
  <si>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</si>
  <si>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</si>
  <si>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</si>
  <si>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</si>
  <si>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</si>
  <si>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</si>
  <si>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</si>
  <si>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</si>
  <si>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</si>
  <si>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</si>
  <si>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</si>
  <si>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</si>
  <si>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</si>
  <si>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</si>
  <si>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</si>
  <si>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</si>
  <si>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</si>
  <si>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</si>
  <si>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</si>
  <si>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</si>
  <si>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</si>
  <si>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</si>
  <si>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</si>
  <si>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</si>
  <si>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</si>
  <si>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</si>
  <si>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</si>
  <si>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</si>
  <si>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</si>
  <si>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</si>
  <si>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</si>
  <si>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</si>
  <si>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</si>
  <si>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</si>
  <si>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</si>
  <si>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</si>
  <si>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</si>
  <si>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</si>
  <si>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</si>
  <si>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</si>
  <si>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</si>
  <si>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</si>
  <si>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</si>
  <si>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</si>
  <si>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</si>
  <si>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</si>
  <si>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</si>
  <si>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</si>
  <si>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</si>
  <si>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</si>
  <si>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</si>
  <si>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</si>
  <si>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</si>
  <si>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</si>
  <si>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</si>
  <si>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</si>
  <si>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</si>
  <si>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</si>
  <si>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</si>
  <si>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Gorenz and Associates, Ltd.</t>
  </si>
  <si>
    <t>4200 N Knoxville Ave.</t>
  </si>
  <si>
    <t>Peoria</t>
  </si>
  <si>
    <t>IL</t>
  </si>
  <si>
    <t>309-685-7621</t>
  </si>
  <si>
    <t>309-685-4758</t>
  </si>
  <si>
    <t>066-005027</t>
  </si>
  <si>
    <t>SEE SEFA20 TAB</t>
  </si>
  <si>
    <t>Eureka Community Unit School District No. 140</t>
  </si>
  <si>
    <t>53-102-1400-26</t>
  </si>
  <si>
    <t xml:space="preserve">                            For the Year Ended June 30, 2020                       </t>
  </si>
  <si>
    <t>ISBE</t>
  </si>
  <si>
    <t>Expenditures/Disbursements</t>
  </si>
  <si>
    <t>Project</t>
  </si>
  <si>
    <t xml:space="preserve">Prior to </t>
  </si>
  <si>
    <t>7/01/19</t>
  </si>
  <si>
    <t>Prior to</t>
  </si>
  <si>
    <t>Final</t>
  </si>
  <si>
    <t>Federal Grantor/Pass-Through Grantor,</t>
  </si>
  <si>
    <t>Number</t>
  </si>
  <si>
    <t>Encumbrances</t>
  </si>
  <si>
    <t>Program Title &amp; Major Program Designation</t>
  </si>
  <si>
    <t xml:space="preserve">U.S. Department of Agriculture - </t>
  </si>
  <si>
    <t>Pass-through program from</t>
  </si>
  <si>
    <t>Illinois State Board of Education</t>
  </si>
  <si>
    <t>19-4220-00</t>
  </si>
  <si>
    <t>N/A</t>
  </si>
  <si>
    <t>20-4220-00</t>
  </si>
  <si>
    <t>Total CFDA 10.553</t>
  </si>
  <si>
    <t>19-4210-00</t>
  </si>
  <si>
    <t>20-4210-00</t>
  </si>
  <si>
    <t>Child Nutrition Commodity/Salvage</t>
  </si>
  <si>
    <t>08-4250-00</t>
  </si>
  <si>
    <t>Department of Defense</t>
  </si>
  <si>
    <t>Fruits and Vegetables (2)</t>
  </si>
  <si>
    <t>FY 2019</t>
  </si>
  <si>
    <t>FY 2020</t>
  </si>
  <si>
    <t>Food Donation (2)</t>
  </si>
  <si>
    <t>20-4225-00</t>
  </si>
  <si>
    <t>Total U.S. Department of Agriculture - Pass-through program</t>
  </si>
  <si>
    <t xml:space="preserve">U.S. Department of Education - </t>
  </si>
  <si>
    <t>84.010</t>
  </si>
  <si>
    <t>19-4300-00</t>
  </si>
  <si>
    <t>20-4300-00</t>
  </si>
  <si>
    <t xml:space="preserve"> IDEA - Room &amp; Board</t>
  </si>
  <si>
    <t>14-4625-00</t>
  </si>
  <si>
    <t xml:space="preserve"> IDEA - Room &amp; Board - Excess Cost</t>
  </si>
  <si>
    <t>12-4625-XC</t>
  </si>
  <si>
    <t>19-4932-00</t>
  </si>
  <si>
    <t>20-4932-00</t>
  </si>
  <si>
    <t>(M) IDEA - Flow Thru</t>
  </si>
  <si>
    <t>20-4620-00</t>
  </si>
  <si>
    <t>(M) IDEA - Pre-School</t>
  </si>
  <si>
    <t>20-4600-00</t>
  </si>
  <si>
    <t>84.425D</t>
  </si>
  <si>
    <t>20-4998-ER</t>
  </si>
  <si>
    <t>Total U.S. Department of Education - Pass-through programs from ISBE</t>
  </si>
  <si>
    <t>Woodford County Special Education Association</t>
  </si>
  <si>
    <t>19-4620-00</t>
  </si>
  <si>
    <t>Marshall Putnam Woodford Counties Regional Office of Education</t>
  </si>
  <si>
    <t xml:space="preserve"> McKinney Vento Homeless</t>
  </si>
  <si>
    <t>15-4920-00</t>
  </si>
  <si>
    <t>16-4920-00</t>
  </si>
  <si>
    <t>Total U.S. Department of Education - Pass-through programs</t>
  </si>
  <si>
    <t xml:space="preserve">U.S. Department of Health &amp; Human Services - </t>
  </si>
  <si>
    <t>Illinois Department of Healthcare and Family Services</t>
  </si>
  <si>
    <t>Medicaid Administrative Outreach</t>
  </si>
  <si>
    <t>19-4991-00</t>
  </si>
  <si>
    <t>20-4991-00</t>
  </si>
  <si>
    <t>Total U.S. Department of Health and Human Services - Pass-through programs</t>
  </si>
  <si>
    <t>Total Federal Awards</t>
  </si>
  <si>
    <t>Total Federal Awards Passed Through Illinois State Board of Education</t>
  </si>
  <si>
    <t>Total Federal Awards Passed Through Other Entities</t>
  </si>
  <si>
    <t>(M)  Indicates Major Federal Financial Assistance Program.</t>
  </si>
  <si>
    <t>(1) Carry over funds from the prior year program per ISBE.</t>
  </si>
  <si>
    <t>(2) Nonmonetary assistance is reported in the schedule at the fair market value of the commodities received and disbursed.</t>
  </si>
  <si>
    <t>(3) Project Not Complete as of June 30, 2020</t>
  </si>
  <si>
    <r>
      <t xml:space="preserve">1 </t>
    </r>
    <r>
      <rPr>
        <sz val="8"/>
        <rFont val="Arial"/>
        <family val="2"/>
      </rPr>
      <t xml:space="preserve"> To meet state or other requirements, auditees may decide to include certain nonfederal awards (for example, state awards) in this schedule.  If such nonfederal data are presented,</t>
    </r>
  </si>
  <si>
    <t>they should be segregated and clearly designated as nonfederal.  The title of the schedule should also be modified to indicate that nonfederal awards are included.</t>
  </si>
  <si>
    <r>
      <t>2</t>
    </r>
    <r>
      <rPr>
        <sz val="8"/>
        <rFont val="Arial"/>
        <family val="2"/>
      </rPr>
      <t xml:space="preserve">  When the CFDA number is not available, the auditee should indicate that the CFDA number is not available and include in the schedule the program's name and, if applicable, </t>
    </r>
  </si>
  <si>
    <t>other identifying number.</t>
  </si>
  <si>
    <r>
      <t>3</t>
    </r>
    <r>
      <rPr>
        <sz val="8"/>
        <rFont val="Arial"/>
        <family val="2"/>
      </rPr>
      <t xml:space="preserve">  When awards are received as a subrecipient, the identifying number assigned by the pass-through entity should be included in the schedule.</t>
    </r>
  </si>
  <si>
    <r>
      <t xml:space="preserve">4  </t>
    </r>
    <r>
      <rPr>
        <sz val="8"/>
        <rFont val="Arial"/>
        <family val="2"/>
      </rPr>
      <t xml:space="preserve">Circular A-133 requires that the value of federal awards expended in the form of non-cash assistance, the amount of insurance in effect during the year, and loans or loan guarantees </t>
    </r>
  </si>
  <si>
    <t xml:space="preserve">    outstanding at year end be included in either the schedule or a note to the schedule.  Although it is not required, Circular A-133 states that it is preferable to present this information in</t>
  </si>
  <si>
    <t xml:space="preserve">    the schedule (versus the notes to the schedule).  If the auditee presents non-cash assistance in the notes to the schedule, the auditor should be aware that such amounts must</t>
  </si>
  <si>
    <t xml:space="preserve">    still be included in part III of the data collection form.</t>
  </si>
  <si>
    <t>x</t>
  </si>
  <si>
    <t>Community Unit School District No. 140</t>
  </si>
  <si>
    <t>Tazewell</t>
  </si>
  <si>
    <t>109 W. Cruger Ave.</t>
  </si>
  <si>
    <t>Eureka, Illinois</t>
  </si>
  <si>
    <t>Tim C. Custis, CPA</t>
  </si>
  <si>
    <t>tcustis@gorenzcpa.com</t>
  </si>
  <si>
    <t>No subrecipients during FY20</t>
  </si>
  <si>
    <t>Of the federal expenditures presented in the schedule, Community Unit School District No. 140 provided federal awards to subrecipients as follows:</t>
  </si>
  <si>
    <r>
      <t xml:space="preserve">The accompanying Schedule of Expenditures of Federal Awards includes the federal grant activity of </t>
    </r>
    <r>
      <rPr>
        <b/>
        <sz val="9"/>
        <rFont val="Calibri"/>
        <family val="2"/>
        <scheme val="minor"/>
      </rPr>
      <t>Community Unit School District No. 140</t>
    </r>
    <r>
      <rPr>
        <sz val="9"/>
        <rFont val="Calibri"/>
        <family val="2"/>
        <scheme val="minor"/>
      </rPr>
      <t xml:space="preserve"> and is presented on the </t>
    </r>
    <r>
      <rPr>
        <b/>
        <sz val="9"/>
        <rFont val="Calibri"/>
        <family val="2"/>
        <scheme val="minor"/>
      </rPr>
      <t>Cash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</si>
  <si>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t>Unmodified</t>
  </si>
  <si>
    <t>NONE</t>
  </si>
  <si>
    <t>There were no findings for the year ended June 30, 2019.</t>
  </si>
  <si>
    <t>COVID-19 Education Stabilization</t>
  </si>
  <si>
    <t>Unmodified Special Purpose Framework Reg. Basis</t>
  </si>
  <si>
    <t>84.027 and 84.173</t>
  </si>
  <si>
    <t>Special Education (IDEA) Cluster</t>
  </si>
  <si>
    <t>andrew.underwood@district140.org</t>
  </si>
  <si>
    <t>Robert Bardwell</t>
  </si>
  <si>
    <t>robert.bardwell@district140.org</t>
  </si>
  <si>
    <t>309-467-5735</t>
  </si>
  <si>
    <t>309-467-2377</t>
  </si>
  <si>
    <t>Technology Lease</t>
  </si>
  <si>
    <t>Working Cash - Series 2015A</t>
  </si>
  <si>
    <t>Working Cash - Series 2015B</t>
  </si>
  <si>
    <t>Debt Certificates - 2020</t>
  </si>
  <si>
    <t>Capital Leases</t>
  </si>
  <si>
    <t>Debt Certificates</t>
  </si>
  <si>
    <t xml:space="preserve"> HPS</t>
  </si>
  <si>
    <t>ROE - Paper Coop (Tazewell-Woodford)</t>
  </si>
  <si>
    <t>Central IL Vocational Education Coop</t>
  </si>
  <si>
    <t>Metamora High School &amp; Roanoke-Bensen High School</t>
  </si>
  <si>
    <t>Page 10, Line 72 - Milk Sales</t>
  </si>
  <si>
    <t>Page 10, Line 74 - Food Rebates</t>
  </si>
  <si>
    <t>Page 10, Line 81 - Play Admissions</t>
  </si>
  <si>
    <t>Page 10, Line 106 - Chromebook repair fees</t>
  </si>
  <si>
    <t>Page 10, Cell C107 - Refunds and reimbursements</t>
  </si>
  <si>
    <t>Page 10, Cell D107 - Sale of scrap metal</t>
  </si>
  <si>
    <t>Page 10, Cell F107 - Refunds and reimbursements</t>
  </si>
  <si>
    <t>Page 10, Cell G107 - FICA reimbursements</t>
  </si>
  <si>
    <t>Page 10, Cell J107 - Refunds and reimbursements</t>
  </si>
  <si>
    <t>Page 15, Cell K41 - Graduation expenses</t>
  </si>
  <si>
    <t xml:space="preserve">Page 16, Line 83 - DARE program contribution and IDES penalty </t>
  </si>
  <si>
    <t>Page 12, Line 168 - Voc. Ag. Grant</t>
  </si>
  <si>
    <r>
      <t xml:space="preserve">The following amounts were expended in the form of non-cash assistance by </t>
    </r>
    <r>
      <rPr>
        <b/>
        <sz val="9"/>
        <rFont val="Calibri"/>
        <family val="2"/>
        <scheme val="minor"/>
      </rPr>
      <t>Community Unit School District No. 140</t>
    </r>
    <r>
      <rPr>
        <sz val="9"/>
        <rFont val="Calibri"/>
        <family val="2"/>
        <scheme val="minor"/>
      </rPr>
      <t xml:space="preserve"> and are included in the Schedule of Expenditures of Federal Awards:</t>
    </r>
  </si>
  <si>
    <t>See PDF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</si>
</sst>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0.000_)"/>
    <numFmt numFmtId="186" formatCode="_(* #,##0_);_(* \(#,##0\);_(* &quot; &quot;_);_(@_)"/>
    <numFmt numFmtId="187" formatCode="#,##0.000_);\(#,##0.000\)"/>
  </numFmts>
  <fonts count="1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sz val="10"/>
      <name val="Courier"/>
      <family val="3"/>
    </font>
    <font>
      <b/>
      <sz val="12"/>
      <name val="Times New Roman"/>
      <family val="1"/>
    </font>
    <font>
      <sz val="10"/>
      <name val="Courier"/>
    </font>
    <font>
      <sz val="11"/>
      <name val="Times New Roman"/>
      <family val="1"/>
    </font>
    <font>
      <b/>
      <u/>
      <sz val="11"/>
      <name val="Times New Roman"/>
      <family val="1"/>
    </font>
    <font>
      <sz val="11"/>
      <name val="Courier"/>
      <family val="3"/>
    </font>
    <font>
      <u val="singleAccounting"/>
      <sz val="11"/>
      <name val="Times New Roman"/>
      <family val="1"/>
    </font>
    <font>
      <b/>
      <sz val="11"/>
      <name val="Times New Roman"/>
      <family val="1"/>
    </font>
    <font>
      <u/>
      <sz val="11"/>
      <name val="Times New Roman"/>
      <family val="1"/>
    </font>
    <font>
      <u val="doubleAccounting"/>
      <sz val="11"/>
      <name val="Times New Roman"/>
      <family val="1"/>
    </font>
    <font>
      <vertAlign val="superscript"/>
      <sz val="8"/>
      <name val="Arial"/>
      <family val="2"/>
    </font>
    <font>
      <u val="singleAccounting"/>
      <sz val="10"/>
      <name val="Times New Roman"/>
      <family val="1"/>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
      <patternFill patternType="solid">
        <fgColor theme="0"/>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5">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3" fillId="0" borderId="0"/>
    <xf numFmtId="37" fontId="144" fillId="0" borderId="0"/>
    <xf numFmtId="37" fontId="146" fillId="0" borderId="0"/>
    <xf numFmtId="43" fontId="46" fillId="0" borderId="0" applyFont="0" applyFill="0" applyBorder="0" applyAlignment="0" applyProtection="0"/>
    <xf numFmtId="9" fontId="46" fillId="0" borderId="0" applyFont="0" applyFill="0" applyBorder="0" applyAlignment="0" applyProtection="0"/>
  </cellStyleXfs>
  <cellXfs count="2709">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3" xfId="12" applyNumberFormat="1" applyFont="1" applyBorder="1" applyAlignment="1" applyProtection="1">
      <alignment horizontal="right" vertical="center"/>
    </xf>
    <xf numFmtId="0" fontId="15" fillId="0" borderId="126" xfId="12" applyFont="1" applyBorder="1" applyAlignment="1" applyProtection="1">
      <alignment vertical="center"/>
    </xf>
    <xf numFmtId="0" fontId="15" fillId="0" borderId="124" xfId="12" applyFont="1" applyBorder="1" applyAlignment="1" applyProtection="1">
      <alignment vertical="center"/>
    </xf>
    <xf numFmtId="1" fontId="11" fillId="0" borderId="0" xfId="0" applyNumberFormat="1" applyFont="1" applyAlignment="1">
      <alignment horizontal="center" vertical="center"/>
    </xf>
    <xf numFmtId="0" fontId="12" fillId="0" borderId="133"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19" xfId="0" applyFont="1" applyFill="1" applyBorder="1" applyAlignment="1" applyProtection="1">
      <alignment horizontal="left" vertical="center"/>
    </xf>
    <xf numFmtId="164" fontId="55" fillId="17" borderId="119" xfId="0" applyNumberFormat="1" applyFont="1" applyFill="1" applyBorder="1" applyAlignment="1" applyProtection="1">
      <alignment horizontal="center" vertical="center"/>
    </xf>
    <xf numFmtId="164" fontId="65" fillId="17" borderId="119" xfId="0" applyNumberFormat="1" applyFont="1" applyFill="1" applyBorder="1" applyAlignment="1" applyProtection="1">
      <alignment vertical="center"/>
    </xf>
    <xf numFmtId="0" fontId="78" fillId="10" borderId="120"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4"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5"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8"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23"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5"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3"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4" xfId="0" applyNumberFormat="1" applyFont="1" applyFill="1" applyBorder="1" applyAlignment="1">
      <alignment horizontal="center" vertical="center"/>
    </xf>
    <xf numFmtId="49" fontId="63" fillId="0" borderId="125"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3"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58" fillId="0" borderId="0" xfId="3" applyNumberFormat="1" applyFont="1" applyBorder="1" applyAlignment="1">
      <alignment vertical="center"/>
    </xf>
    <xf numFmtId="0" fontId="58" fillId="0" borderId="17"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4" xfId="3" applyNumberFormat="1" applyFont="1" applyBorder="1" applyAlignment="1">
      <alignment horizontal="left" vertical="center"/>
    </xf>
    <xf numFmtId="171" fontId="58" fillId="0" borderId="0" xfId="3" applyNumberFormat="1" applyFont="1" applyBorder="1" applyAlignment="1" applyProtection="1">
      <alignment horizontal="center"/>
    </xf>
    <xf numFmtId="0" fontId="58" fillId="0" borderId="131" xfId="3" applyNumberFormat="1" applyFont="1" applyBorder="1" applyAlignment="1">
      <alignment vertical="center"/>
    </xf>
    <xf numFmtId="0" fontId="58" fillId="0" borderId="0" xfId="3" applyNumberFormat="1" applyFont="1" applyBorder="1" applyAlignment="1">
      <alignment wrapText="1"/>
    </xf>
    <xf numFmtId="0" fontId="66" fillId="0" borderId="22" xfId="3" applyNumberFormat="1" applyFont="1" applyBorder="1" applyAlignment="1" applyProtection="1">
      <alignment horizontal="center" vertical="center"/>
      <protection locked="0"/>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0" xfId="0" applyFont="1" applyBorder="1"/>
    <xf numFmtId="0" fontId="56" fillId="0" borderId="13" xfId="0" applyFont="1" applyBorder="1"/>
    <xf numFmtId="0" fontId="56" fillId="0" borderId="123" xfId="0" applyFont="1" applyBorder="1" applyAlignment="1">
      <alignment horizontal="left" vertical="top"/>
    </xf>
    <xf numFmtId="164" fontId="114" fillId="0" borderId="126" xfId="0" applyNumberFormat="1" applyFont="1" applyBorder="1" applyAlignment="1">
      <alignment horizontal="right" vertical="top"/>
    </xf>
    <xf numFmtId="0" fontId="56" fillId="0" borderId="126" xfId="0" applyNumberFormat="1" applyFont="1" applyBorder="1" applyAlignment="1">
      <alignment horizontal="left" vertical="center" wrapText="1" indent="1"/>
    </xf>
    <xf numFmtId="0" fontId="86" fillId="0" borderId="125" xfId="0" applyFont="1" applyBorder="1" applyAlignment="1">
      <alignment horizontal="left" vertical="center" wrapText="1"/>
    </xf>
    <xf numFmtId="0" fontId="56" fillId="0" borderId="126" xfId="0" applyFont="1" applyBorder="1" applyAlignment="1">
      <alignment horizontal="left" vertical="top"/>
    </xf>
    <xf numFmtId="0" fontId="56" fillId="0" borderId="0" xfId="0" applyFont="1" applyBorder="1" applyAlignment="1">
      <alignment vertical="top"/>
    </xf>
    <xf numFmtId="0" fontId="116" fillId="0" borderId="126" xfId="0" applyNumberFormat="1" applyFont="1" applyBorder="1" applyAlignment="1">
      <alignment horizontal="left" vertical="center"/>
    </xf>
    <xf numFmtId="0" fontId="114" fillId="0" borderId="126" xfId="0" applyFont="1" applyBorder="1" applyAlignment="1">
      <alignment vertical="top"/>
    </xf>
    <xf numFmtId="0" fontId="114" fillId="0" borderId="126" xfId="0" applyFont="1" applyBorder="1" applyAlignment="1">
      <alignment horizontal="left" vertical="top"/>
    </xf>
    <xf numFmtId="0" fontId="56" fillId="0" borderId="123" xfId="0" applyFont="1" applyBorder="1" applyAlignment="1"/>
    <xf numFmtId="164" fontId="114" fillId="0" borderId="126" xfId="0" applyNumberFormat="1" applyFont="1" applyBorder="1" applyAlignment="1"/>
    <xf numFmtId="0" fontId="56" fillId="0" borderId="126" xfId="0" applyFont="1" applyBorder="1" applyAlignment="1"/>
    <xf numFmtId="0" fontId="63" fillId="0" borderId="124"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2"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3" xfId="0" applyFont="1" applyFill="1" applyBorder="1" applyAlignment="1"/>
    <xf numFmtId="0" fontId="55" fillId="0" borderId="126" xfId="0" applyFont="1" applyFill="1" applyBorder="1" applyAlignment="1">
      <alignment horizontal="left" vertical="top"/>
    </xf>
    <xf numFmtId="0" fontId="55" fillId="0" borderId="124"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4"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1" xfId="3" quotePrefix="1" applyNumberFormat="1" applyFont="1" applyBorder="1" applyAlignment="1" applyProtection="1">
      <alignment horizontal="left"/>
    </xf>
    <xf numFmtId="0" fontId="63" fillId="0" borderId="142" xfId="3" applyNumberFormat="1" applyFont="1" applyBorder="1" applyAlignment="1" applyProtection="1">
      <alignment horizontal="center"/>
    </xf>
    <xf numFmtId="0" fontId="63" fillId="0" borderId="142" xfId="3" applyNumberFormat="1" applyFont="1" applyBorder="1" applyProtection="1"/>
    <xf numFmtId="0" fontId="56" fillId="0" borderId="141" xfId="3" applyNumberFormat="1" applyFont="1" applyBorder="1" applyAlignment="1" applyProtection="1"/>
    <xf numFmtId="0" fontId="63" fillId="0" borderId="143" xfId="3" applyNumberFormat="1" applyFont="1" applyBorder="1" applyAlignment="1" applyProtection="1">
      <alignment horizontal="centerContinuous"/>
    </xf>
    <xf numFmtId="0" fontId="56" fillId="0" borderId="141" xfId="3" applyNumberFormat="1" applyFont="1" applyBorder="1" applyAlignment="1" applyProtection="1">
      <alignment horizontal="left"/>
    </xf>
    <xf numFmtId="0" fontId="63" fillId="0" borderId="143" xfId="3" applyNumberFormat="1" applyFont="1" applyBorder="1" applyProtection="1"/>
    <xf numFmtId="0" fontId="63" fillId="0" borderId="142"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1"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5"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2"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6"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4" xfId="3" applyFont="1" applyBorder="1" applyProtection="1"/>
    <xf numFmtId="0" fontId="56" fillId="0" borderId="145" xfId="3" applyFont="1" applyBorder="1" applyProtection="1">
      <protection locked="0"/>
    </xf>
    <xf numFmtId="0" fontId="56" fillId="0" borderId="144"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3" xfId="3" applyNumberFormat="1" applyFont="1" applyBorder="1" applyAlignment="1" applyProtection="1">
      <alignment horizontal="center"/>
    </xf>
    <xf numFmtId="0" fontId="65" fillId="0" borderId="142" xfId="3" applyFont="1" applyBorder="1" applyAlignment="1" applyProtection="1">
      <alignment horizontal="centerContinuous"/>
    </xf>
    <xf numFmtId="0" fontId="65" fillId="0" borderId="143"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3"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2" xfId="3" applyFont="1" applyBorder="1" applyProtection="1"/>
    <xf numFmtId="0" fontId="58" fillId="0" borderId="142" xfId="3" applyFont="1" applyBorder="1" applyProtection="1"/>
    <xf numFmtId="0" fontId="58" fillId="0" borderId="142"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2" xfId="3" quotePrefix="1" applyFont="1" applyBorder="1" applyAlignment="1" applyProtection="1">
      <alignment horizontal="left"/>
    </xf>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2" xfId="3" applyFont="1" applyBorder="1" applyProtection="1"/>
    <xf numFmtId="0" fontId="58" fillId="0" borderId="0" xfId="3" applyFont="1" applyBorder="1" applyAlignment="1" applyProtection="1">
      <alignment horizontal="left"/>
    </xf>
    <xf numFmtId="0" fontId="65" fillId="0" borderId="142"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2"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7"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9" xfId="3" applyFont="1" applyBorder="1" applyAlignment="1" applyProtection="1">
      <alignment horizontal="left"/>
    </xf>
    <xf numFmtId="0" fontId="58" fillId="0" borderId="149" xfId="3" applyFont="1" applyBorder="1" applyProtection="1"/>
    <xf numFmtId="0" fontId="58" fillId="0" borderId="149"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6"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7"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5" xfId="0" applyNumberFormat="1" applyFont="1" applyBorder="1" applyAlignment="1">
      <alignment horizontal="left" vertical="center" wrapText="1" indent="1"/>
    </xf>
    <xf numFmtId="3" fontId="63" fillId="0" borderId="123"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53" xfId="0" applyNumberFormat="1" applyFont="1" applyFill="1" applyBorder="1" applyAlignment="1">
      <alignment horizontal="center" vertical="center" wrapText="1"/>
    </xf>
    <xf numFmtId="38" fontId="55" fillId="6" borderId="153" xfId="0" applyNumberFormat="1" applyFont="1" applyFill="1" applyBorder="1" applyAlignment="1">
      <alignment horizontal="center" vertical="top" wrapText="1"/>
    </xf>
    <xf numFmtId="38" fontId="65" fillId="6" borderId="153"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2" borderId="129" xfId="0" applyNumberFormat="1" applyFont="1" applyFill="1" applyBorder="1" applyAlignment="1">
      <alignment horizontal="center"/>
    </xf>
    <xf numFmtId="3" fontId="56" fillId="22" borderId="129" xfId="0" applyNumberFormat="1" applyFont="1" applyFill="1" applyBorder="1" applyAlignment="1">
      <alignment horizontal="right"/>
    </xf>
    <xf numFmtId="3" fontId="56" fillId="22" borderId="130" xfId="0" applyNumberFormat="1" applyFont="1" applyFill="1" applyBorder="1" applyAlignment="1">
      <alignment horizontal="center"/>
    </xf>
    <xf numFmtId="3" fontId="66" fillId="22" borderId="123" xfId="0" applyNumberFormat="1" applyFont="1" applyFill="1" applyBorder="1" applyAlignment="1">
      <alignment horizontal="center" vertical="center" wrapText="1"/>
    </xf>
    <xf numFmtId="49" fontId="63" fillId="22" borderId="11" xfId="0" applyNumberFormat="1"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21" xfId="1"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8" fillId="22" borderId="31" xfId="0" applyFont="1" applyFill="1" applyBorder="1" applyAlignment="1">
      <alignment horizontal="center" vertical="center"/>
    </xf>
    <xf numFmtId="3" fontId="55" fillId="22" borderId="13" xfId="0" applyNumberFormat="1" applyFont="1" applyFill="1" applyBorder="1" applyAlignment="1" applyProtection="1">
      <alignment horizontal="right" vertical="center"/>
    </xf>
    <xf numFmtId="3" fontId="55" fillId="22" borderId="21" xfId="0" applyNumberFormat="1" applyFont="1" applyFill="1" applyBorder="1" applyAlignment="1" applyProtection="1">
      <alignment horizontal="right" vertical="center"/>
    </xf>
    <xf numFmtId="3" fontId="55" fillId="22"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2" borderId="13" xfId="0" applyNumberFormat="1" applyFont="1" applyFill="1" applyBorder="1" applyAlignment="1" applyProtection="1">
      <alignment horizontal="center" vertical="center"/>
    </xf>
    <xf numFmtId="49" fontId="65" fillId="22" borderId="21" xfId="0" applyNumberFormat="1" applyFont="1" applyFill="1" applyBorder="1" applyAlignment="1" applyProtection="1">
      <alignment horizontal="center" vertical="center"/>
    </xf>
    <xf numFmtId="3" fontId="56" fillId="22" borderId="21" xfId="0" applyNumberFormat="1" applyFont="1" applyFill="1" applyBorder="1" applyAlignment="1" applyProtection="1">
      <alignment horizontal="center"/>
    </xf>
    <xf numFmtId="3" fontId="58" fillId="22" borderId="21" xfId="0" applyNumberFormat="1" applyFont="1" applyFill="1" applyBorder="1" applyAlignment="1" applyProtection="1">
      <alignment horizontal="center"/>
    </xf>
    <xf numFmtId="38" fontId="58" fillId="22" borderId="21" xfId="0" applyNumberFormat="1" applyFont="1" applyFill="1" applyBorder="1" applyAlignment="1" applyProtection="1">
      <alignment horizontal="center"/>
    </xf>
    <xf numFmtId="3" fontId="58" fillId="22" borderId="14" xfId="0" applyNumberFormat="1" applyFont="1" applyFill="1" applyBorder="1" applyAlignment="1" applyProtection="1">
      <alignment horizontal="center"/>
    </xf>
    <xf numFmtId="0" fontId="55" fillId="22" borderId="49" xfId="0" applyFont="1" applyFill="1" applyBorder="1" applyAlignment="1" applyProtection="1">
      <alignment horizontal="center" vertical="center" wrapText="1"/>
    </xf>
    <xf numFmtId="0" fontId="56" fillId="22" borderId="34"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wrapText="1"/>
    </xf>
    <xf numFmtId="0" fontId="58" fillId="22" borderId="31"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5"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3" xfId="0" applyNumberFormat="1" applyFont="1" applyFill="1" applyBorder="1" applyAlignment="1">
      <alignment horizontal="left" vertical="center" wrapText="1"/>
    </xf>
    <xf numFmtId="49" fontId="65" fillId="17" borderId="125"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3"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5" xfId="0" applyFont="1" applyFill="1" applyBorder="1" applyAlignment="1">
      <alignment horizontal="left" vertical="center" wrapText="1"/>
    </xf>
    <xf numFmtId="3" fontId="65" fillId="17" borderId="125"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2" borderId="13" xfId="0" applyFont="1" applyFill="1" applyBorder="1" applyAlignment="1">
      <alignment horizontal="left" vertical="center"/>
    </xf>
    <xf numFmtId="0" fontId="66" fillId="22" borderId="21" xfId="0" applyFont="1" applyFill="1" applyBorder="1" applyAlignment="1">
      <alignment horizontal="left" vertical="center"/>
    </xf>
    <xf numFmtId="0" fontId="66" fillId="22"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7" xfId="0" applyFont="1" applyBorder="1" applyAlignment="1">
      <alignment horizontal="centerContinuous" vertical="center"/>
    </xf>
    <xf numFmtId="0" fontId="56" fillId="0" borderId="158" xfId="0" applyFont="1" applyBorder="1" applyAlignment="1">
      <alignment horizontal="centerContinuous" vertical="center"/>
    </xf>
    <xf numFmtId="0" fontId="58" fillId="0" borderId="158" xfId="0" applyFont="1" applyBorder="1" applyAlignment="1">
      <alignment horizontal="centerContinuous" vertical="center"/>
    </xf>
    <xf numFmtId="0" fontId="65" fillId="0" borderId="105" xfId="0" applyFont="1" applyBorder="1" applyAlignment="1">
      <alignment horizontal="center"/>
    </xf>
    <xf numFmtId="0" fontId="58" fillId="22" borderId="16" xfId="3" applyFont="1" applyFill="1" applyBorder="1" applyAlignment="1">
      <alignment horizontal="left" vertical="center"/>
    </xf>
    <xf numFmtId="0" fontId="58" fillId="22" borderId="10" xfId="3" applyFont="1" applyFill="1" applyBorder="1" applyAlignment="1">
      <alignment horizontal="left" vertical="center"/>
    </xf>
    <xf numFmtId="0" fontId="65" fillId="0" borderId="5" xfId="3" applyFont="1" applyFill="1" applyBorder="1" applyAlignment="1" applyProtection="1"/>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9"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2" borderId="0" xfId="18" applyFont="1" applyFill="1" applyAlignment="1">
      <alignment horizontal="centerContinuous" vertical="center"/>
    </xf>
    <xf numFmtId="0" fontId="101" fillId="22" borderId="0" xfId="18" applyFont="1" applyFill="1" applyAlignment="1">
      <alignment horizontal="centerContinuous"/>
    </xf>
    <xf numFmtId="0" fontId="89" fillId="0" borderId="135"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60"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2"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7" xfId="18" applyFont="1" applyBorder="1" applyAlignment="1">
      <alignment horizontal="left" vertical="center" wrapText="1"/>
    </xf>
    <xf numFmtId="0" fontId="105" fillId="0" borderId="158"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0"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7" fillId="0" borderId="0" xfId="18" applyFont="1"/>
    <xf numFmtId="0" fontId="49" fillId="0" borderId="138" xfId="18" applyFont="1" applyBorder="1" applyAlignment="1">
      <alignment vertical="top"/>
    </xf>
    <xf numFmtId="0" fontId="49" fillId="0" borderId="139" xfId="18" applyFont="1" applyBorder="1" applyAlignment="1">
      <alignment vertical="top"/>
    </xf>
    <xf numFmtId="0" fontId="50" fillId="15" borderId="76" xfId="18" applyFont="1" applyFill="1" applyBorder="1" applyAlignment="1">
      <alignment vertical="top"/>
    </xf>
    <xf numFmtId="0" fontId="49" fillId="0" borderId="138" xfId="18" applyFont="1" applyBorder="1" applyAlignment="1">
      <alignment vertical="top" wrapText="1"/>
    </xf>
    <xf numFmtId="0" fontId="49" fillId="0" borderId="139"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2" borderId="0" xfId="18" applyFont="1" applyFill="1" applyAlignment="1">
      <alignment horizontal="centerContinuous" vertical="center"/>
    </xf>
    <xf numFmtId="0" fontId="105" fillId="22" borderId="136" xfId="18" applyFont="1" applyFill="1" applyBorder="1" applyAlignment="1">
      <alignment horizontal="center" vertical="center" wrapText="1"/>
    </xf>
    <xf numFmtId="0" fontId="105" fillId="22" borderId="161" xfId="18" applyFont="1" applyFill="1" applyBorder="1" applyAlignment="1">
      <alignment horizontal="center" vertical="center" wrapText="1"/>
    </xf>
    <xf numFmtId="0" fontId="105" fillId="17" borderId="137"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7" xfId="18" applyFont="1" applyFill="1" applyBorder="1" applyAlignment="1" applyProtection="1">
      <alignment horizontal="righ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7"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103" xfId="0" applyNumberFormat="1" applyFont="1" applyFill="1" applyBorder="1" applyAlignment="1" applyProtection="1">
      <alignment horizontal="right" shrinkToFit="1"/>
      <protection locked="0"/>
    </xf>
    <xf numFmtId="41" fontId="50" fillId="10" borderId="104"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14" xfId="0" applyNumberFormat="1" applyFont="1" applyBorder="1" applyAlignment="1" applyProtection="1">
      <alignment horizontal="right" shrinkToFit="1"/>
      <protection locked="0"/>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0" borderId="14" xfId="0" applyNumberFormat="1" applyFont="1" applyFill="1" applyBorder="1" applyAlignment="1" applyProtection="1">
      <alignment horizontal="right" shrinkToFit="1"/>
      <protection locked="0"/>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2" borderId="19" xfId="0" applyNumberFormat="1" applyFont="1" applyFill="1" applyBorder="1" applyAlignment="1" applyProtection="1">
      <alignment horizontal="right" shrinkToFit="1"/>
    </xf>
    <xf numFmtId="38" fontId="56" fillId="22" borderId="20" xfId="0" applyNumberFormat="1" applyFont="1" applyFill="1" applyBorder="1" applyAlignment="1" applyProtection="1">
      <alignment horizontal="right" shrinkToFit="1"/>
    </xf>
    <xf numFmtId="38" fontId="56" fillId="22" borderId="21" xfId="0" applyNumberFormat="1" applyFont="1" applyFill="1" applyBorder="1" applyAlignment="1" applyProtection="1">
      <alignment horizontal="right" shrinkToFit="1"/>
    </xf>
    <xf numFmtId="38" fontId="56" fillId="22"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2" borderId="13" xfId="0" applyNumberFormat="1" applyFont="1" applyFill="1" applyBorder="1" applyAlignment="1" applyProtection="1">
      <alignment horizontal="right" shrinkToFit="1"/>
    </xf>
    <xf numFmtId="38" fontId="56" fillId="22" borderId="11" xfId="0" applyNumberFormat="1" applyFont="1" applyFill="1" applyBorder="1" applyAlignment="1" applyProtection="1">
      <alignment horizontal="right" shrinkToFit="1"/>
    </xf>
    <xf numFmtId="38" fontId="56" fillId="0" borderId="12" xfId="0" applyNumberFormat="1" applyFont="1" applyFill="1" applyBorder="1" applyAlignment="1" applyProtection="1">
      <alignment horizontal="right" shrinkToFit="1"/>
      <protection locked="0"/>
    </xf>
    <xf numFmtId="38" fontId="56" fillId="0" borderId="13" xfId="0" applyNumberFormat="1" applyFont="1" applyFill="1" applyBorder="1" applyAlignment="1" applyProtection="1">
      <alignment horizontal="right" shrinkToFit="1"/>
      <protection locked="0"/>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2" borderId="49" xfId="0" applyNumberFormat="1" applyFont="1" applyFill="1" applyBorder="1" applyAlignment="1" applyProtection="1">
      <alignment horizontal="right" shrinkToFit="1"/>
    </xf>
    <xf numFmtId="38" fontId="56" fillId="22"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2"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0" borderId="0" xfId="0" applyNumberFormat="1" applyFont="1" applyAlignment="1" applyProtection="1">
      <alignment horizontal="right" shrinkToFit="1"/>
      <protection locked="0"/>
    </xf>
    <xf numFmtId="38" fontId="56" fillId="0" borderId="13" xfId="0" applyNumberFormat="1" applyFont="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0" borderId="19" xfId="0" applyNumberFormat="1" applyFont="1" applyFill="1" applyBorder="1" applyAlignment="1" applyProtection="1">
      <alignment horizontal="right" shrinkToFit="1"/>
      <protection locked="0"/>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5" xfId="0" applyNumberFormat="1" applyFont="1" applyBorder="1" applyAlignment="1" applyProtection="1">
      <alignment horizontal="right" shrinkToFit="1"/>
      <protection locked="0"/>
    </xf>
    <xf numFmtId="38" fontId="56" fillId="3" borderId="125"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7"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36" xfId="0" applyNumberFormat="1" applyFont="1" applyFill="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55" xfId="0" applyNumberFormat="1" applyFont="1" applyBorder="1" applyAlignment="1" applyProtection="1">
      <alignment horizontal="right" vertical="center" shrinkToFit="1"/>
      <protection locked="0"/>
    </xf>
    <xf numFmtId="38" fontId="56" fillId="0" borderId="32" xfId="0" applyNumberFormat="1" applyFont="1" applyBorder="1" applyAlignment="1" applyProtection="1">
      <alignment horizontal="right" vertical="center" shrinkToFit="1"/>
      <protection locked="0"/>
    </xf>
    <xf numFmtId="38" fontId="56" fillId="0" borderId="27" xfId="0" applyNumberFormat="1" applyFont="1" applyFill="1" applyBorder="1" applyAlignment="1" applyProtection="1">
      <alignment horizontal="right" vertical="center" shrinkToFit="1"/>
      <protection locked="0"/>
    </xf>
    <xf numFmtId="38" fontId="56" fillId="0" borderId="32"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8" fontId="56" fillId="0" borderId="122" xfId="0" applyNumberFormat="1" applyFont="1" applyFill="1" applyBorder="1" applyAlignment="1" applyProtection="1">
      <alignment horizontal="right" shrinkToFit="1"/>
      <protection locked="0"/>
    </xf>
    <xf numFmtId="38" fontId="56" fillId="0" borderId="121" xfId="0" applyNumberFormat="1" applyFont="1" applyFill="1" applyBorder="1" applyAlignment="1" applyProtection="1">
      <alignment horizontal="right" shrinkToFit="1"/>
      <protection locked="0"/>
    </xf>
    <xf numFmtId="38" fontId="56" fillId="0" borderId="111" xfId="0" applyNumberFormat="1" applyFont="1" applyFill="1" applyBorder="1" applyAlignment="1" applyProtection="1">
      <alignment horizontal="right" shrinkToFit="1"/>
      <protection locked="0"/>
    </xf>
    <xf numFmtId="3" fontId="56" fillId="3" borderId="125"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5"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5" borderId="4" xfId="0" applyNumberFormat="1" applyFont="1" applyFill="1" applyBorder="1" applyAlignment="1" applyProtection="1">
      <alignment horizontal="right" shrinkToFit="1"/>
      <protection locked="0"/>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5"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3" borderId="19" xfId="0" applyNumberFormat="1" applyFont="1" applyFill="1" applyBorder="1" applyAlignment="1">
      <alignment horizontal="right" shrinkToFit="1"/>
    </xf>
    <xf numFmtId="38" fontId="56" fillId="23" borderId="20" xfId="0" applyNumberFormat="1" applyFont="1" applyFill="1" applyBorder="1" applyAlignment="1">
      <alignment horizontal="right" shrinkToFit="1"/>
    </xf>
    <xf numFmtId="38" fontId="56" fillId="23"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5"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125"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2" borderId="13" xfId="0" applyNumberFormat="1" applyFont="1" applyFill="1" applyBorder="1" applyAlignment="1">
      <alignment horizontal="right" shrinkToFit="1"/>
    </xf>
    <xf numFmtId="38" fontId="56" fillId="22" borderId="21" xfId="0" applyNumberFormat="1" applyFont="1" applyFill="1" applyBorder="1" applyAlignment="1">
      <alignment horizontal="right" shrinkToFit="1"/>
    </xf>
    <xf numFmtId="38" fontId="56" fillId="22"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5"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8" applyNumberFormat="1" applyFont="1" applyFill="1" applyBorder="1" applyAlignment="1" applyProtection="1">
      <alignment horizontal="right" shrinkToFit="1"/>
      <protection locked="0"/>
    </xf>
    <xf numFmtId="38" fontId="56" fillId="0" borderId="2" xfId="6" applyNumberFormat="1" applyFont="1" applyBorder="1" applyAlignment="1" applyProtection="1">
      <alignment shrinkToFit="1"/>
      <protection locked="0"/>
    </xf>
    <xf numFmtId="38" fontId="56" fillId="16" borderId="125" xfId="0" applyNumberFormat="1" applyFont="1" applyFill="1" applyBorder="1" applyAlignment="1" applyProtection="1">
      <alignment horizontal="right" vertical="center" shrinkToFit="1"/>
      <protection locked="0"/>
    </xf>
    <xf numFmtId="38" fontId="56" fillId="0" borderId="125" xfId="0" applyNumberFormat="1" applyFont="1" applyFill="1" applyBorder="1" applyAlignment="1" applyProtection="1">
      <alignment horizontal="right" vertical="center" shrinkToFit="1"/>
      <protection locked="0"/>
    </xf>
    <xf numFmtId="38" fontId="56" fillId="16" borderId="125"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10" xfId="0" applyNumberFormat="1" applyFont="1" applyFill="1" applyBorder="1" applyAlignment="1" applyProtection="1">
      <alignment horizontal="right" shrinkToFit="1"/>
      <protection locked="0"/>
    </xf>
    <xf numFmtId="42" fontId="50" fillId="10" borderId="110"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5"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5"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4" xfId="0" applyFont="1" applyFill="1" applyBorder="1" applyAlignment="1">
      <alignment shrinkToFit="1"/>
    </xf>
    <xf numFmtId="37" fontId="56" fillId="16" borderId="124" xfId="0" applyNumberFormat="1" applyFont="1" applyFill="1" applyBorder="1" applyAlignment="1">
      <alignment shrinkToFit="1"/>
    </xf>
    <xf numFmtId="37" fontId="56" fillId="16" borderId="126"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2" borderId="0" xfId="18" applyFont="1" applyFill="1" applyAlignment="1" applyProtection="1">
      <alignment horizontal="centerContinuous" vertical="center"/>
      <protection hidden="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0" fontId="65" fillId="20" borderId="44" xfId="3" applyFont="1" applyFill="1" applyBorder="1" applyAlignment="1" applyProtection="1">
      <alignment horizontal="center"/>
      <protection hidden="1"/>
    </xf>
    <xf numFmtId="0" fontId="65" fillId="21" borderId="44" xfId="3" applyFont="1" applyFill="1" applyBorder="1" applyAlignment="1" applyProtection="1">
      <alignment horizontal="center"/>
      <protection hidden="1"/>
    </xf>
    <xf numFmtId="169" fontId="63" fillId="0" borderId="8" xfId="3" applyNumberFormat="1" applyFont="1" applyBorder="1" applyAlignment="1" applyProtection="1">
      <alignment horizontal="center" shrinkToFit="1"/>
      <protection locked="0"/>
    </xf>
    <xf numFmtId="1" fontId="63" fillId="0" borderId="8" xfId="3" applyNumberFormat="1" applyFont="1" applyBorder="1" applyAlignment="1" applyProtection="1">
      <alignment horizontal="center" shrinkToFit="1"/>
      <protection locked="0"/>
    </xf>
    <xf numFmtId="3" fontId="63" fillId="0" borderId="8" xfId="3" applyNumberFormat="1" applyFont="1" applyBorder="1" applyAlignment="1" applyProtection="1">
      <alignment horizontal="center" shrinkToFit="1"/>
      <protection locked="0"/>
    </xf>
    <xf numFmtId="169" fontId="63" fillId="0" borderId="22" xfId="3" applyNumberFormat="1" applyFont="1" applyBorder="1" applyAlignment="1" applyProtection="1">
      <alignment horizontal="center" shrinkToFit="1"/>
      <protection locked="0"/>
    </xf>
    <xf numFmtId="1" fontId="63" fillId="0" borderId="22" xfId="3" applyNumberFormat="1" applyFont="1" applyBorder="1" applyAlignment="1" applyProtection="1">
      <alignment horizontal="center" shrinkToFit="1"/>
      <protection locked="0"/>
    </xf>
    <xf numFmtId="3" fontId="63" fillId="0" borderId="22" xfId="3" applyNumberFormat="1" applyFont="1" applyBorder="1" applyAlignment="1" applyProtection="1">
      <alignment horizontal="center" shrinkToFit="1"/>
      <protection locked="0"/>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23"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58" fillId="0" borderId="16" xfId="3" applyNumberFormat="1" applyFont="1" applyFill="1" applyBorder="1" applyAlignment="1" applyProtection="1">
      <alignment horizontal="centerContinuous" vertical="center"/>
      <protection hidden="1"/>
    </xf>
    <xf numFmtId="0" fontId="58" fillId="0" borderId="10" xfId="3" applyNumberFormat="1" applyFont="1" applyFill="1" applyBorder="1" applyAlignment="1" applyProtection="1">
      <alignment horizontal="centerContinuous" vertical="center"/>
      <protection hidden="1"/>
    </xf>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8" xfId="19" applyFont="1" applyBorder="1" applyAlignment="1">
      <alignment horizontal="left" vertical="top"/>
    </xf>
    <xf numFmtId="182" fontId="127" fillId="0" borderId="139" xfId="19" applyNumberFormat="1" applyFont="1" applyBorder="1" applyAlignment="1">
      <alignment horizontal="center" vertical="top"/>
    </xf>
    <xf numFmtId="0" fontId="127" fillId="0" borderId="139" xfId="19" applyFont="1" applyBorder="1" applyAlignment="1">
      <alignment horizontal="center" vertical="top"/>
    </xf>
    <xf numFmtId="0" fontId="127" fillId="0" borderId="140" xfId="19" applyFont="1" applyBorder="1" applyAlignment="1">
      <alignment horizontal="center" vertical="top"/>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126" fillId="22" borderId="154" xfId="19" applyFont="1" applyFill="1" applyBorder="1" applyAlignment="1">
      <alignment horizontal="center" vertical="center" wrapText="1"/>
    </xf>
    <xf numFmtId="182" fontId="126" fillId="22" borderId="154" xfId="19" applyNumberFormat="1" applyFont="1" applyFill="1" applyBorder="1" applyAlignment="1">
      <alignment horizontal="center" vertical="center" wrapText="1"/>
    </xf>
    <xf numFmtId="38" fontId="126" fillId="22" borderId="154" xfId="19" applyNumberFormat="1" applyFont="1" applyFill="1" applyBorder="1" applyAlignment="1">
      <alignment horizontal="center" vertical="center" wrapText="1"/>
    </xf>
    <xf numFmtId="0" fontId="128" fillId="20" borderId="155" xfId="19" applyFont="1" applyFill="1" applyBorder="1" applyAlignment="1" applyProtection="1">
      <alignment horizontal="left" vertical="top" wrapText="1"/>
    </xf>
    <xf numFmtId="0" fontId="128" fillId="20" borderId="155" xfId="19" applyFont="1" applyFill="1" applyBorder="1" applyAlignment="1" applyProtection="1">
      <alignment vertical="top"/>
    </xf>
    <xf numFmtId="38" fontId="128" fillId="20" borderId="155" xfId="19" applyNumberFormat="1" applyFont="1" applyFill="1" applyBorder="1" applyAlignment="1" applyProtection="1">
      <alignment horizontal="right" vertical="top"/>
    </xf>
    <xf numFmtId="38" fontId="128" fillId="20" borderId="155" xfId="19" applyNumberFormat="1" applyFont="1" applyFill="1" applyBorder="1" applyAlignment="1" applyProtection="1">
      <alignment vertical="top"/>
    </xf>
    <xf numFmtId="0" fontId="6" fillId="0" borderId="155" xfId="19" applyFont="1" applyBorder="1" applyAlignment="1" applyProtection="1">
      <alignment horizontal="left" vertical="top" wrapText="1"/>
      <protection locked="0"/>
    </xf>
    <xf numFmtId="0" fontId="6" fillId="0" borderId="155" xfId="19" applyFont="1" applyBorder="1" applyAlignment="1" applyProtection="1">
      <alignment vertical="top"/>
      <protection locked="0"/>
    </xf>
    <xf numFmtId="38" fontId="6" fillId="0" borderId="155" xfId="19" applyNumberFormat="1" applyBorder="1" applyAlignment="1" applyProtection="1">
      <alignment horizontal="right" vertical="top"/>
      <protection locked="0"/>
    </xf>
    <xf numFmtId="0" fontId="6" fillId="0" borderId="0" xfId="19" quotePrefix="1" applyNumberFormat="1" applyFont="1"/>
    <xf numFmtId="0" fontId="6" fillId="0" borderId="155" xfId="19" applyBorder="1" applyAlignment="1" applyProtection="1">
      <alignment horizontal="left" vertical="top" wrapText="1"/>
      <protection locked="0"/>
    </xf>
    <xf numFmtId="0" fontId="6" fillId="0" borderId="155" xfId="19" applyBorder="1" applyAlignment="1" applyProtection="1">
      <alignment vertical="top"/>
      <protection locked="0"/>
    </xf>
    <xf numFmtId="0" fontId="6" fillId="16" borderId="156" xfId="19" applyFill="1" applyBorder="1" applyAlignment="1" applyProtection="1">
      <alignment horizontal="left" vertical="top" wrapText="1"/>
    </xf>
    <xf numFmtId="0" fontId="6" fillId="16" borderId="156" xfId="19" applyFill="1" applyBorder="1" applyAlignment="1" applyProtection="1">
      <alignment vertical="top"/>
    </xf>
    <xf numFmtId="38" fontId="6" fillId="16" borderId="156" xfId="19" applyNumberFormat="1" applyFill="1" applyBorder="1" applyAlignment="1" applyProtection="1">
      <alignment horizontal="right" vertical="top"/>
    </xf>
    <xf numFmtId="38" fontId="6" fillId="16" borderId="156" xfId="19" applyNumberFormat="1" applyFont="1" applyFill="1" applyBorder="1" applyAlignment="1" applyProtection="1">
      <alignment horizontal="right" vertical="top"/>
    </xf>
    <xf numFmtId="38" fontId="6" fillId="16" borderId="156"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6" xfId="19" applyFont="1" applyBorder="1" applyAlignment="1">
      <alignment vertical="top"/>
    </xf>
    <xf numFmtId="0" fontId="141" fillId="0" borderId="0" xfId="19" applyFont="1" applyBorder="1" applyAlignment="1">
      <alignment vertical="top"/>
    </xf>
    <xf numFmtId="41" fontId="50" fillId="11" borderId="110"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5" xfId="19" applyNumberFormat="1" applyFill="1" applyBorder="1" applyAlignment="1" applyProtection="1">
      <alignment horizontal="right" vertical="top"/>
    </xf>
    <xf numFmtId="184" fontId="128" fillId="20" borderId="155" xfId="19" applyNumberFormat="1" applyFont="1" applyFill="1" applyBorder="1" applyAlignment="1" applyProtection="1">
      <alignment horizontal="center" vertical="top"/>
    </xf>
    <xf numFmtId="184" fontId="6" fillId="0" borderId="155" xfId="19" applyNumberFormat="1" applyFont="1" applyBorder="1" applyAlignment="1" applyProtection="1">
      <alignment horizontal="center" vertical="top"/>
      <protection locked="0"/>
    </xf>
    <xf numFmtId="184" fontId="6" fillId="0" borderId="155" xfId="19" applyNumberFormat="1" applyFont="1" applyBorder="1" applyAlignment="1" applyProtection="1">
      <alignment horizontal="center" vertical="center"/>
      <protection locked="0"/>
    </xf>
    <xf numFmtId="184" fontId="6" fillId="0" borderId="155" xfId="19" applyNumberFormat="1" applyBorder="1" applyAlignment="1" applyProtection="1">
      <alignment horizontal="center" vertical="center"/>
      <protection locked="0"/>
    </xf>
    <xf numFmtId="184" fontId="6" fillId="16" borderId="156" xfId="19" applyNumberFormat="1" applyFill="1" applyBorder="1" applyAlignment="1" applyProtection="1">
      <alignment vertical="top"/>
    </xf>
    <xf numFmtId="0" fontId="58" fillId="0" borderId="126" xfId="3" applyNumberFormat="1" applyFont="1" applyBorder="1" applyAlignment="1">
      <alignment vertical="center"/>
    </xf>
    <xf numFmtId="0" fontId="5" fillId="0" borderId="0" xfId="19" applyFont="1" applyAlignment="1">
      <alignment horizontal="left" vertical="center"/>
    </xf>
    <xf numFmtId="0" fontId="4" fillId="0" borderId="155" xfId="19" applyFont="1" applyBorder="1" applyAlignment="1" applyProtection="1">
      <alignment vertical="top"/>
      <protection locked="0"/>
    </xf>
    <xf numFmtId="0" fontId="65" fillId="0" borderId="44" xfId="3" applyFont="1" applyFill="1" applyBorder="1" applyAlignment="1" applyProtection="1">
      <alignment horizontal="center"/>
      <protection hidden="1"/>
    </xf>
    <xf numFmtId="0" fontId="58" fillId="0" borderId="0" xfId="3" applyFont="1" applyFill="1" applyAlignment="1" applyProtection="1">
      <alignment horizontal="center"/>
    </xf>
    <xf numFmtId="0" fontId="65" fillId="0" borderId="142" xfId="3" applyFont="1" applyFill="1" applyBorder="1" applyAlignment="1" applyProtection="1">
      <alignment horizontal="centerContinuous"/>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0" fontId="66" fillId="0" borderId="0" xfId="3" applyNumberFormat="1" applyFont="1" applyBorder="1" applyAlignment="1">
      <alignment horizontal="left" vertical="center"/>
    </xf>
    <xf numFmtId="0" fontId="101" fillId="0" borderId="0" xfId="20" applyFont="1"/>
    <xf numFmtId="0" fontId="58" fillId="0" borderId="17" xfId="3" applyNumberFormat="1" applyFont="1" applyBorder="1" applyAlignment="1">
      <alignment horizontal="center" vertical="center"/>
    </xf>
    <xf numFmtId="0" fontId="58" fillId="0" borderId="0"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8" fillId="22" borderId="126" xfId="3" applyNumberFormat="1" applyFont="1" applyFill="1" applyBorder="1" applyAlignment="1">
      <alignment vertical="center"/>
    </xf>
    <xf numFmtId="0" fontId="58" fillId="22" borderId="124" xfId="3" applyNumberFormat="1" applyFont="1" applyFill="1" applyBorder="1" applyAlignment="1">
      <alignment vertical="center"/>
    </xf>
    <xf numFmtId="0" fontId="58" fillId="0" borderId="123" xfId="3" applyNumberFormat="1" applyFont="1" applyBorder="1" applyAlignment="1">
      <alignment vertical="center"/>
    </xf>
    <xf numFmtId="0" fontId="66" fillId="0" borderId="12" xfId="3" applyNumberFormat="1" applyFont="1" applyFill="1" applyBorder="1" applyAlignment="1" applyProtection="1">
      <alignment horizontal="centerContinuous" vertical="center"/>
      <protection hidden="1"/>
    </xf>
    <xf numFmtId="0" fontId="66" fillId="0" borderId="3" xfId="3" applyNumberFormat="1" applyFont="1" applyFill="1" applyBorder="1" applyAlignment="1" applyProtection="1">
      <alignment horizontal="centerContinuous" vertical="center"/>
      <protection hidden="1"/>
    </xf>
    <xf numFmtId="0" fontId="58" fillId="0" borderId="0" xfId="3" applyNumberFormat="1" applyFont="1" applyFill="1" applyBorder="1" applyAlignment="1">
      <alignment vertical="center"/>
    </xf>
    <xf numFmtId="0" fontId="58" fillId="0" borderId="0" xfId="3" applyNumberFormat="1" applyFont="1" applyFill="1" applyBorder="1" applyAlignment="1">
      <alignment horizontal="center" vertical="center"/>
    </xf>
    <xf numFmtId="0" fontId="58" fillId="0" borderId="26" xfId="3" applyNumberFormat="1" applyFont="1" applyFill="1" applyBorder="1" applyAlignment="1">
      <alignment vertical="center"/>
    </xf>
    <xf numFmtId="0" fontId="66" fillId="0" borderId="10" xfId="3" applyNumberFormat="1" applyFont="1" applyBorder="1" applyAlignment="1">
      <alignment horizontal="center" vertical="center"/>
    </xf>
    <xf numFmtId="0" fontId="66" fillId="0" borderId="3" xfId="3" applyNumberFormat="1" applyFont="1" applyBorder="1" applyAlignment="1">
      <alignment horizontal="center" vertical="center"/>
    </xf>
    <xf numFmtId="0" fontId="66" fillId="0" borderId="3" xfId="20" quotePrefix="1" applyNumberFormat="1" applyFont="1" applyBorder="1" applyAlignment="1">
      <alignment horizontal="center" vertical="center"/>
    </xf>
    <xf numFmtId="0" fontId="58" fillId="0" borderId="3" xfId="3" applyNumberFormat="1" applyFont="1" applyBorder="1" applyAlignment="1">
      <alignment horizontal="center" vertical="center"/>
    </xf>
    <xf numFmtId="0" fontId="66" fillId="0" borderId="125" xfId="3" applyNumberFormat="1" applyFont="1" applyBorder="1" applyAlignment="1">
      <alignment horizontal="center" vertical="center" wrapText="1"/>
    </xf>
    <xf numFmtId="0" fontId="66" fillId="0" borderId="125" xfId="20" applyNumberFormat="1" applyFont="1" applyBorder="1" applyAlignment="1">
      <alignment horizontal="center" vertical="center" wrapText="1"/>
    </xf>
    <xf numFmtId="0" fontId="66" fillId="0" borderId="125" xfId="3" applyNumberFormat="1" applyFont="1" applyBorder="1" applyAlignment="1">
      <alignment horizontal="center" vertical="center"/>
    </xf>
    <xf numFmtId="0" fontId="58" fillId="0" borderId="21"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8" fillId="15"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38" fontId="58" fillId="16" borderId="2" xfId="3" applyNumberFormat="1" applyFont="1" applyFill="1" applyBorder="1" applyAlignment="1">
      <alignment vertical="center" shrinkToFit="1"/>
    </xf>
    <xf numFmtId="0" fontId="58" fillId="0" borderId="2" xfId="3" applyNumberFormat="1" applyFont="1" applyBorder="1" applyAlignment="1">
      <alignment horizontal="left" vertical="top" indent="1"/>
    </xf>
    <xf numFmtId="38" fontId="58" fillId="0" borderId="2" xfId="3" applyNumberFormat="1" applyFont="1" applyFill="1" applyBorder="1" applyAlignment="1" applyProtection="1">
      <alignment vertical="center" shrinkToFit="1"/>
      <protection locked="0"/>
    </xf>
    <xf numFmtId="38" fontId="58" fillId="16" borderId="2" xfId="3" applyNumberFormat="1" applyFont="1" applyFill="1" applyBorder="1" applyAlignment="1" applyProtection="1">
      <alignment vertical="center" shrinkToFit="1"/>
    </xf>
    <xf numFmtId="0" fontId="66"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38" fontId="58" fillId="16" borderId="27" xfId="3" applyNumberFormat="1" applyFont="1" applyFill="1" applyBorder="1" applyAlignment="1">
      <alignment vertical="center" shrinkToFit="1"/>
    </xf>
    <xf numFmtId="0" fontId="58" fillId="15" borderId="125" xfId="3" applyNumberFormat="1" applyFont="1" applyFill="1" applyBorder="1" applyAlignment="1">
      <alignment vertical="center" shrinkToFit="1"/>
    </xf>
    <xf numFmtId="9" fontId="58" fillId="16" borderId="125" xfId="3" applyNumberFormat="1" applyFont="1" applyFill="1" applyBorder="1" applyAlignment="1">
      <alignment horizontal="center" vertical="center" shrinkToFit="1"/>
    </xf>
    <xf numFmtId="0" fontId="58" fillId="0" borderId="0" xfId="3" applyNumberFormat="1" applyFont="1" applyBorder="1" applyAlignment="1">
      <alignment horizontal="center" wrapText="1"/>
    </xf>
    <xf numFmtId="0" fontId="81" fillId="0" borderId="0" xfId="3" applyFont="1" applyBorder="1" applyAlignment="1">
      <alignment horizontal="center" vertical="center" wrapText="1"/>
    </xf>
    <xf numFmtId="0" fontId="58" fillId="0" borderId="0" xfId="3" applyNumberFormat="1" applyFont="1" applyFill="1" applyBorder="1" applyAlignment="1">
      <alignment vertical="center" shrinkToFit="1"/>
    </xf>
    <xf numFmtId="9" fontId="58" fillId="0" borderId="0" xfId="3" applyNumberFormat="1" applyFont="1" applyFill="1" applyBorder="1" applyAlignment="1">
      <alignment horizontal="center" vertical="center" shrinkToFit="1"/>
    </xf>
    <xf numFmtId="0" fontId="81" fillId="0" borderId="131" xfId="3" applyNumberFormat="1" applyFont="1" applyBorder="1" applyAlignment="1">
      <alignment horizontal="center" vertical="center"/>
    </xf>
    <xf numFmtId="0" fontId="81" fillId="0" borderId="0" xfId="3" applyNumberFormat="1" applyFont="1" applyBorder="1" applyAlignment="1">
      <alignment vertical="center" wrapText="1"/>
    </xf>
    <xf numFmtId="0" fontId="81" fillId="0" borderId="0" xfId="3" applyNumberFormat="1" applyFont="1" applyBorder="1" applyAlignment="1"/>
    <xf numFmtId="0" fontId="81" fillId="0" borderId="131" xfId="3" applyNumberFormat="1" applyFont="1" applyBorder="1" applyAlignment="1">
      <alignment horizontal="center"/>
    </xf>
    <xf numFmtId="0" fontId="81" fillId="0" borderId="0" xfId="3" applyNumberFormat="1" applyFont="1" applyBorder="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quotePrefix="1" applyNumberFormat="1" applyFont="1" applyFill="1" applyBorder="1" applyAlignment="1" applyProtection="1">
      <alignment horizontal="left" vertical="top" wrapText="1" indent="2"/>
      <protection hidden="1"/>
    </xf>
    <xf numFmtId="0" fontId="102" fillId="0" borderId="77" xfId="20" applyFont="1" applyBorder="1" applyAlignment="1">
      <alignment horizontal="center" wrapText="1"/>
    </xf>
    <xf numFmtId="0" fontId="102" fillId="0" borderId="167" xfId="20" applyFont="1" applyBorder="1" applyAlignment="1">
      <alignment horizontal="center" wrapText="1"/>
    </xf>
    <xf numFmtId="0" fontId="58" fillId="0" borderId="169" xfId="20" applyFont="1" applyBorder="1" applyAlignment="1">
      <alignment horizontal="center"/>
    </xf>
    <xf numFmtId="0" fontId="58" fillId="0" borderId="174" xfId="20" applyFont="1" applyBorder="1" applyAlignment="1">
      <alignment horizontal="center"/>
    </xf>
    <xf numFmtId="38" fontId="58" fillId="16" borderId="2" xfId="3" applyNumberFormat="1" applyFont="1" applyFill="1" applyBorder="1" applyAlignment="1" applyProtection="1">
      <alignment vertical="center" shrinkToFit="1"/>
      <protection locked="0"/>
    </xf>
    <xf numFmtId="0" fontId="58" fillId="0" borderId="178" xfId="20" applyFont="1" applyBorder="1" applyAlignment="1">
      <alignment horizontal="center"/>
    </xf>
    <xf numFmtId="0" fontId="58" fillId="26" borderId="77" xfId="20" applyFont="1" applyFill="1" applyBorder="1"/>
    <xf numFmtId="0" fontId="58" fillId="26" borderId="77" xfId="20" applyFont="1" applyFill="1" applyBorder="1" applyAlignment="1">
      <alignment horizontal="center"/>
    </xf>
    <xf numFmtId="38" fontId="58" fillId="26" borderId="0" xfId="20" applyNumberFormat="1" applyFont="1" applyFill="1" applyBorder="1" applyAlignment="1">
      <alignment horizontal="center"/>
    </xf>
    <xf numFmtId="38" fontId="66" fillId="26" borderId="77" xfId="20" applyNumberFormat="1" applyFont="1" applyFill="1" applyBorder="1" applyAlignment="1">
      <alignment horizontal="center"/>
    </xf>
    <xf numFmtId="38" fontId="66" fillId="16" borderId="77" xfId="20" applyNumberFormat="1" applyFont="1" applyFill="1" applyBorder="1" applyAlignment="1">
      <alignment horizontal="center"/>
    </xf>
    <xf numFmtId="38" fontId="66" fillId="16" borderId="172" xfId="20" applyNumberFormat="1" applyFont="1" applyFill="1" applyBorder="1" applyAlignment="1">
      <alignment horizontal="center" wrapText="1"/>
    </xf>
    <xf numFmtId="38" fontId="66" fillId="16" borderId="170" xfId="20" applyNumberFormat="1" applyFont="1" applyFill="1" applyBorder="1" applyAlignment="1">
      <alignment horizontal="center"/>
    </xf>
    <xf numFmtId="38" fontId="66" fillId="16" borderId="175" xfId="20" applyNumberFormat="1" applyFont="1" applyFill="1" applyBorder="1" applyAlignment="1">
      <alignment horizontal="center"/>
    </xf>
    <xf numFmtId="38" fontId="66" fillId="16" borderId="179" xfId="20" applyNumberFormat="1" applyFont="1" applyFill="1" applyBorder="1" applyAlignment="1">
      <alignment horizontal="center"/>
    </xf>
    <xf numFmtId="0" fontId="58" fillId="0" borderId="181" xfId="3" applyNumberFormat="1" applyFont="1" applyBorder="1" applyAlignment="1">
      <alignment vertical="center"/>
    </xf>
    <xf numFmtId="0" fontId="58" fillId="0" borderId="164" xfId="3" applyNumberFormat="1" applyFont="1" applyBorder="1" applyAlignment="1">
      <alignment vertical="center"/>
    </xf>
    <xf numFmtId="0" fontId="58" fillId="0" borderId="165" xfId="3" applyNumberFormat="1" applyFont="1" applyBorder="1" applyAlignment="1">
      <alignment vertical="center"/>
    </xf>
    <xf numFmtId="0" fontId="58" fillId="0" borderId="182" xfId="20" applyFont="1" applyBorder="1"/>
    <xf numFmtId="0" fontId="58" fillId="0" borderId="0" xfId="20" applyFont="1" applyBorder="1"/>
    <xf numFmtId="0" fontId="58" fillId="0" borderId="183" xfId="20" applyFont="1" applyBorder="1"/>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38" fontId="66" fillId="16" borderId="167" xfId="20" applyNumberFormat="1" applyFont="1" applyFill="1" applyBorder="1" applyAlignment="1">
      <alignment horizontal="center"/>
    </xf>
    <xf numFmtId="0" fontId="101" fillId="0" borderId="182" xfId="20" applyFont="1" applyBorder="1"/>
    <xf numFmtId="0" fontId="101" fillId="0" borderId="0" xfId="20" applyFont="1" applyBorder="1"/>
    <xf numFmtId="0" fontId="101" fillId="0" borderId="183" xfId="20" applyFont="1" applyBorder="1"/>
    <xf numFmtId="0" fontId="101" fillId="0" borderId="187" xfId="20" applyFont="1" applyBorder="1"/>
    <xf numFmtId="0" fontId="101" fillId="0" borderId="188" xfId="20" applyFont="1" applyBorder="1"/>
    <xf numFmtId="0" fontId="101" fillId="0" borderId="189" xfId="20" applyFont="1" applyBorder="1"/>
    <xf numFmtId="0" fontId="66" fillId="0" borderId="164" xfId="3" applyNumberFormat="1" applyFont="1" applyBorder="1" applyAlignment="1">
      <alignment horizontal="center" vertical="center"/>
    </xf>
    <xf numFmtId="0" fontId="66" fillId="0" borderId="164" xfId="3" applyNumberFormat="1" applyFont="1" applyBorder="1" applyAlignment="1">
      <alignment horizontal="left" vertical="center"/>
    </xf>
    <xf numFmtId="0" fontId="58" fillId="0" borderId="182" xfId="3" applyNumberFormat="1" applyFont="1" applyBorder="1" applyAlignment="1">
      <alignment vertical="center"/>
    </xf>
    <xf numFmtId="0" fontId="58" fillId="0" borderId="183" xfId="3" applyNumberFormat="1" applyFont="1" applyBorder="1" applyAlignment="1">
      <alignment vertical="center"/>
    </xf>
    <xf numFmtId="0" fontId="66" fillId="22" borderId="190" xfId="3" applyNumberFormat="1" applyFont="1" applyFill="1" applyBorder="1" applyAlignment="1">
      <alignment horizontal="left"/>
    </xf>
    <xf numFmtId="0" fontId="58" fillId="22" borderId="191" xfId="3" applyNumberFormat="1" applyFont="1" applyFill="1" applyBorder="1" applyAlignment="1">
      <alignment vertical="center"/>
    </xf>
    <xf numFmtId="0" fontId="58" fillId="0" borderId="190" xfId="3" applyNumberFormat="1" applyFont="1" applyBorder="1" applyAlignment="1">
      <alignment vertical="center"/>
    </xf>
    <xf numFmtId="0" fontId="58" fillId="0" borderId="182" xfId="3" applyNumberFormat="1" applyFont="1" applyFill="1" applyBorder="1" applyAlignment="1">
      <alignment vertical="center"/>
    </xf>
    <xf numFmtId="164" fontId="66" fillId="0" borderId="192" xfId="3" applyNumberFormat="1" applyFont="1" applyBorder="1" applyAlignment="1">
      <alignment horizontal="right" vertical="center"/>
    </xf>
    <xf numFmtId="164" fontId="66" fillId="0" borderId="192" xfId="3" applyNumberFormat="1" applyFont="1" applyBorder="1" applyAlignment="1">
      <alignment vertical="top"/>
    </xf>
    <xf numFmtId="0" fontId="58" fillId="0" borderId="182" xfId="3" applyNumberFormat="1" applyFont="1" applyBorder="1" applyAlignment="1">
      <alignment horizontal="right" vertical="center"/>
    </xf>
    <xf numFmtId="0" fontId="58" fillId="0" borderId="0" xfId="3" applyNumberFormat="1" applyFont="1" applyBorder="1" applyAlignment="1"/>
    <xf numFmtId="0" fontId="58" fillId="0" borderId="0" xfId="3" applyNumberFormat="1" applyFont="1" applyBorder="1" applyAlignment="1">
      <alignment horizontal="right" vertical="center"/>
    </xf>
    <xf numFmtId="0" fontId="66" fillId="0" borderId="182" xfId="3" applyNumberFormat="1" applyFont="1" applyBorder="1" applyAlignment="1">
      <alignment vertical="center"/>
    </xf>
    <xf numFmtId="0" fontId="58" fillId="0" borderId="182" xfId="3" applyNumberFormat="1" applyFont="1" applyFill="1" applyBorder="1" applyAlignment="1" applyProtection="1">
      <alignment vertical="center"/>
      <protection hidden="1"/>
    </xf>
    <xf numFmtId="0" fontId="58" fillId="0" borderId="0" xfId="3" applyNumberFormat="1" applyFont="1" applyFill="1" applyBorder="1" applyAlignment="1" applyProtection="1">
      <alignment horizontal="right" vertical="center"/>
      <protection hidden="1"/>
    </xf>
    <xf numFmtId="0" fontId="58" fillId="0" borderId="0" xfId="3" applyNumberFormat="1" applyFont="1" applyFill="1" applyBorder="1" applyAlignment="1" applyProtection="1">
      <alignment vertical="center"/>
      <protection hidden="1"/>
    </xf>
    <xf numFmtId="0" fontId="81" fillId="0" borderId="182" xfId="3" applyNumberFormat="1" applyFont="1" applyBorder="1" applyAlignment="1">
      <alignment vertical="center"/>
    </xf>
    <xf numFmtId="0" fontId="66" fillId="0" borderId="0" xfId="3" applyNumberFormat="1" applyFont="1" applyBorder="1" applyAlignment="1">
      <alignment horizontal="right"/>
    </xf>
    <xf numFmtId="0" fontId="80" fillId="0" borderId="0" xfId="3" applyNumberFormat="1" applyFont="1" applyBorder="1" applyAlignment="1">
      <alignment vertical="center"/>
    </xf>
    <xf numFmtId="0" fontId="66" fillId="0" borderId="0" xfId="3" applyNumberFormat="1" applyFont="1" applyBorder="1" applyAlignment="1">
      <alignment vertical="center"/>
    </xf>
    <xf numFmtId="0" fontId="58" fillId="0" borderId="0" xfId="3" applyFont="1" applyFill="1" applyBorder="1" applyAlignment="1" applyProtection="1">
      <alignment horizontal="left" vertical="top" wrapText="1" indent="2"/>
      <protection hidden="1"/>
    </xf>
    <xf numFmtId="0" fontId="58" fillId="0" borderId="0" xfId="3" applyNumberFormat="1" applyFont="1" applyBorder="1" applyAlignment="1">
      <alignment horizontal="left" vertical="center" indent="2"/>
    </xf>
    <xf numFmtId="0" fontId="58" fillId="0" borderId="0" xfId="3" applyFont="1" applyBorder="1" applyAlignment="1">
      <alignment horizontal="left" wrapText="1" indent="2"/>
    </xf>
    <xf numFmtId="0" fontId="58" fillId="0" borderId="0" xfId="3" applyFont="1" applyBorder="1" applyAlignment="1">
      <alignment vertical="top" wrapText="1"/>
    </xf>
    <xf numFmtId="0" fontId="58" fillId="0" borderId="187" xfId="3" applyNumberFormat="1" applyFont="1" applyBorder="1" applyAlignment="1">
      <alignment vertical="center"/>
    </xf>
    <xf numFmtId="0" fontId="58" fillId="0" borderId="188" xfId="3" applyNumberFormat="1" applyFont="1" applyBorder="1" applyAlignment="1">
      <alignment vertical="center"/>
    </xf>
    <xf numFmtId="0" fontId="58" fillId="0" borderId="189" xfId="3" applyNumberFormat="1" applyFont="1" applyBorder="1" applyAlignment="1">
      <alignment vertical="center"/>
    </xf>
    <xf numFmtId="0" fontId="100" fillId="0" borderId="182" xfId="20" applyFont="1" applyBorder="1"/>
    <xf numFmtId="0" fontId="89" fillId="0" borderId="0" xfId="20" applyFont="1" applyBorder="1"/>
    <xf numFmtId="0" fontId="100" fillId="0" borderId="0" xfId="20" applyFont="1" applyBorder="1" applyAlignment="1">
      <alignment wrapText="1"/>
    </xf>
    <xf numFmtId="0" fontId="100" fillId="0" borderId="183" xfId="20" applyFont="1" applyBorder="1" applyAlignment="1">
      <alignment wrapText="1"/>
    </xf>
    <xf numFmtId="0" fontId="52" fillId="0" borderId="0" xfId="20" applyFont="1"/>
    <xf numFmtId="0" fontId="143" fillId="0" borderId="182" xfId="20" applyFont="1" applyBorder="1" applyAlignment="1"/>
    <xf numFmtId="38" fontId="58" fillId="0" borderId="171" xfId="20" applyNumberFormat="1" applyFont="1" applyBorder="1" applyAlignment="1" applyProtection="1">
      <alignment horizontal="center"/>
      <protection locked="0"/>
    </xf>
    <xf numFmtId="38" fontId="58" fillId="0" borderId="169" xfId="20" applyNumberFormat="1" applyFont="1" applyBorder="1" applyAlignment="1" applyProtection="1">
      <alignment horizontal="center"/>
      <protection locked="0"/>
    </xf>
    <xf numFmtId="38" fontId="58" fillId="0" borderId="176" xfId="20" applyNumberFormat="1" applyFont="1" applyBorder="1" applyAlignment="1" applyProtection="1">
      <alignment horizontal="center"/>
      <protection locked="0"/>
    </xf>
    <xf numFmtId="38" fontId="58" fillId="0" borderId="174" xfId="20" applyNumberFormat="1" applyFont="1" applyBorder="1" applyAlignment="1" applyProtection="1">
      <alignment horizontal="center"/>
      <protection locked="0"/>
    </xf>
    <xf numFmtId="38" fontId="58" fillId="0" borderId="180" xfId="20" applyNumberFormat="1" applyFont="1" applyBorder="1" applyAlignment="1" applyProtection="1">
      <alignment horizontal="center"/>
      <protection locked="0"/>
    </xf>
    <xf numFmtId="38" fontId="58" fillId="0" borderId="178" xfId="20" applyNumberFormat="1" applyFont="1" applyBorder="1" applyAlignment="1" applyProtection="1">
      <alignment horizontal="center"/>
      <protection locked="0"/>
    </xf>
    <xf numFmtId="37" fontId="146" fillId="0" borderId="0" xfId="22"/>
    <xf numFmtId="37" fontId="146" fillId="0" borderId="0" xfId="22" applyAlignment="1">
      <alignment vertical="center"/>
    </xf>
    <xf numFmtId="37" fontId="46" fillId="0" borderId="0" xfId="22" applyFont="1" applyAlignment="1">
      <alignment vertical="center"/>
    </xf>
    <xf numFmtId="37" fontId="46" fillId="0" borderId="0" xfId="22" applyFont="1" applyAlignment="1">
      <alignment horizontal="center" vertical="center"/>
    </xf>
    <xf numFmtId="37" fontId="46" fillId="0" borderId="0" xfId="22" applyFont="1" applyAlignment="1">
      <alignment horizontal="centerContinuous" vertical="center"/>
    </xf>
    <xf numFmtId="37" fontId="46" fillId="0" borderId="0" xfId="22" applyFont="1" applyAlignment="1">
      <alignment horizontal="left" vertical="center"/>
    </xf>
    <xf numFmtId="37" fontId="147" fillId="0" borderId="0" xfId="22" applyFont="1" applyAlignment="1">
      <alignment horizontal="centerContinuous" vertical="center"/>
    </xf>
    <xf numFmtId="37" fontId="147" fillId="0" borderId="0" xfId="22" applyFont="1" applyAlignment="1">
      <alignment horizontal="left" vertical="center"/>
    </xf>
    <xf numFmtId="37" fontId="147" fillId="0" borderId="0" xfId="22" applyFont="1" applyAlignment="1">
      <alignment vertical="center"/>
    </xf>
    <xf numFmtId="37" fontId="147" fillId="0" borderId="0" xfId="22" applyFont="1" applyAlignment="1">
      <alignment horizontal="center" vertical="center"/>
    </xf>
    <xf numFmtId="37" fontId="149" fillId="0" borderId="0" xfId="22" applyFont="1" applyAlignment="1">
      <alignment vertical="center"/>
    </xf>
    <xf numFmtId="37" fontId="149" fillId="0" borderId="0" xfId="22" applyFont="1" applyAlignment="1">
      <alignment vertical="top"/>
    </xf>
    <xf numFmtId="37" fontId="147" fillId="0" borderId="0" xfId="22" quotePrefix="1" applyFont="1" applyAlignment="1">
      <alignment horizontal="center" vertical="center"/>
    </xf>
    <xf numFmtId="14" fontId="147" fillId="0" borderId="0" xfId="22" applyNumberFormat="1" applyFont="1" applyAlignment="1">
      <alignment horizontal="center" vertical="center"/>
    </xf>
    <xf numFmtId="37" fontId="152" fillId="0" borderId="0" xfId="22" quotePrefix="1" applyFont="1" applyAlignment="1">
      <alignment horizontal="left" vertical="center"/>
    </xf>
    <xf numFmtId="37" fontId="150" fillId="0" borderId="0" xfId="22" applyFont="1" applyAlignment="1">
      <alignment horizontal="center" vertical="center"/>
    </xf>
    <xf numFmtId="37" fontId="152" fillId="0" borderId="0" xfId="22" applyFont="1" applyAlignment="1">
      <alignment horizontal="center" vertical="center"/>
    </xf>
    <xf numFmtId="37" fontId="151" fillId="0" borderId="0" xfId="22" applyFont="1" applyAlignment="1">
      <alignment horizontal="left" vertical="center"/>
    </xf>
    <xf numFmtId="37" fontId="152" fillId="27" borderId="0" xfId="22" applyFont="1" applyFill="1" applyAlignment="1">
      <alignment horizontal="center" vertical="center"/>
    </xf>
    <xf numFmtId="37" fontId="147" fillId="27" borderId="0" xfId="22" applyFont="1" applyFill="1" applyAlignment="1">
      <alignment vertical="center"/>
    </xf>
    <xf numFmtId="37" fontId="147" fillId="0" borderId="0" xfId="22" applyFont="1" applyAlignment="1">
      <alignment horizontal="right" vertical="center"/>
    </xf>
    <xf numFmtId="37" fontId="147" fillId="0" borderId="0" xfId="22" applyFont="1" applyAlignment="1">
      <alignment horizontal="left" vertical="center" indent="1"/>
    </xf>
    <xf numFmtId="185" fontId="147" fillId="0" borderId="0" xfId="22" applyNumberFormat="1" applyFont="1" applyAlignment="1">
      <alignment horizontal="center" vertical="center"/>
    </xf>
    <xf numFmtId="186" fontId="147" fillId="0" borderId="0" xfId="22" applyNumberFormat="1" applyFont="1" applyAlignment="1">
      <alignment vertical="center"/>
    </xf>
    <xf numFmtId="186" fontId="147" fillId="0" borderId="0" xfId="22" applyNumberFormat="1" applyFont="1" applyAlignment="1">
      <alignment horizontal="right" vertical="center"/>
    </xf>
    <xf numFmtId="186" fontId="150" fillId="0" borderId="0" xfId="22" applyNumberFormat="1" applyFont="1" applyAlignment="1">
      <alignment vertical="center"/>
    </xf>
    <xf numFmtId="185" fontId="147" fillId="0" borderId="0" xfId="22" applyNumberFormat="1" applyFont="1" applyAlignment="1">
      <alignment horizontal="right" vertical="center"/>
    </xf>
    <xf numFmtId="186" fontId="147" fillId="0" borderId="0" xfId="22" applyNumberFormat="1" applyFont="1" applyAlignment="1">
      <alignment horizontal="center" vertical="center"/>
    </xf>
    <xf numFmtId="41" fontId="147" fillId="0" borderId="0" xfId="22" applyNumberFormat="1" applyFont="1" applyAlignment="1">
      <alignment vertical="center"/>
    </xf>
    <xf numFmtId="37" fontId="147" fillId="0" borderId="0" xfId="22" quotePrefix="1" applyFont="1" applyAlignment="1">
      <alignment horizontal="left" vertical="center"/>
    </xf>
    <xf numFmtId="37" fontId="149" fillId="0" borderId="0" xfId="22" quotePrefix="1" applyFont="1" applyAlignment="1">
      <alignment horizontal="right" vertical="center"/>
    </xf>
    <xf numFmtId="37" fontId="147" fillId="20" borderId="0" xfId="22" applyFont="1" applyFill="1" applyAlignment="1">
      <alignment horizontal="center" vertical="center"/>
    </xf>
    <xf numFmtId="37" fontId="149" fillId="0" borderId="0" xfId="22" applyFont="1" applyAlignment="1">
      <alignment horizontal="center" vertical="center"/>
    </xf>
    <xf numFmtId="186" fontId="152" fillId="0" borderId="0" xfId="22" applyNumberFormat="1" applyFont="1" applyAlignment="1">
      <alignment vertical="center"/>
    </xf>
    <xf numFmtId="37" fontId="151" fillId="0" borderId="0" xfId="22" applyFont="1" applyAlignment="1">
      <alignment vertical="center"/>
    </xf>
    <xf numFmtId="187" fontId="147" fillId="0" borderId="0" xfId="22" applyNumberFormat="1" applyFont="1" applyAlignment="1">
      <alignment vertical="center"/>
    </xf>
    <xf numFmtId="186" fontId="147" fillId="0" borderId="0" xfId="22" applyNumberFormat="1" applyFont="1" applyAlignment="1">
      <alignment horizontal="left" vertical="center"/>
    </xf>
    <xf numFmtId="186" fontId="150" fillId="0" borderId="0" xfId="22" applyNumberFormat="1" applyFont="1"/>
    <xf numFmtId="186" fontId="147" fillId="21" borderId="0" xfId="22" applyNumberFormat="1" applyFont="1" applyFill="1" applyAlignment="1">
      <alignment vertical="center"/>
    </xf>
    <xf numFmtId="186" fontId="147" fillId="20" borderId="0" xfId="22" applyNumberFormat="1" applyFont="1" applyFill="1" applyAlignment="1">
      <alignment horizontal="right" vertical="center"/>
    </xf>
    <xf numFmtId="186" fontId="153" fillId="0" borderId="0" xfId="22" applyNumberFormat="1" applyFont="1" applyAlignment="1">
      <alignment vertical="center"/>
    </xf>
    <xf numFmtId="185" fontId="147" fillId="0" borderId="0" xfId="22" applyNumberFormat="1" applyFont="1" applyAlignment="1">
      <alignment vertical="center"/>
    </xf>
    <xf numFmtId="186" fontId="149" fillId="0" borderId="0" xfId="22" applyNumberFormat="1" applyFont="1" applyAlignment="1">
      <alignment horizontal="left" vertical="center"/>
    </xf>
    <xf numFmtId="186" fontId="149" fillId="0" borderId="0" xfId="22" applyNumberFormat="1" applyFont="1" applyAlignment="1">
      <alignment vertical="center"/>
    </xf>
    <xf numFmtId="186" fontId="149" fillId="0" borderId="0" xfId="22" applyNumberFormat="1" applyFont="1" applyAlignment="1">
      <alignment horizontal="center" vertical="center"/>
    </xf>
    <xf numFmtId="185" fontId="149" fillId="0" borderId="0" xfId="22" applyNumberFormat="1" applyFont="1" applyAlignment="1">
      <alignment vertical="center"/>
    </xf>
    <xf numFmtId="37" fontId="154" fillId="0" borderId="0" xfId="22" applyFont="1" applyAlignment="1">
      <alignment horizontal="left"/>
    </xf>
    <xf numFmtId="37" fontId="154" fillId="0" borderId="0" xfId="22" applyFont="1" applyAlignment="1">
      <alignment wrapText="1"/>
    </xf>
    <xf numFmtId="37" fontId="146" fillId="0" borderId="0" xfId="22" applyAlignment="1">
      <alignment horizontal="left"/>
    </xf>
    <xf numFmtId="37" fontId="12" fillId="0" borderId="0" xfId="22" applyFont="1" applyAlignment="1">
      <alignment horizontal="left" indent="1"/>
    </xf>
    <xf numFmtId="37" fontId="12" fillId="0" borderId="0" xfId="22" applyFont="1" applyAlignment="1">
      <alignment wrapText="1"/>
    </xf>
    <xf numFmtId="39" fontId="155" fillId="0" borderId="0" xfId="22" applyNumberFormat="1" applyFont="1" applyAlignment="1">
      <alignment vertical="center"/>
    </xf>
    <xf numFmtId="37" fontId="12" fillId="0" borderId="0" xfId="22" applyFont="1"/>
    <xf numFmtId="1" fontId="12" fillId="0" borderId="0" xfId="22" applyNumberFormat="1" applyFont="1" applyAlignment="1">
      <alignment horizontal="left"/>
    </xf>
    <xf numFmtId="37" fontId="12" fillId="0" borderId="0" xfId="22" applyFont="1" applyAlignment="1">
      <alignment horizontal="left"/>
    </xf>
    <xf numFmtId="1" fontId="146" fillId="0" borderId="0" xfId="22" applyNumberFormat="1" applyAlignment="1">
      <alignment horizontal="left"/>
    </xf>
    <xf numFmtId="169" fontId="146" fillId="0" borderId="0" xfId="22" applyNumberFormat="1" applyProtection="1">
      <protection locked="0"/>
    </xf>
    <xf numFmtId="1" fontId="146" fillId="0" borderId="0" xfId="22" applyNumberFormat="1" applyProtection="1">
      <protection locked="0"/>
    </xf>
    <xf numFmtId="37" fontId="146" fillId="0" borderId="0" xfId="22" applyProtection="1">
      <protection locked="0"/>
    </xf>
    <xf numFmtId="37" fontId="146" fillId="0" borderId="0" xfId="22" applyAlignment="1" applyProtection="1">
      <alignment horizontal="center"/>
      <protection locked="0"/>
    </xf>
    <xf numFmtId="37" fontId="146" fillId="0" borderId="0" xfId="22" applyAlignment="1">
      <alignment horizontal="center" vertical="center"/>
    </xf>
    <xf numFmtId="186" fontId="150" fillId="0" borderId="0" xfId="22" applyNumberFormat="1" applyFont="1" applyFill="1" applyAlignment="1">
      <alignment vertical="center"/>
    </xf>
    <xf numFmtId="186" fontId="147" fillId="0" borderId="0" xfId="22" applyNumberFormat="1" applyFont="1" applyFill="1" applyAlignment="1">
      <alignment vertical="center"/>
    </xf>
    <xf numFmtId="37" fontId="46" fillId="0" borderId="0" xfId="22" applyFont="1" applyFill="1" applyAlignment="1">
      <alignment horizontal="left" vertical="center"/>
    </xf>
    <xf numFmtId="37" fontId="147" fillId="0" borderId="0" xfId="22" applyFont="1" applyFill="1" applyAlignment="1">
      <alignment horizontal="left" vertical="center"/>
    </xf>
    <xf numFmtId="37" fontId="147" fillId="0" borderId="0" xfId="22" quotePrefix="1" applyFont="1" applyFill="1" applyAlignment="1">
      <alignment horizontal="center" vertical="center"/>
    </xf>
    <xf numFmtId="14" fontId="147" fillId="0" borderId="0" xfId="22" applyNumberFormat="1" applyFont="1" applyFill="1" applyAlignment="1">
      <alignment horizontal="center" vertical="center"/>
    </xf>
    <xf numFmtId="37" fontId="150" fillId="0" borderId="0" xfId="22" applyFont="1" applyFill="1" applyAlignment="1">
      <alignment horizontal="center" vertical="center"/>
    </xf>
    <xf numFmtId="37" fontId="152" fillId="0" borderId="0" xfId="22" applyFont="1" applyFill="1" applyAlignment="1">
      <alignment horizontal="center" vertical="center"/>
    </xf>
    <xf numFmtId="37" fontId="147" fillId="0" borderId="0" xfId="22" applyFont="1" applyFill="1" applyAlignment="1">
      <alignment vertical="center"/>
    </xf>
    <xf numFmtId="37" fontId="149" fillId="0" borderId="0" xfId="22" applyFont="1" applyFill="1" applyAlignment="1">
      <alignment vertical="center"/>
    </xf>
    <xf numFmtId="41" fontId="147" fillId="0" borderId="0" xfId="22" applyNumberFormat="1" applyFont="1" applyFill="1" applyAlignment="1">
      <alignment vertical="center"/>
    </xf>
    <xf numFmtId="186" fontId="152" fillId="0" borderId="0" xfId="22" applyNumberFormat="1" applyFont="1" applyFill="1" applyAlignment="1">
      <alignment vertical="center"/>
    </xf>
    <xf numFmtId="186" fontId="150" fillId="0" borderId="0" xfId="22" applyNumberFormat="1" applyFont="1" applyFill="1"/>
    <xf numFmtId="186" fontId="153" fillId="0" borderId="0" xfId="22" applyNumberFormat="1" applyFont="1" applyFill="1" applyAlignment="1">
      <alignment vertical="center"/>
    </xf>
    <xf numFmtId="186" fontId="149" fillId="0" borderId="0" xfId="22" applyNumberFormat="1" applyFont="1" applyFill="1" applyAlignment="1">
      <alignment horizontal="left" vertical="center"/>
    </xf>
    <xf numFmtId="186" fontId="149" fillId="0" borderId="0" xfId="22" applyNumberFormat="1" applyFont="1" applyFill="1" applyAlignment="1">
      <alignment vertical="center"/>
    </xf>
    <xf numFmtId="37" fontId="154" fillId="0" borderId="0" xfId="22" applyFont="1" applyFill="1" applyAlignment="1">
      <alignment wrapText="1"/>
    </xf>
    <xf numFmtId="37" fontId="12" fillId="0" borderId="0" xfId="22" applyFont="1" applyFill="1" applyAlignment="1">
      <alignment wrapText="1"/>
    </xf>
    <xf numFmtId="37" fontId="12" fillId="0" borderId="0" xfId="22" applyFont="1" applyFill="1"/>
    <xf numFmtId="37" fontId="12" fillId="0" borderId="0" xfId="22" applyFont="1" applyFill="1" applyAlignment="1">
      <alignment horizontal="left"/>
    </xf>
    <xf numFmtId="37" fontId="146" fillId="0" borderId="0" xfId="22" applyFill="1" applyAlignment="1">
      <alignment horizontal="left"/>
    </xf>
    <xf numFmtId="37" fontId="146" fillId="0" borderId="0" xfId="22" applyFill="1" applyAlignment="1" applyProtection="1">
      <alignment horizontal="center"/>
      <protection locked="0"/>
    </xf>
    <xf numFmtId="39" fontId="144" fillId="0" borderId="0" xfId="22" applyNumberFormat="1" applyFont="1" applyFill="1" applyAlignment="1">
      <alignment vertical="center"/>
    </xf>
    <xf numFmtId="37" fontId="146" fillId="0" borderId="0" xfId="22" applyFill="1" applyAlignment="1">
      <alignment vertical="center"/>
    </xf>
    <xf numFmtId="0" fontId="2" fillId="0" borderId="155" xfId="19" applyFont="1" applyBorder="1" applyAlignment="1" applyProtection="1">
      <alignment horizontal="left" vertical="top" wrapText="1"/>
      <protection locked="0"/>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15"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5"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15" fillId="0" borderId="20" xfId="12" applyFont="1" applyBorder="1" applyAlignment="1" applyProtection="1">
      <alignment vertical="center"/>
    </xf>
    <xf numFmtId="180" fontId="14" fillId="0" borderId="19" xfId="12"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4" fillId="0" borderId="17" xfId="12" applyNumberFormat="1" applyFont="1" applyBorder="1" applyAlignment="1" applyProtection="1">
      <alignment horizontal="left" vertical="center" indent="1"/>
      <protection locked="0"/>
    </xf>
    <xf numFmtId="0" fontId="14" fillId="0" borderId="0" xfId="0" applyNumberFormat="1"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0" fontId="0" fillId="0" borderId="0" xfId="0" applyBorder="1" applyAlignment="1">
      <alignment horizontal="center" vertical="center"/>
    </xf>
    <xf numFmtId="49" fontId="14" fillId="0" borderId="0" xfId="12" applyNumberFormat="1" applyFont="1" applyBorder="1" applyAlignment="1" applyProtection="1">
      <alignment horizontal="center" vertical="center"/>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14" fillId="0" borderId="18" xfId="0"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4" fillId="0" borderId="19" xfId="12" applyNumberFormat="1" applyFont="1" applyBorder="1" applyAlignment="1" applyProtection="1">
      <alignment horizontal="left" vertical="center"/>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4" xfId="12" applyFont="1" applyBorder="1" applyAlignment="1" applyProtection="1">
      <alignment horizontal="left" vertical="center" indent="1"/>
      <protection locked="0"/>
    </xf>
    <xf numFmtId="0" fontId="14" fillId="0" borderId="124"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0" xfId="0" applyFont="1" applyBorder="1" applyAlignment="1" applyProtection="1">
      <alignment horizontal="left" vertical="center" indent="1"/>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protection locked="0"/>
    </xf>
    <xf numFmtId="14" fontId="14" fillId="0" borderId="123"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0" fontId="14" fillId="0" borderId="124" xfId="12" applyNumberFormat="1" applyFont="1" applyBorder="1" applyAlignment="1" applyProtection="1">
      <alignment horizontal="left" vertical="center" indent="1"/>
      <protection locked="0"/>
    </xf>
    <xf numFmtId="180" fontId="14" fillId="0" borderId="123"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4"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3"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4" xfId="3" applyFont="1" applyBorder="1" applyAlignment="1" applyProtection="1">
      <alignment horizontal="left" vertical="top"/>
      <protection locked="0"/>
    </xf>
    <xf numFmtId="0" fontId="55" fillId="0" borderId="132"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3"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4" xfId="0" applyFont="1" applyBorder="1" applyAlignment="1" applyProtection="1">
      <alignment horizontal="left" vertical="top" wrapText="1"/>
      <protection locked="0"/>
    </xf>
    <xf numFmtId="0" fontId="79" fillId="11" borderId="118" xfId="0" applyFont="1" applyFill="1" applyBorder="1" applyAlignment="1">
      <alignment horizontal="center" vertical="center" shrinkToFit="1"/>
    </xf>
    <xf numFmtId="0" fontId="79" fillId="11" borderId="163" xfId="0" applyFont="1" applyFill="1" applyBorder="1" applyAlignment="1">
      <alignment horizontal="center" vertical="center" shrinkToFit="1"/>
    </xf>
    <xf numFmtId="0" fontId="63" fillId="13" borderId="117" xfId="0" applyFont="1" applyFill="1" applyBorder="1" applyAlignment="1" applyProtection="1">
      <alignment horizontal="center" vertical="center" shrinkToFit="1"/>
    </xf>
    <xf numFmtId="0" fontId="63" fillId="13" borderId="110" xfId="0" applyFont="1" applyFill="1" applyBorder="1" applyAlignment="1" applyProtection="1">
      <alignment horizontal="center" vertical="center" shrinkToFit="1"/>
    </xf>
    <xf numFmtId="0" fontId="63" fillId="13" borderId="103"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4" xfId="0" applyFont="1" applyFill="1" applyBorder="1" applyAlignment="1" applyProtection="1">
      <alignment horizontal="center" vertical="center" wrapText="1"/>
    </xf>
    <xf numFmtId="3" fontId="65" fillId="22" borderId="13" xfId="0" applyNumberFormat="1" applyFont="1" applyFill="1" applyBorder="1" applyAlignment="1" applyProtection="1">
      <alignment horizontal="left" vertical="center"/>
    </xf>
    <xf numFmtId="3" fontId="65" fillId="22" borderId="14" xfId="0" applyNumberFormat="1" applyFont="1" applyFill="1" applyBorder="1" applyAlignment="1" applyProtection="1">
      <alignment horizontal="left" vertical="center"/>
    </xf>
    <xf numFmtId="164" fontId="65" fillId="22" borderId="49" xfId="0" applyNumberFormat="1" applyFont="1" applyFill="1" applyBorder="1" applyAlignment="1" applyProtection="1">
      <alignment horizontal="left" vertical="center"/>
    </xf>
    <xf numFmtId="164" fontId="65" fillId="22" borderId="31" xfId="0" applyNumberFormat="1" applyFont="1" applyFill="1" applyBorder="1" applyAlignment="1" applyProtection="1">
      <alignment horizontal="left" vertical="center"/>
    </xf>
    <xf numFmtId="0" fontId="65" fillId="22" borderId="34" xfId="0" applyFont="1" applyFill="1" applyBorder="1" applyAlignment="1" applyProtection="1">
      <alignment horizontal="left" vertical="center"/>
    </xf>
    <xf numFmtId="0" fontId="65" fillId="22" borderId="31" xfId="0" applyFont="1" applyFill="1" applyBorder="1" applyAlignment="1" applyProtection="1">
      <alignment horizontal="left" vertical="center"/>
    </xf>
    <xf numFmtId="164" fontId="65" fillId="22" borderId="13" xfId="0" applyNumberFormat="1" applyFont="1" applyFill="1" applyBorder="1" applyAlignment="1" applyProtection="1">
      <alignment horizontal="left" vertical="center"/>
    </xf>
    <xf numFmtId="164" fontId="65" fillId="22"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4"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4" borderId="13" xfId="0" applyNumberFormat="1" applyFont="1" applyFill="1" applyBorder="1" applyAlignment="1" applyProtection="1">
      <alignment horizontal="left" vertical="center" wrapText="1" indent="1"/>
    </xf>
    <xf numFmtId="164" fontId="65" fillId="24"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2" borderId="13" xfId="0" applyNumberFormat="1" applyFont="1" applyFill="1" applyBorder="1" applyAlignment="1" applyProtection="1">
      <alignment horizontal="left" vertical="center"/>
    </xf>
    <xf numFmtId="49" fontId="65" fillId="22" borderId="14" xfId="0" applyNumberFormat="1" applyFont="1" applyFill="1" applyBorder="1" applyAlignment="1" applyProtection="1">
      <alignment horizontal="left" vertical="center"/>
    </xf>
    <xf numFmtId="0" fontId="65" fillId="22" borderId="13" xfId="0" applyFont="1" applyFill="1" applyBorder="1" applyAlignment="1" applyProtection="1">
      <alignment vertical="center"/>
    </xf>
    <xf numFmtId="0" fontId="65" fillId="22"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0" borderId="18" xfId="0" applyNumberFormat="1" applyFont="1" applyBorder="1" applyAlignment="1" applyProtection="1">
      <alignment horizontal="center" vertical="center" wrapText="1"/>
    </xf>
    <xf numFmtId="0" fontId="66" fillId="22" borderId="19" xfId="0" applyFont="1" applyFill="1" applyBorder="1" applyAlignment="1">
      <alignment horizontal="center" vertical="center"/>
    </xf>
    <xf numFmtId="0" fontId="58" fillId="22" borderId="11" xfId="0" applyFont="1" applyFill="1" applyBorder="1" applyAlignment="1">
      <alignment horizontal="center" vertical="center"/>
    </xf>
    <xf numFmtId="0" fontId="66" fillId="23" borderId="20" xfId="0" applyFont="1" applyFill="1" applyBorder="1" applyAlignment="1">
      <alignment horizontal="center" vertical="center"/>
    </xf>
    <xf numFmtId="0" fontId="66" fillId="23" borderId="11" xfId="0" applyFont="1" applyFill="1" applyBorder="1" applyAlignment="1">
      <alignment horizontal="center" vertical="center"/>
    </xf>
    <xf numFmtId="0" fontId="58" fillId="23" borderId="11" xfId="0" applyFont="1" applyFill="1" applyBorder="1" applyAlignment="1">
      <alignment horizontal="center" vertical="center"/>
    </xf>
    <xf numFmtId="0" fontId="66" fillId="22" borderId="107" xfId="0" applyFont="1" applyFill="1" applyBorder="1" applyAlignment="1">
      <alignment horizontal="center" vertical="center"/>
    </xf>
    <xf numFmtId="0" fontId="58" fillId="22" borderId="129" xfId="0" applyFont="1" applyFill="1" applyBorder="1" applyAlignment="1">
      <alignment horizontal="center" vertical="center"/>
    </xf>
    <xf numFmtId="0" fontId="66" fillId="22"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2" borderId="20" xfId="0" applyFont="1" applyFill="1" applyBorder="1" applyAlignment="1">
      <alignment horizontal="center" vertical="center" wrapText="1"/>
    </xf>
    <xf numFmtId="0" fontId="58" fillId="22" borderId="11" xfId="0" applyFont="1" applyFill="1" applyBorder="1" applyAlignment="1">
      <alignment horizontal="center" vertical="center" wrapText="1"/>
    </xf>
    <xf numFmtId="3" fontId="66" fillId="22" borderId="13" xfId="0" applyNumberFormat="1" applyFont="1" applyFill="1" applyBorder="1" applyAlignment="1">
      <alignment horizontal="center" vertical="center"/>
    </xf>
    <xf numFmtId="0" fontId="58" fillId="22" borderId="14" xfId="0" applyFont="1" applyFill="1" applyBorder="1" applyAlignment="1">
      <alignment horizontal="center" vertical="center"/>
    </xf>
    <xf numFmtId="0" fontId="66" fillId="22" borderId="21" xfId="0" applyFont="1" applyFill="1" applyBorder="1" applyAlignment="1">
      <alignment horizontal="center" vertical="center"/>
    </xf>
    <xf numFmtId="3" fontId="65" fillId="15" borderId="10" xfId="0" applyNumberFormat="1" applyFont="1" applyFill="1" applyBorder="1" applyAlignment="1" applyProtection="1">
      <alignment horizontal="center" vertical="center" wrapText="1"/>
    </xf>
    <xf numFmtId="3" fontId="65" fillId="15" borderId="124" xfId="0" applyNumberFormat="1" applyFont="1" applyFill="1" applyBorder="1" applyAlignment="1" applyProtection="1">
      <alignment horizontal="center" vertical="center" wrapText="1"/>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0" fontId="66" fillId="12" borderId="13" xfId="9" applyFont="1" applyFill="1" applyBorder="1" applyAlignment="1">
      <alignment horizontal="center" vertical="center"/>
    </xf>
    <xf numFmtId="0" fontId="58" fillId="12" borderId="14" xfId="0" applyFont="1" applyFill="1" applyBorder="1" applyAlignment="1">
      <alignment horizontal="center" vertical="center"/>
    </xf>
    <xf numFmtId="0" fontId="65" fillId="6" borderId="13" xfId="0" applyFont="1" applyFill="1" applyBorder="1" applyAlignment="1" applyProtection="1">
      <alignment horizontal="left" vertical="center" wrapText="1"/>
    </xf>
    <xf numFmtId="49" fontId="66" fillId="12" borderId="13" xfId="0" applyNumberFormat="1" applyFont="1" applyFill="1" applyBorder="1" applyAlignment="1" applyProtection="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5" xfId="0" applyFont="1" applyBorder="1" applyAlignment="1" applyProtection="1">
      <alignment horizontal="left" vertical="center" wrapText="1" indent="1"/>
    </xf>
    <xf numFmtId="0" fontId="63" fillId="0" borderId="146" xfId="0" applyFont="1" applyBorder="1" applyAlignment="1" applyProtection="1">
      <alignment horizontal="left" vertical="center" wrapText="1" inden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5"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protection hidden="1"/>
    </xf>
    <xf numFmtId="0" fontId="65" fillId="16" borderId="145" xfId="0" applyFont="1" applyFill="1" applyBorder="1" applyAlignment="1" applyProtection="1">
      <alignment horizontal="left" vertical="center" indent="1"/>
      <protection hidden="1"/>
    </xf>
    <xf numFmtId="0" fontId="65" fillId="3" borderId="145" xfId="0" applyFont="1" applyFill="1" applyBorder="1" applyAlignment="1" applyProtection="1">
      <alignment horizontal="left" vertical="center"/>
    </xf>
    <xf numFmtId="0" fontId="65" fillId="3" borderId="146" xfId="0" applyFont="1" applyFill="1" applyBorder="1" applyAlignment="1" applyProtection="1">
      <alignment horizontal="left" vertical="center"/>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2" borderId="144" xfId="0" applyFont="1" applyFill="1" applyBorder="1" applyAlignment="1" applyProtection="1">
      <alignment horizontal="left" vertical="center" indent="1"/>
    </xf>
    <xf numFmtId="0" fontId="66" fillId="22" borderId="145" xfId="0" applyFont="1" applyFill="1" applyBorder="1" applyAlignment="1" applyProtection="1">
      <alignment horizontal="left" vertical="center" indent="1"/>
    </xf>
    <xf numFmtId="0" fontId="66" fillId="22" borderId="146"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2" borderId="92" xfId="10" applyFont="1" applyFill="1" applyBorder="1" applyAlignment="1" applyProtection="1">
      <alignment horizontal="center" vertical="center" wrapText="1"/>
      <protection hidden="1"/>
    </xf>
    <xf numFmtId="0" fontId="66" fillId="22" borderId="25" xfId="0" applyFont="1" applyFill="1" applyBorder="1" applyAlignment="1" applyProtection="1">
      <alignment horizontal="center" vertical="center" wrapText="1"/>
      <protection hidden="1"/>
    </xf>
    <xf numFmtId="0" fontId="66" fillId="22" borderId="93" xfId="0" applyFont="1" applyFill="1" applyBorder="1" applyAlignment="1" applyProtection="1">
      <alignment horizontal="center" vertical="center" wrapText="1"/>
      <protection hidden="1"/>
    </xf>
    <xf numFmtId="0" fontId="130" fillId="22" borderId="94" xfId="1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7" xfId="19" applyFont="1" applyFill="1" applyBorder="1" applyAlignment="1" applyProtection="1">
      <alignment horizontal="left" vertical="top" wrapText="1"/>
      <protection hidden="1"/>
    </xf>
    <xf numFmtId="0" fontId="127" fillId="22" borderId="138" xfId="19" applyFont="1" applyFill="1" applyBorder="1" applyAlignment="1">
      <alignment horizontal="center" vertical="center"/>
    </xf>
    <xf numFmtId="0" fontId="127" fillId="22" borderId="139" xfId="19" applyFont="1" applyFill="1" applyBorder="1" applyAlignment="1">
      <alignment horizontal="center" vertical="center"/>
    </xf>
    <xf numFmtId="0" fontId="127" fillId="22" borderId="140" xfId="19" applyFont="1" applyFill="1" applyBorder="1" applyAlignment="1">
      <alignment horizontal="center" vertical="center"/>
    </xf>
    <xf numFmtId="0" fontId="127" fillId="22" borderId="98" xfId="19" applyFont="1" applyFill="1" applyBorder="1" applyAlignment="1">
      <alignment horizontal="center" vertical="center"/>
    </xf>
    <xf numFmtId="0" fontId="127" fillId="22" borderId="78" xfId="19" applyFont="1" applyFill="1" applyBorder="1" applyAlignment="1">
      <alignment horizontal="center" vertical="center"/>
    </xf>
    <xf numFmtId="0" fontId="127" fillId="22" borderId="99" xfId="19" applyFont="1" applyFill="1" applyBorder="1" applyAlignment="1">
      <alignment horizontal="center" vertical="center"/>
    </xf>
    <xf numFmtId="0" fontId="128" fillId="0" borderId="96" xfId="19" applyFont="1" applyBorder="1" applyAlignment="1">
      <alignment vertical="top" wrapText="1"/>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7" fillId="0" borderId="96"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7" xfId="18" applyFont="1" applyBorder="1" applyAlignment="1" applyProtection="1">
      <alignment vertical="top" wrapText="1"/>
      <protection locked="0"/>
    </xf>
    <xf numFmtId="0" fontId="7" fillId="0" borderId="98" xfId="18" applyFont="1" applyBorder="1" applyAlignment="1" applyProtection="1">
      <alignment vertical="top" wrapText="1"/>
      <protection locked="0"/>
    </xf>
    <xf numFmtId="0" fontId="7" fillId="0" borderId="78" xfId="18" applyFont="1" applyBorder="1" applyAlignment="1" applyProtection="1">
      <alignment vertical="top" wrapText="1"/>
      <protection locked="0"/>
    </xf>
    <xf numFmtId="0" fontId="7" fillId="0" borderId="99" xfId="18" applyFont="1" applyBorder="1" applyAlignment="1" applyProtection="1">
      <alignment vertical="top" wrapText="1"/>
      <protection locked="0"/>
    </xf>
    <xf numFmtId="0" fontId="50" fillId="0" borderId="139" xfId="18" applyFont="1" applyBorder="1" applyAlignment="1" applyProtection="1">
      <alignment horizontal="center" vertical="top" wrapText="1"/>
      <protection locked="0"/>
    </xf>
    <xf numFmtId="0" fontId="50" fillId="0" borderId="140"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102" fillId="22" borderId="0" xfId="18" applyFont="1" applyFill="1" applyAlignment="1">
      <alignment horizontal="center" vertical="center"/>
    </xf>
    <xf numFmtId="0" fontId="74" fillId="0" borderId="135"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7" fillId="0" borderId="139" xfId="18" applyFont="1" applyBorder="1" applyAlignment="1" applyProtection="1">
      <alignment horizontal="center" vertical="top" wrapText="1"/>
      <protection locked="0"/>
    </xf>
    <xf numFmtId="0" fontId="7" fillId="0" borderId="140" xfId="18" applyFont="1" applyBorder="1" applyAlignment="1" applyProtection="1">
      <alignment horizontal="center" vertical="top" wrapText="1"/>
      <protection locked="0"/>
    </xf>
    <xf numFmtId="0" fontId="58" fillId="0" borderId="173" xfId="20" applyFont="1" applyBorder="1" applyAlignment="1"/>
    <xf numFmtId="0" fontId="58" fillId="0" borderId="174" xfId="20" applyFont="1" applyBorder="1" applyAlignment="1"/>
    <xf numFmtId="0" fontId="58" fillId="0" borderId="177" xfId="20" applyFont="1" applyBorder="1" applyAlignment="1"/>
    <xf numFmtId="0" fontId="58" fillId="0" borderId="178" xfId="20" applyFont="1" applyBorder="1" applyAlignment="1"/>
    <xf numFmtId="0" fontId="66" fillId="0" borderId="186" xfId="20" applyFont="1" applyBorder="1" applyAlignment="1"/>
    <xf numFmtId="0" fontId="66" fillId="0" borderId="77" xfId="20" applyFont="1" applyBorder="1" applyAlignment="1"/>
    <xf numFmtId="0" fontId="58" fillId="0" borderId="173" xfId="20" applyFont="1" applyBorder="1" applyAlignment="1">
      <alignment wrapText="1"/>
    </xf>
    <xf numFmtId="0" fontId="58" fillId="0" borderId="174" xfId="20" applyFont="1" applyBorder="1" applyAlignment="1">
      <alignment wrapText="1"/>
    </xf>
    <xf numFmtId="0" fontId="58" fillId="0" borderId="0" xfId="3" applyNumberFormat="1" applyFont="1" applyFill="1" applyBorder="1" applyAlignment="1" applyProtection="1">
      <alignment horizontal="left" vertical="top" wrapText="1" indent="2"/>
      <protection hidden="1"/>
    </xf>
    <xf numFmtId="0" fontId="58" fillId="0" borderId="0" xfId="3" applyFont="1" applyFill="1" applyBorder="1" applyAlignment="1" applyProtection="1">
      <alignment horizontal="left" vertical="top" wrapText="1" indent="2"/>
      <protection hidden="1"/>
    </xf>
    <xf numFmtId="0" fontId="58" fillId="0" borderId="5" xfId="3" quotePrefix="1" applyNumberFormat="1" applyFont="1" applyFill="1" applyBorder="1" applyAlignment="1" applyProtection="1">
      <alignment horizontal="left" vertical="top" wrapText="1" indent="2"/>
      <protection hidden="1"/>
    </xf>
    <xf numFmtId="0" fontId="58" fillId="0" borderId="0" xfId="3" quotePrefix="1" applyNumberFormat="1" applyFont="1" applyFill="1" applyBorder="1" applyAlignment="1" applyProtection="1">
      <alignment horizontal="left" vertical="top" wrapText="1" indent="2"/>
      <protection hidden="1"/>
    </xf>
    <xf numFmtId="0" fontId="142" fillId="0" borderId="193" xfId="20" applyFont="1" applyBorder="1" applyAlignment="1">
      <alignment horizontal="center"/>
    </xf>
    <xf numFmtId="0" fontId="142" fillId="0" borderId="194" xfId="20" applyFont="1" applyBorder="1" applyAlignment="1">
      <alignment horizontal="center"/>
    </xf>
    <xf numFmtId="0" fontId="142" fillId="0" borderId="195" xfId="20" applyFont="1" applyBorder="1" applyAlignment="1">
      <alignment horizontal="center"/>
    </xf>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0" fontId="58" fillId="0" borderId="126" xfId="3" applyNumberFormat="1" applyFont="1" applyBorder="1" applyAlignment="1">
      <alignment horizontal="left" vertical="center" indent="1"/>
    </xf>
    <xf numFmtId="0" fontId="58" fillId="0" borderId="184" xfId="3" applyNumberFormat="1" applyFont="1" applyBorder="1" applyAlignment="1">
      <alignment horizontal="left" vertical="center"/>
    </xf>
    <xf numFmtId="166" fontId="58" fillId="0" borderId="21" xfId="3" applyNumberFormat="1" applyFont="1" applyBorder="1" applyAlignment="1">
      <alignment horizontal="left" vertical="center" indent="1"/>
    </xf>
    <xf numFmtId="166" fontId="58" fillId="0" borderId="185" xfId="3" applyNumberFormat="1" applyFont="1" applyBorder="1" applyAlignment="1">
      <alignment horizontal="left" vertical="center" indent="1"/>
    </xf>
    <xf numFmtId="0" fontId="58" fillId="26" borderId="186" xfId="20" applyFont="1" applyFill="1" applyBorder="1"/>
    <xf numFmtId="0" fontId="58" fillId="26" borderId="77" xfId="20" applyFont="1" applyFill="1" applyBorder="1"/>
    <xf numFmtId="0" fontId="66" fillId="0" borderId="164" xfId="20" applyFont="1" applyBorder="1" applyAlignment="1">
      <alignment horizontal="center" wrapText="1"/>
    </xf>
    <xf numFmtId="0" fontId="66" fillId="0" borderId="165" xfId="20" applyFont="1" applyBorder="1" applyAlignment="1">
      <alignment horizontal="center" wrapText="1"/>
    </xf>
    <xf numFmtId="0" fontId="102" fillId="0" borderId="166" xfId="20" applyFont="1" applyBorder="1" applyAlignment="1">
      <alignment horizontal="center"/>
    </xf>
    <xf numFmtId="0" fontId="102" fillId="0" borderId="78" xfId="20" applyFont="1" applyBorder="1" applyAlignment="1">
      <alignment horizontal="center"/>
    </xf>
    <xf numFmtId="0" fontId="102" fillId="0" borderId="99" xfId="20" applyFont="1" applyBorder="1" applyAlignment="1">
      <alignment horizontal="center"/>
    </xf>
    <xf numFmtId="0" fontId="58" fillId="0" borderId="168" xfId="20" applyFont="1" applyBorder="1" applyAlignment="1"/>
    <xf numFmtId="0" fontId="58" fillId="0" borderId="169" xfId="20" applyFont="1" applyBorder="1" applyAlignment="1"/>
    <xf numFmtId="0" fontId="81" fillId="0" borderId="131" xfId="3" applyNumberFormat="1" applyFont="1" applyBorder="1" applyAlignment="1">
      <alignment horizontal="center"/>
    </xf>
    <xf numFmtId="0" fontId="58" fillId="0" borderId="126" xfId="3" applyNumberFormat="1" applyFont="1" applyBorder="1" applyAlignment="1">
      <alignment horizontal="left" vertical="center"/>
    </xf>
    <xf numFmtId="0" fontId="58" fillId="22" borderId="182" xfId="3" applyNumberFormat="1" applyFont="1" applyFill="1" applyBorder="1" applyAlignment="1">
      <alignment horizontal="left" vertical="top" wrapText="1"/>
    </xf>
    <xf numFmtId="0" fontId="58" fillId="22" borderId="0" xfId="3" applyFont="1" applyFill="1" applyBorder="1" applyAlignment="1">
      <alignment vertical="top"/>
    </xf>
    <xf numFmtId="0" fontId="58" fillId="22" borderId="18" xfId="3" applyFont="1" applyFill="1" applyBorder="1" applyAlignment="1">
      <alignment vertical="top"/>
    </xf>
    <xf numFmtId="0" fontId="66" fillId="0" borderId="191" xfId="3" applyNumberFormat="1" applyFont="1" applyBorder="1" applyAlignment="1">
      <alignment horizontal="center" vertical="center"/>
    </xf>
    <xf numFmtId="0" fontId="58" fillId="0" borderId="126" xfId="3" applyFont="1" applyBorder="1" applyAlignment="1">
      <alignment horizontal="center" vertical="center"/>
    </xf>
    <xf numFmtId="0" fontId="58" fillId="0" borderId="124" xfId="3" applyFont="1" applyBorder="1" applyAlignment="1">
      <alignment horizontal="center" vertical="center"/>
    </xf>
    <xf numFmtId="0" fontId="58"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6" fillId="0" borderId="21" xfId="3" applyNumberFormat="1" applyFont="1" applyFill="1" applyBorder="1" applyAlignment="1" applyProtection="1">
      <alignment vertical="center"/>
      <protection hidden="1"/>
    </xf>
    <xf numFmtId="0" fontId="66" fillId="0" borderId="14" xfId="3" applyNumberFormat="1" applyFont="1" applyFill="1" applyBorder="1" applyAlignment="1" applyProtection="1">
      <alignment vertical="center"/>
      <protection hidden="1"/>
    </xf>
    <xf numFmtId="0" fontId="58" fillId="0" borderId="132" xfId="3" applyNumberFormat="1" applyFont="1" applyBorder="1" applyAlignment="1" applyProtection="1">
      <alignment horizontal="center" vertical="center"/>
      <protection locked="0"/>
    </xf>
    <xf numFmtId="171" fontId="58" fillId="0" borderId="132" xfId="3" applyNumberFormat="1" applyFont="1" applyBorder="1" applyAlignment="1" applyProtection="1">
      <alignment horizontal="center"/>
      <protection locked="0"/>
    </xf>
    <xf numFmtId="0" fontId="81" fillId="0" borderId="131" xfId="3" applyFont="1" applyBorder="1" applyAlignment="1">
      <alignment horizontal="center" vertical="center" wrapText="1"/>
    </xf>
    <xf numFmtId="0" fontId="58" fillId="0" borderId="132" xfId="3" applyNumberFormat="1" applyFont="1" applyBorder="1" applyAlignment="1" applyProtection="1">
      <alignment horizontal="center"/>
      <protection locked="0"/>
    </xf>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23" xfId="0" applyFont="1" applyFill="1" applyBorder="1" applyAlignment="1">
      <alignment horizontal="center" vertical="center"/>
    </xf>
    <xf numFmtId="0" fontId="113" fillId="12" borderId="126" xfId="0" applyFont="1" applyFill="1" applyBorder="1" applyAlignment="1">
      <alignment horizontal="center" vertical="center"/>
    </xf>
    <xf numFmtId="0" fontId="113" fillId="12" borderId="151"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3" xfId="0" applyNumberFormat="1" applyFont="1" applyFill="1" applyBorder="1" applyAlignment="1">
      <alignment horizontal="center" vertical="top"/>
    </xf>
    <xf numFmtId="164" fontId="114" fillId="12" borderId="126" xfId="0" applyNumberFormat="1" applyFont="1" applyFill="1" applyBorder="1" applyAlignment="1">
      <alignment horizontal="center" vertical="top"/>
    </xf>
    <xf numFmtId="164" fontId="114" fillId="12" borderId="151"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6" xfId="0" applyNumberFormat="1" applyFont="1" applyBorder="1" applyAlignment="1">
      <alignment horizontal="left" vertical="center" wrapText="1"/>
    </xf>
    <xf numFmtId="0" fontId="58" fillId="0" borderId="124"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5" xfId="3" applyNumberFormat="1" applyFont="1" applyBorder="1" applyAlignment="1" applyProtection="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NumberFormat="1" applyFont="1" applyAlignment="1" applyProtection="1">
      <alignment horizontal="center" vertical="center"/>
    </xf>
    <xf numFmtId="0" fontId="56" fillId="0" borderId="144" xfId="3" applyNumberFormat="1" applyFont="1" applyBorder="1" applyProtection="1"/>
    <xf numFmtId="0" fontId="56" fillId="0" borderId="145"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5" xfId="3" applyNumberFormat="1" applyFont="1" applyBorder="1" applyAlignment="1" applyProtection="1">
      <alignment horizontal="left" indent="1"/>
      <protection locked="0"/>
    </xf>
    <xf numFmtId="0" fontId="66" fillId="0" borderId="145" xfId="3" applyFont="1" applyBorder="1" applyAlignment="1" applyProtection="1">
      <alignment horizontal="left" indent="1"/>
      <protection locked="0"/>
    </xf>
    <xf numFmtId="0" fontId="66" fillId="0" borderId="146"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37" fontId="145" fillId="0" borderId="0" xfId="21" applyFont="1" applyAlignment="1">
      <alignment horizontal="center" vertical="center"/>
    </xf>
    <xf numFmtId="37" fontId="145" fillId="0" borderId="0" xfId="22" applyFont="1" applyAlignment="1">
      <alignment horizontal="center" vertical="center"/>
    </xf>
    <xf numFmtId="0" fontId="148" fillId="0" borderId="0" xfId="22" applyNumberFormat="1" applyFont="1" applyAlignment="1">
      <alignment horizontal="center" vertical="center"/>
    </xf>
    <xf numFmtId="37" fontId="150" fillId="0" borderId="0" xfId="22" applyFont="1" applyAlignment="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3" fontId="56" fillId="0" borderId="77" xfId="3" applyNumberFormat="1" applyFont="1" applyBorder="1" applyAlignment="1" applyProtection="1">
      <alignment horizontal="right" indent="1"/>
      <protection locked="0"/>
    </xf>
    <xf numFmtId="0" fontId="55" fillId="0" borderId="0" xfId="3" applyFont="1" applyAlignment="1" applyProtection="1">
      <alignment horizontal="center"/>
    </xf>
    <xf numFmtId="0" fontId="55" fillId="0" borderId="78" xfId="3" applyFont="1" applyBorder="1" applyAlignment="1" applyProtection="1">
      <alignment horizontal="center"/>
    </xf>
    <xf numFmtId="0" fontId="63" fillId="0" borderId="0" xfId="3" applyFont="1" applyAlignment="1" applyProtection="1">
      <alignment horizontal="left" vertical="center" wrapText="1"/>
    </xf>
    <xf numFmtId="0" fontId="56" fillId="0" borderId="0" xfId="3" applyFont="1" applyBorder="1" applyAlignment="1" applyProtection="1">
      <alignment vertical="center" wrapText="1"/>
      <protection locked="0"/>
    </xf>
    <xf numFmtId="5" fontId="66" fillId="0" borderId="147" xfId="3" applyNumberFormat="1" applyFont="1" applyBorder="1" applyAlignment="1" applyProtection="1">
      <protection locked="0"/>
    </xf>
    <xf numFmtId="0" fontId="66" fillId="0" borderId="148" xfId="3" applyFont="1" applyBorder="1" applyAlignment="1" applyProtection="1">
      <protection locked="0"/>
    </xf>
    <xf numFmtId="0" fontId="63" fillId="0" borderId="0" xfId="3" applyFont="1" applyBorder="1" applyAlignment="1" applyProtection="1">
      <alignment horizontal="left" vertical="top" wrapText="1"/>
    </xf>
    <xf numFmtId="0" fontId="63" fillId="0" borderId="147"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48"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6"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7" xfId="3" applyFont="1" applyBorder="1" applyAlignment="1" applyProtection="1">
      <alignment horizontal="center"/>
    </xf>
    <xf numFmtId="0" fontId="63" fillId="0" borderId="76" xfId="3" applyFont="1" applyBorder="1" applyAlignment="1" applyProtection="1">
      <alignment horizontal="center"/>
    </xf>
    <xf numFmtId="0" fontId="63" fillId="0" borderId="148" xfId="3" applyFont="1" applyBorder="1" applyAlignment="1" applyProtection="1">
      <alignment horizontal="center"/>
    </xf>
    <xf numFmtId="38" fontId="63" fillId="0" borderId="147"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48" xfId="3" applyNumberFormat="1" applyFont="1" applyBorder="1" applyAlignment="1" applyProtection="1">
      <alignment horizontal="right" vertical="center"/>
      <protection locked="0"/>
    </xf>
    <xf numFmtId="0" fontId="65" fillId="0" borderId="147"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48"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7" xfId="3" applyNumberFormat="1" applyFont="1" applyBorder="1" applyProtection="1">
      <protection locked="0"/>
    </xf>
    <xf numFmtId="6" fontId="63" fillId="0" borderId="148"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2" xfId="3" applyFont="1" applyBorder="1" applyAlignment="1" applyProtection="1">
      <alignment horizontal="center" vertical="center" wrapText="1"/>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Alignment="1" applyProtection="1">
      <alignment horizontal="center" vertical="center" wrapText="1"/>
    </xf>
  </cellXfs>
  <cellStyles count="25">
    <cellStyle name="Comma" xfId="1" builtinId="3"/>
    <cellStyle name="Comma 2" xfId="23" xr:uid="{02DB7730-BFC8-429B-A2FC-ADB850739FD6}"/>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 7" xfId="22" xr:uid="{0EDD6CB4-124E-470D-A08A-AC231138665B}"/>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SEFA 08 PVS" xfId="21" xr:uid="{3DD8CE78-E7A1-4BC7-8332-1AE687FDC8F0}"/>
    <cellStyle name="Normal_THRESHOLD CALCULATOR v3" xfId="13" xr:uid="{00000000-0005-0000-0000-000014000000}"/>
    <cellStyle name="Percent 2" xfId="24" xr:uid="{929CCDE0-9A10-478B-AEFE-4AA6122949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514350</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1485900</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121227</xdr:colOff>
          <xdr:row>1</xdr:row>
          <xdr:rowOff>2598</xdr:rowOff>
        </xdr:from>
        <xdr:to>
          <xdr:col>1</xdr:col>
          <xdr:colOff>911802</xdr:colOff>
          <xdr:row>5</xdr:row>
          <xdr:rowOff>51089</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1400-000001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3980584</xdr:colOff>
          <xdr:row>1</xdr:row>
          <xdr:rowOff>2598</xdr:rowOff>
        </xdr:from>
        <xdr:to>
          <xdr:col>3</xdr:col>
          <xdr:colOff>300470</xdr:colOff>
          <xdr:row>5</xdr:row>
          <xdr:rowOff>51089</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1400-000002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601807</xdr:colOff>
          <xdr:row>1</xdr:row>
          <xdr:rowOff>2598</xdr:rowOff>
        </xdr:from>
        <xdr:to>
          <xdr:col>5</xdr:col>
          <xdr:colOff>293543</xdr:colOff>
          <xdr:row>5</xdr:row>
          <xdr:rowOff>51089</xdr:rowOff>
        </xdr:to>
        <xdr:sp macro="" textlink="">
          <xdr:nvSpPr>
            <xdr:cNvPr id="56323" name="Object 3" hidden="1">
              <a:extLst>
                <a:ext uri="{63B3BB69-23CF-44E3-9099-C40C66FF867C}">
                  <a14:compatExt spid="_x0000_s56323"/>
                </a:ext>
                <a:ext uri="{FF2B5EF4-FFF2-40B4-BE49-F238E27FC236}">
                  <a16:creationId xmlns:a16="http://schemas.microsoft.com/office/drawing/2014/main" id="{00000000-0008-0000-1400-000003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F48"/>
  <sheetViews>
    <sheetView showGridLines="0" tabSelected="1" zoomScaleNormal="100" workbookViewId="0"/>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205">
        <f>+'AFR20'!E4</f>
        <v>44119</v>
      </c>
      <c r="C1" s="2205"/>
      <c r="D1" s="2206"/>
      <c r="I1" s="2164" t="s">
        <v>402</v>
      </c>
      <c r="J1" s="2165"/>
      <c r="K1" s="2165"/>
      <c r="L1" s="2165"/>
      <c r="M1" s="2165"/>
      <c r="N1" s="2165"/>
      <c r="O1" s="2165"/>
      <c r="P1" s="2165"/>
      <c r="Q1" s="2165"/>
      <c r="R1" s="2165"/>
      <c r="S1" s="2165"/>
    </row>
    <row r="2" spans="1:32" ht="12" customHeight="1" x14ac:dyDescent="0.2">
      <c r="A2" s="1831" t="str">
        <f>"Due to ISBE on "</f>
        <v xml:space="preserve">Due to ISBE on </v>
      </c>
      <c r="B2" s="2207">
        <f>+'AFR20'!F4</f>
        <v>44151</v>
      </c>
      <c r="C2" s="2207"/>
      <c r="D2" s="2208"/>
      <c r="I2" s="2166" t="s">
        <v>2000</v>
      </c>
      <c r="J2" s="2165"/>
      <c r="K2" s="2165"/>
      <c r="L2" s="2165"/>
      <c r="M2" s="2165"/>
      <c r="N2" s="2165"/>
      <c r="O2" s="2165"/>
      <c r="P2" s="2165"/>
      <c r="Q2" s="2165"/>
      <c r="R2" s="2165"/>
      <c r="S2" s="2165"/>
    </row>
    <row r="3" spans="1:32" ht="12" customHeight="1" x14ac:dyDescent="0.2">
      <c r="A3" s="1834" t="str">
        <f>"SD/JA"&amp;MID('AFR20'!E2,3,2)</f>
        <v>SD/JA20</v>
      </c>
      <c r="B3" s="151"/>
      <c r="C3" s="151"/>
      <c r="D3" s="152"/>
      <c r="I3" s="2166" t="s">
        <v>52</v>
      </c>
      <c r="J3" s="2165"/>
      <c r="K3" s="2165"/>
      <c r="L3" s="2165"/>
      <c r="M3" s="2165"/>
      <c r="N3" s="2165"/>
      <c r="O3" s="2165"/>
      <c r="P3" s="2165"/>
      <c r="Q3" s="2165"/>
      <c r="R3" s="2165"/>
      <c r="S3" s="2165"/>
    </row>
    <row r="4" spans="1:32" ht="12" customHeight="1" x14ac:dyDescent="0.2">
      <c r="A4" s="37"/>
      <c r="I4" s="2166" t="s">
        <v>521</v>
      </c>
      <c r="J4" s="2165"/>
      <c r="K4" s="2165"/>
      <c r="L4" s="2165"/>
      <c r="M4" s="2165"/>
      <c r="N4" s="2165"/>
      <c r="O4" s="2165"/>
      <c r="P4" s="2165"/>
      <c r="Q4" s="2165"/>
      <c r="R4" s="2165"/>
      <c r="S4" s="2165"/>
    </row>
    <row r="5" spans="1:32" ht="14.1" customHeight="1" x14ac:dyDescent="0.2">
      <c r="B5" s="101" t="s">
        <v>2048</v>
      </c>
      <c r="C5" s="26" t="s">
        <v>904</v>
      </c>
      <c r="D5" s="81"/>
      <c r="E5" s="81"/>
      <c r="H5" s="38"/>
      <c r="I5" s="2174" t="s">
        <v>675</v>
      </c>
      <c r="J5" s="2173"/>
      <c r="K5" s="2173"/>
      <c r="L5" s="2173"/>
      <c r="M5" s="2173"/>
      <c r="N5" s="2173"/>
      <c r="O5" s="2173"/>
      <c r="P5" s="2173"/>
      <c r="Q5" s="2173"/>
      <c r="R5" s="2173"/>
      <c r="S5" s="2173"/>
      <c r="AF5" s="1827"/>
    </row>
    <row r="6" spans="1:32" ht="14.1" customHeight="1" x14ac:dyDescent="0.2">
      <c r="B6" s="101"/>
      <c r="C6" s="26" t="s">
        <v>905</v>
      </c>
      <c r="D6" s="81"/>
      <c r="E6" s="81"/>
      <c r="I6" s="2172" t="s">
        <v>877</v>
      </c>
      <c r="J6" s="2173"/>
      <c r="K6" s="2173"/>
      <c r="L6" s="2173"/>
      <c r="M6" s="2173"/>
      <c r="N6" s="2173"/>
      <c r="O6" s="2173"/>
      <c r="P6" s="2173"/>
      <c r="Q6" s="2173"/>
      <c r="R6" s="2173"/>
      <c r="S6" s="2173"/>
    </row>
    <row r="7" spans="1:32" ht="12.2" customHeight="1" x14ac:dyDescent="0.2">
      <c r="I7" s="2167" t="str">
        <f>"June 30, "&amp;'AFR20'!E2</f>
        <v>June 30, 2020</v>
      </c>
      <c r="J7" s="2168"/>
      <c r="K7" s="2168"/>
      <c r="L7" s="2168"/>
      <c r="M7" s="2168"/>
      <c r="N7" s="2168"/>
      <c r="O7" s="2168"/>
      <c r="P7" s="2168"/>
      <c r="Q7" s="2168"/>
      <c r="R7" s="2168"/>
      <c r="S7" s="2168"/>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69" t="s">
        <v>669</v>
      </c>
      <c r="J9" s="2170"/>
      <c r="K9" s="2170"/>
      <c r="L9" s="2170"/>
      <c r="M9" s="2170"/>
      <c r="N9" s="2170"/>
      <c r="O9" s="2170"/>
      <c r="P9" s="2170"/>
      <c r="Q9" s="2170"/>
      <c r="R9" s="2170"/>
      <c r="S9" s="2171"/>
      <c r="T9" s="2222" t="s">
        <v>530</v>
      </c>
      <c r="U9" s="2223"/>
      <c r="V9" s="2223"/>
      <c r="W9" s="2223"/>
      <c r="X9" s="2223"/>
      <c r="Y9" s="2223"/>
      <c r="Z9" s="2223"/>
      <c r="AA9" s="2224"/>
    </row>
    <row r="10" spans="1:32" ht="13.5" customHeight="1" x14ac:dyDescent="0.2">
      <c r="A10" s="2229" t="s">
        <v>670</v>
      </c>
      <c r="B10" s="2230"/>
      <c r="C10" s="2230"/>
      <c r="D10" s="2230"/>
      <c r="E10" s="2230"/>
      <c r="F10" s="2230"/>
      <c r="G10" s="2230"/>
      <c r="H10" s="2231"/>
      <c r="I10" s="29"/>
      <c r="J10" s="30"/>
      <c r="K10" s="28"/>
      <c r="R10" s="30"/>
      <c r="S10" s="30"/>
      <c r="T10" s="2225"/>
      <c r="U10" s="2173"/>
      <c r="V10" s="2173"/>
      <c r="W10" s="2173"/>
      <c r="X10" s="2173"/>
      <c r="Y10" s="2173"/>
      <c r="Z10" s="2173"/>
      <c r="AA10" s="2179"/>
    </row>
    <row r="11" spans="1:32" ht="14.25" customHeight="1" x14ac:dyDescent="0.2">
      <c r="A11" s="2232" t="s">
        <v>949</v>
      </c>
      <c r="B11" s="2233"/>
      <c r="C11" s="2233"/>
      <c r="D11" s="2233"/>
      <c r="E11" s="2233"/>
      <c r="F11" s="2233"/>
      <c r="G11" s="2233"/>
      <c r="H11" s="2234"/>
      <c r="I11" s="27"/>
      <c r="J11" s="71"/>
      <c r="K11" s="27"/>
      <c r="O11" s="144" t="s">
        <v>2048</v>
      </c>
      <c r="P11" s="97" t="s">
        <v>199</v>
      </c>
      <c r="Q11" s="30"/>
      <c r="R11" s="28"/>
      <c r="S11" s="27"/>
      <c r="T11" s="2226"/>
      <c r="U11" s="2227"/>
      <c r="V11" s="2227"/>
      <c r="W11" s="2227"/>
      <c r="X11" s="2227"/>
      <c r="Y11" s="2227"/>
      <c r="Z11" s="2227"/>
      <c r="AA11" s="2228"/>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185" t="s">
        <v>2058</v>
      </c>
      <c r="B13" s="2186"/>
      <c r="C13" s="2186"/>
      <c r="D13" s="2186"/>
      <c r="E13" s="2186"/>
      <c r="F13" s="2186"/>
      <c r="G13" s="2186"/>
      <c r="H13" s="2187"/>
      <c r="I13" s="31"/>
      <c r="J13" s="30"/>
      <c r="K13" s="28"/>
      <c r="L13" s="30"/>
      <c r="M13" s="30"/>
      <c r="N13" s="30"/>
      <c r="O13" s="30"/>
      <c r="P13" s="30"/>
      <c r="Q13" s="30"/>
      <c r="R13" s="30"/>
      <c r="S13" s="30"/>
      <c r="T13" s="2191" t="s">
        <v>2049</v>
      </c>
      <c r="U13" s="2192"/>
      <c r="V13" s="2192"/>
      <c r="W13" s="2192"/>
      <c r="X13" s="2192"/>
      <c r="Y13" s="2193"/>
      <c r="Z13" s="2193"/>
      <c r="AA13" s="2194"/>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188" t="s">
        <v>2137</v>
      </c>
      <c r="B15" s="2189"/>
      <c r="C15" s="2189"/>
      <c r="D15" s="2189"/>
      <c r="E15" s="2189"/>
      <c r="F15" s="2189"/>
      <c r="G15" s="2189"/>
      <c r="H15" s="2190"/>
      <c r="T15" s="2195" t="s">
        <v>2140</v>
      </c>
      <c r="U15" s="2152"/>
      <c r="V15" s="2152"/>
      <c r="W15" s="2152"/>
      <c r="X15" s="2152"/>
      <c r="Y15" s="2196"/>
      <c r="Z15" s="2196"/>
      <c r="AA15" s="2197"/>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158" t="s">
        <v>2136</v>
      </c>
      <c r="B17" s="2159"/>
      <c r="C17" s="2159"/>
      <c r="D17" s="2159"/>
      <c r="E17" s="2159"/>
      <c r="F17" s="2159"/>
      <c r="G17" s="2159"/>
      <c r="H17" s="2184"/>
      <c r="T17" s="2202" t="s">
        <v>2050</v>
      </c>
      <c r="U17" s="2203"/>
      <c r="V17" s="2203"/>
      <c r="W17" s="2203"/>
      <c r="X17" s="2203"/>
      <c r="Y17" s="2203"/>
      <c r="Z17" s="2203"/>
      <c r="AA17" s="2204"/>
    </row>
    <row r="18" spans="1:27" ht="13.5" customHeight="1" x14ac:dyDescent="0.2">
      <c r="A18" s="82" t="s">
        <v>527</v>
      </c>
      <c r="B18" s="73"/>
      <c r="C18" s="69"/>
      <c r="D18" s="73"/>
      <c r="E18" s="73"/>
      <c r="F18" s="73"/>
      <c r="G18" s="73"/>
      <c r="H18" s="53"/>
      <c r="I18" s="2183" t="s">
        <v>671</v>
      </c>
      <c r="J18" s="2134"/>
      <c r="K18" s="2134"/>
      <c r="L18" s="2134"/>
      <c r="M18" s="2134"/>
      <c r="N18" s="2134"/>
      <c r="O18" s="2134"/>
      <c r="P18" s="2134"/>
      <c r="Q18" s="2134"/>
      <c r="R18" s="2134"/>
      <c r="S18" s="2135"/>
      <c r="T18" s="82" t="s">
        <v>706</v>
      </c>
      <c r="U18" s="48"/>
      <c r="V18" s="69"/>
      <c r="W18" s="47"/>
      <c r="X18" s="82" t="s">
        <v>264</v>
      </c>
      <c r="Y18" s="78"/>
      <c r="Z18" s="154" t="s">
        <v>672</v>
      </c>
      <c r="AA18" s="44"/>
    </row>
    <row r="19" spans="1:27" ht="13.5" customHeight="1" x14ac:dyDescent="0.2">
      <c r="A19" s="2188" t="s">
        <v>2138</v>
      </c>
      <c r="B19" s="2144"/>
      <c r="C19" s="2144"/>
      <c r="D19" s="2144"/>
      <c r="E19" s="2144"/>
      <c r="F19" s="2144"/>
      <c r="G19" s="2144"/>
      <c r="H19" s="2124"/>
      <c r="I19" s="30"/>
      <c r="J19" s="96"/>
      <c r="K19" s="40"/>
      <c r="L19" s="38"/>
      <c r="M19" s="109" t="s">
        <v>312</v>
      </c>
      <c r="P19" s="27"/>
      <c r="Q19" s="27"/>
      <c r="R19" s="27"/>
      <c r="S19" s="31"/>
      <c r="T19" s="2188" t="s">
        <v>2051</v>
      </c>
      <c r="U19" s="2123"/>
      <c r="V19" s="2123"/>
      <c r="W19" s="2124"/>
      <c r="X19" s="2200" t="s">
        <v>2052</v>
      </c>
      <c r="Y19" s="2201"/>
      <c r="Z19" s="2198">
        <v>61614</v>
      </c>
      <c r="AA19" s="2199"/>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122" t="s">
        <v>2139</v>
      </c>
      <c r="B21" s="2123"/>
      <c r="C21" s="2123"/>
      <c r="D21" s="2123"/>
      <c r="E21" s="2123"/>
      <c r="F21" s="2123"/>
      <c r="G21" s="2123"/>
      <c r="H21" s="2124"/>
      <c r="I21" s="2178" t="s">
        <v>673</v>
      </c>
      <c r="J21" s="2173"/>
      <c r="K21" s="2173"/>
      <c r="L21" s="2173"/>
      <c r="M21" s="2173"/>
      <c r="N21" s="2173"/>
      <c r="O21" s="2173"/>
      <c r="P21" s="2173"/>
      <c r="Q21" s="2173"/>
      <c r="R21" s="2173"/>
      <c r="S21" s="2179"/>
      <c r="T21" s="2213" t="s">
        <v>2053</v>
      </c>
      <c r="U21" s="2214"/>
      <c r="V21" s="2214"/>
      <c r="W21" s="2214"/>
      <c r="X21" s="2219" t="s">
        <v>2054</v>
      </c>
      <c r="Y21" s="2220"/>
      <c r="Z21" s="2220"/>
      <c r="AA21" s="2221"/>
    </row>
    <row r="22" spans="1:27" ht="13.5" customHeight="1" x14ac:dyDescent="0.2">
      <c r="A22" s="84" t="s">
        <v>528</v>
      </c>
      <c r="B22" s="56"/>
      <c r="C22" s="56"/>
      <c r="D22" s="56"/>
      <c r="E22" s="56"/>
      <c r="F22" s="56"/>
      <c r="G22" s="56"/>
      <c r="H22" s="57"/>
      <c r="I22" s="2180" t="s">
        <v>1412</v>
      </c>
      <c r="J22" s="2181"/>
      <c r="K22" s="2181"/>
      <c r="L22" s="2181"/>
      <c r="M22" s="2181"/>
      <c r="N22" s="2181"/>
      <c r="O22" s="2181"/>
      <c r="P22" s="2181"/>
      <c r="Q22" s="2181"/>
      <c r="R22" s="2181"/>
      <c r="S22" s="2182"/>
      <c r="T22" s="82" t="s">
        <v>1499</v>
      </c>
      <c r="U22" s="48"/>
      <c r="V22" s="69"/>
      <c r="W22" s="48"/>
      <c r="X22" s="155" t="s">
        <v>1307</v>
      </c>
      <c r="Z22" s="43"/>
      <c r="AA22" s="44"/>
    </row>
    <row r="23" spans="1:27" ht="13.5" customHeight="1" x14ac:dyDescent="0.2">
      <c r="A23" s="2175" t="s">
        <v>2152</v>
      </c>
      <c r="B23" s="2176"/>
      <c r="C23" s="2176"/>
      <c r="D23" s="2176"/>
      <c r="E23" s="2176"/>
      <c r="F23" s="2176"/>
      <c r="G23" s="2176"/>
      <c r="H23" s="2177"/>
      <c r="T23" s="2158" t="s">
        <v>2055</v>
      </c>
      <c r="U23" s="2212"/>
      <c r="V23" s="2212"/>
      <c r="W23" s="2212"/>
      <c r="X23" s="2216">
        <v>44501</v>
      </c>
      <c r="Y23" s="2217"/>
      <c r="Z23" s="2217"/>
      <c r="AA23" s="2218"/>
    </row>
    <row r="24" spans="1:27" ht="14.1" customHeight="1" x14ac:dyDescent="0.2">
      <c r="A24" s="85" t="s">
        <v>672</v>
      </c>
      <c r="B24" s="46"/>
      <c r="C24" s="46"/>
      <c r="D24" s="46"/>
      <c r="E24" s="46"/>
      <c r="F24" s="46"/>
      <c r="G24" s="46"/>
      <c r="H24" s="58"/>
      <c r="J24" s="2145">
        <f>IF(B5="x",IF(AUDITCHECK!D29="AFR form Incomplete.","",IF(AUDITCHECK!D29="Deficit reduction plan is required.","School District must complete a deficit reduction plan in the 2020-2021 Budget",)),"")</f>
        <v>0</v>
      </c>
      <c r="K24" s="2145"/>
      <c r="L24" s="2145"/>
      <c r="M24" s="2145"/>
      <c r="N24" s="2145"/>
      <c r="O24" s="2145"/>
      <c r="P24" s="2145"/>
      <c r="Q24" s="2145"/>
      <c r="R24" s="2145"/>
      <c r="S24" s="2146"/>
      <c r="T24" s="102" t="s">
        <v>528</v>
      </c>
      <c r="U24" s="103"/>
      <c r="V24" s="103"/>
      <c r="W24" s="103"/>
      <c r="X24" s="104"/>
      <c r="Y24" s="104"/>
      <c r="Z24" s="104"/>
      <c r="AA24" s="105"/>
    </row>
    <row r="25" spans="1:27" ht="14.1" customHeight="1" x14ac:dyDescent="0.2">
      <c r="A25" s="2122">
        <v>61530</v>
      </c>
      <c r="B25" s="2123"/>
      <c r="C25" s="2123"/>
      <c r="D25" s="2123"/>
      <c r="E25" s="2123"/>
      <c r="F25" s="2123"/>
      <c r="G25" s="2123"/>
      <c r="H25" s="2124"/>
      <c r="I25" s="110"/>
      <c r="J25" s="2147"/>
      <c r="K25" s="2147"/>
      <c r="L25" s="2147"/>
      <c r="M25" s="2147"/>
      <c r="N25" s="2147"/>
      <c r="O25" s="2147"/>
      <c r="P25" s="2147"/>
      <c r="Q25" s="2147"/>
      <c r="R25" s="2147"/>
      <c r="S25" s="2148"/>
      <c r="T25" s="2209" t="s">
        <v>2141</v>
      </c>
      <c r="U25" s="2210"/>
      <c r="V25" s="2210"/>
      <c r="W25" s="2210"/>
      <c r="X25" s="2210"/>
      <c r="Y25" s="2210"/>
      <c r="Z25" s="2210"/>
      <c r="AA25" s="2211"/>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133" t="s">
        <v>1494</v>
      </c>
      <c r="J27" s="2134"/>
      <c r="K27" s="2134"/>
      <c r="L27" s="2134"/>
      <c r="M27" s="2134"/>
      <c r="N27" s="2134"/>
      <c r="O27" s="2134"/>
      <c r="P27" s="2134"/>
      <c r="Q27" s="2134"/>
      <c r="R27" s="2134"/>
      <c r="S27" s="2135"/>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t="s">
        <v>2048</v>
      </c>
      <c r="F29" s="137" t="s">
        <v>1305</v>
      </c>
      <c r="G29" s="111"/>
      <c r="I29" s="51"/>
      <c r="J29" s="144" t="s">
        <v>2048</v>
      </c>
      <c r="K29" s="28" t="s">
        <v>572</v>
      </c>
      <c r="L29" s="99"/>
      <c r="M29" s="40" t="s">
        <v>99</v>
      </c>
      <c r="N29" s="32" t="s">
        <v>1506</v>
      </c>
      <c r="O29" s="32"/>
      <c r="P29" s="32"/>
      <c r="Q29" s="32"/>
      <c r="R29" s="32"/>
      <c r="S29" s="120"/>
      <c r="T29" s="6"/>
      <c r="U29" s="6"/>
      <c r="V29" s="6"/>
      <c r="W29" s="6"/>
      <c r="X29" s="6"/>
      <c r="Y29" s="6"/>
      <c r="Z29" s="6"/>
      <c r="AA29" s="129"/>
    </row>
    <row r="30" spans="1:27" ht="13.5" customHeight="1" x14ac:dyDescent="0.2">
      <c r="A30" s="149"/>
      <c r="B30" s="133" t="s">
        <v>2048</v>
      </c>
      <c r="C30" s="121" t="s">
        <v>1154</v>
      </c>
      <c r="D30" s="28"/>
      <c r="E30" s="28"/>
      <c r="F30" s="136"/>
      <c r="G30" s="111"/>
      <c r="H30" s="111"/>
      <c r="I30" s="51"/>
      <c r="J30" s="144" t="s">
        <v>2048</v>
      </c>
      <c r="K30" s="28" t="s">
        <v>572</v>
      </c>
      <c r="L30" s="99"/>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99"/>
      <c r="K31" s="40" t="s">
        <v>879</v>
      </c>
      <c r="L31" s="144" t="s">
        <v>2048</v>
      </c>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144"/>
      <c r="Q35" s="2123"/>
      <c r="R35" s="2123"/>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158" t="s">
        <v>2153</v>
      </c>
      <c r="B38" s="2159"/>
      <c r="C38" s="2159"/>
      <c r="D38" s="2159"/>
      <c r="E38" s="2159"/>
      <c r="F38" s="2123"/>
      <c r="G38" s="2123"/>
      <c r="H38" s="2124"/>
      <c r="I38" s="2151"/>
      <c r="J38" s="2152"/>
      <c r="K38" s="2152"/>
      <c r="L38" s="2152"/>
      <c r="M38" s="2152"/>
      <c r="N38" s="2152"/>
      <c r="O38" s="2152"/>
      <c r="P38" s="2153"/>
      <c r="Q38" s="2153"/>
      <c r="R38" s="2153"/>
      <c r="S38" s="2154"/>
      <c r="T38" s="2195"/>
      <c r="U38" s="2152"/>
      <c r="V38" s="2152"/>
      <c r="W38" s="2152"/>
      <c r="X38" s="2153"/>
      <c r="Y38" s="2153"/>
      <c r="Z38" s="2153"/>
      <c r="AA38" s="2154"/>
    </row>
    <row r="39" spans="1:27" ht="12" customHeight="1" x14ac:dyDescent="0.2">
      <c r="A39" s="2128" t="s">
        <v>528</v>
      </c>
      <c r="B39" s="2129"/>
      <c r="C39" s="69"/>
      <c r="D39" s="66"/>
      <c r="E39" s="66"/>
      <c r="F39" s="76"/>
      <c r="G39" s="66"/>
      <c r="H39" s="53"/>
      <c r="I39" s="2128" t="s">
        <v>528</v>
      </c>
      <c r="J39" s="2129"/>
      <c r="K39" s="2129"/>
      <c r="L39" s="2129"/>
      <c r="M39" s="2129"/>
      <c r="N39" s="64"/>
      <c r="O39" s="69"/>
      <c r="P39" s="69"/>
      <c r="Q39" s="75"/>
      <c r="R39" s="69"/>
      <c r="S39" s="53"/>
      <c r="T39" s="69" t="s">
        <v>528</v>
      </c>
      <c r="U39" s="48"/>
      <c r="V39" s="69"/>
      <c r="W39" s="47"/>
      <c r="X39" s="75"/>
      <c r="Y39" s="43"/>
      <c r="Z39" s="43"/>
      <c r="AA39" s="44"/>
    </row>
    <row r="40" spans="1:27" ht="13.5" customHeight="1" x14ac:dyDescent="0.2">
      <c r="A40" s="2136" t="s">
        <v>2154</v>
      </c>
      <c r="B40" s="2137"/>
      <c r="C40" s="2138"/>
      <c r="D40" s="2138"/>
      <c r="E40" s="2138"/>
      <c r="F40" s="2139"/>
      <c r="G40" s="2139"/>
      <c r="H40" s="2140"/>
      <c r="I40" s="2161"/>
      <c r="J40" s="2162"/>
      <c r="K40" s="2162"/>
      <c r="L40" s="2162"/>
      <c r="M40" s="2162"/>
      <c r="N40" s="2162"/>
      <c r="O40" s="2162"/>
      <c r="P40" s="2162"/>
      <c r="Q40" s="2162"/>
      <c r="R40" s="2162"/>
      <c r="S40" s="2163"/>
      <c r="T40" s="2161"/>
      <c r="U40" s="2215"/>
      <c r="V40" s="2162"/>
      <c r="W40" s="2162"/>
      <c r="X40" s="2162"/>
      <c r="Y40" s="2162"/>
      <c r="Z40" s="2162"/>
      <c r="AA40" s="2163"/>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150" t="s">
        <v>2155</v>
      </c>
      <c r="B42" s="2142"/>
      <c r="C42" s="2143"/>
      <c r="D42" s="2141" t="s">
        <v>2156</v>
      </c>
      <c r="E42" s="2142"/>
      <c r="F42" s="2142"/>
      <c r="G42" s="2142"/>
      <c r="H42" s="2143"/>
      <c r="I42" s="2125"/>
      <c r="J42" s="2126"/>
      <c r="K42" s="2126"/>
      <c r="L42" s="2126"/>
      <c r="M42" s="2126"/>
      <c r="N42" s="2126"/>
      <c r="O42" s="2127"/>
      <c r="P42" s="2160"/>
      <c r="Q42" s="2126"/>
      <c r="R42" s="2126"/>
      <c r="S42" s="2127"/>
      <c r="T42" s="2125"/>
      <c r="U42" s="2126"/>
      <c r="V42" s="2126"/>
      <c r="W42" s="2127"/>
      <c r="X42" s="2160"/>
      <c r="Y42" s="2126"/>
      <c r="Z42" s="2126"/>
      <c r="AA42" s="2127"/>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155"/>
      <c r="B44" s="2156"/>
      <c r="C44" s="2156"/>
      <c r="D44" s="2156"/>
      <c r="E44" s="2156"/>
      <c r="F44" s="2156"/>
      <c r="G44" s="2156"/>
      <c r="H44" s="2157"/>
      <c r="I44" s="2130"/>
      <c r="J44" s="2131"/>
      <c r="K44" s="2131"/>
      <c r="L44" s="2131"/>
      <c r="M44" s="2131"/>
      <c r="N44" s="2131"/>
      <c r="O44" s="2131"/>
      <c r="P44" s="2131"/>
      <c r="Q44" s="2131"/>
      <c r="R44" s="2131"/>
      <c r="S44" s="2132"/>
      <c r="T44" s="2130"/>
      <c r="U44" s="2149"/>
      <c r="V44" s="2149"/>
      <c r="W44" s="2149"/>
      <c r="X44" s="2149"/>
      <c r="Y44" s="2149"/>
      <c r="Z44" s="2131"/>
      <c r="AA44" s="2132"/>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1888</v>
      </c>
      <c r="R47" s="41"/>
      <c r="S47" s="41"/>
      <c r="T47" s="41"/>
      <c r="U47" s="41"/>
      <c r="V47" s="41"/>
      <c r="W47" s="41"/>
      <c r="X47" s="41"/>
      <c r="Y47" s="41"/>
      <c r="Z47" s="41"/>
      <c r="AA47" s="41"/>
    </row>
    <row r="48" spans="1:27" x14ac:dyDescent="0.2">
      <c r="Q48" s="41" t="s">
        <v>1889</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373" t="s">
        <v>1776</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374"/>
      <c r="B3" s="1294"/>
      <c r="C3" s="1295"/>
      <c r="D3" s="1296" t="s">
        <v>254</v>
      </c>
      <c r="E3" s="1295"/>
      <c r="F3" s="1296" t="s">
        <v>255</v>
      </c>
    </row>
    <row r="4" spans="1:8" ht="13.7" customHeight="1" x14ac:dyDescent="0.2">
      <c r="A4" s="579" t="s">
        <v>1145</v>
      </c>
      <c r="B4" s="1721">
        <f>'Revenues 9-14'!C5</f>
        <v>6910482</v>
      </c>
      <c r="C4" s="1722">
        <v>833</v>
      </c>
      <c r="D4" s="1723">
        <f>B4-C4</f>
        <v>6909649</v>
      </c>
      <c r="E4" s="1722">
        <v>6896978</v>
      </c>
      <c r="F4" s="1723">
        <f>E4-C4</f>
        <v>6896145</v>
      </c>
    </row>
    <row r="5" spans="1:8" ht="13.7" customHeight="1" x14ac:dyDescent="0.2">
      <c r="A5" s="579" t="s">
        <v>865</v>
      </c>
      <c r="B5" s="1724">
        <f>'Revenues 9-14'!D5</f>
        <v>1170323</v>
      </c>
      <c r="C5" s="1664">
        <v>141</v>
      </c>
      <c r="D5" s="1725">
        <f t="shared" ref="D5:D18" si="0">B5-C5</f>
        <v>1170182</v>
      </c>
      <c r="E5" s="1664">
        <v>1168037</v>
      </c>
      <c r="F5" s="1725">
        <f>E5-C5</f>
        <v>1167896</v>
      </c>
    </row>
    <row r="6" spans="1:8" ht="13.7" customHeight="1" x14ac:dyDescent="0.2">
      <c r="A6" s="579" t="s">
        <v>408</v>
      </c>
      <c r="B6" s="1724">
        <f>'Revenues 9-14'!E5</f>
        <v>891237</v>
      </c>
      <c r="C6" s="1664">
        <v>108</v>
      </c>
      <c r="D6" s="1725">
        <f t="shared" si="0"/>
        <v>891129</v>
      </c>
      <c r="E6" s="1664">
        <v>892825</v>
      </c>
      <c r="F6" s="1725">
        <f t="shared" ref="F6:F18" si="1">E6-C6</f>
        <v>892717</v>
      </c>
    </row>
    <row r="7" spans="1:8" ht="13.7" customHeight="1" x14ac:dyDescent="0.2">
      <c r="A7" s="579" t="s">
        <v>154</v>
      </c>
      <c r="B7" s="1724">
        <f>'Revenues 9-14'!F5</f>
        <v>445838</v>
      </c>
      <c r="C7" s="1664">
        <v>54</v>
      </c>
      <c r="D7" s="1725">
        <f t="shared" si="0"/>
        <v>445784</v>
      </c>
      <c r="E7" s="1664">
        <v>444966</v>
      </c>
      <c r="F7" s="1725">
        <f t="shared" si="1"/>
        <v>444912</v>
      </c>
    </row>
    <row r="8" spans="1:8" ht="13.7" customHeight="1" x14ac:dyDescent="0.2">
      <c r="A8" s="579" t="s">
        <v>1169</v>
      </c>
      <c r="B8" s="1724">
        <f>'Revenues 9-14'!G5</f>
        <v>234735</v>
      </c>
      <c r="C8" s="1664">
        <v>28</v>
      </c>
      <c r="D8" s="1725">
        <f t="shared" si="0"/>
        <v>234707</v>
      </c>
      <c r="E8" s="1664">
        <v>235165</v>
      </c>
      <c r="F8" s="1725">
        <f t="shared" si="1"/>
        <v>235137</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111459</v>
      </c>
      <c r="C10" s="1664">
        <v>13</v>
      </c>
      <c r="D10" s="1725">
        <f t="shared" si="0"/>
        <v>111446</v>
      </c>
      <c r="E10" s="1664">
        <v>111242</v>
      </c>
      <c r="F10" s="1725">
        <f t="shared" si="1"/>
        <v>111229</v>
      </c>
    </row>
    <row r="11" spans="1:8" x14ac:dyDescent="0.2">
      <c r="A11" s="579" t="s">
        <v>406</v>
      </c>
      <c r="B11" s="1724">
        <f>'Revenues 9-14'!J5</f>
        <v>588955</v>
      </c>
      <c r="C11" s="1664">
        <v>70</v>
      </c>
      <c r="D11" s="1725">
        <f t="shared" si="0"/>
        <v>588885</v>
      </c>
      <c r="E11" s="1664">
        <v>595142</v>
      </c>
      <c r="F11" s="1725">
        <f t="shared" si="1"/>
        <v>595072</v>
      </c>
    </row>
    <row r="12" spans="1:8" ht="13.7" customHeight="1" x14ac:dyDescent="0.2">
      <c r="A12" s="579" t="s">
        <v>156</v>
      </c>
      <c r="B12" s="1724">
        <f>'Revenues 9-14'!K5</f>
        <v>111459</v>
      </c>
      <c r="C12" s="1664">
        <v>13</v>
      </c>
      <c r="D12" s="1725">
        <f t="shared" si="0"/>
        <v>111446</v>
      </c>
      <c r="E12" s="1664">
        <v>111242</v>
      </c>
      <c r="F12" s="1725">
        <f t="shared" si="1"/>
        <v>111229</v>
      </c>
    </row>
    <row r="13" spans="1:8" ht="13.7" customHeight="1" x14ac:dyDescent="0.2">
      <c r="A13" s="579" t="s">
        <v>930</v>
      </c>
      <c r="B13" s="1724">
        <f>SUM('Revenues 9-14'!C6:D6)</f>
        <v>111459</v>
      </c>
      <c r="C13" s="1664">
        <v>13</v>
      </c>
      <c r="D13" s="1725">
        <f t="shared" si="0"/>
        <v>111446</v>
      </c>
      <c r="E13" s="1664">
        <v>111242</v>
      </c>
      <c r="F13" s="1725">
        <f t="shared" si="1"/>
        <v>111229</v>
      </c>
    </row>
    <row r="14" spans="1:8" ht="13.7" customHeight="1" x14ac:dyDescent="0.2">
      <c r="A14" s="579" t="s">
        <v>407</v>
      </c>
      <c r="B14" s="1724">
        <f>SUM('Revenues 9-14'!C7:D7,'Revenues 9-14'!F7:H7)</f>
        <v>89168</v>
      </c>
      <c r="C14" s="1664">
        <v>11</v>
      </c>
      <c r="D14" s="1725">
        <f t="shared" si="0"/>
        <v>89157</v>
      </c>
      <c r="E14" s="1664">
        <v>88993</v>
      </c>
      <c r="F14" s="1725">
        <f t="shared" si="1"/>
        <v>88982</v>
      </c>
    </row>
    <row r="15" spans="1:8" ht="13.7" customHeight="1" x14ac:dyDescent="0.2">
      <c r="A15" s="579" t="s">
        <v>1148</v>
      </c>
      <c r="B15" s="1724">
        <f>SUM('Revenues 9-14'!D9:E9,'Revenues 9-14'!H9)</f>
        <v>0</v>
      </c>
      <c r="C15" s="1664"/>
      <c r="D15" s="1725">
        <f t="shared" si="0"/>
        <v>0</v>
      </c>
      <c r="E15" s="1664"/>
      <c r="F15" s="1725">
        <f t="shared" si="1"/>
        <v>0</v>
      </c>
    </row>
    <row r="16" spans="1:8" ht="13.7" customHeight="1" x14ac:dyDescent="0.2">
      <c r="A16" s="579" t="s">
        <v>1149</v>
      </c>
      <c r="B16" s="1724">
        <f>'Revenues 9-14'!G8</f>
        <v>279542</v>
      </c>
      <c r="C16" s="1664">
        <v>34</v>
      </c>
      <c r="D16" s="1725">
        <f t="shared" si="0"/>
        <v>279508</v>
      </c>
      <c r="E16" s="1664">
        <v>280106</v>
      </c>
      <c r="F16" s="1725">
        <f t="shared" si="1"/>
        <v>280072</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10944657</v>
      </c>
      <c r="C19" s="1726">
        <f>SUM(C4:C18)</f>
        <v>1318</v>
      </c>
      <c r="D19" s="1726">
        <f>SUM(D4:D18)</f>
        <v>10943339</v>
      </c>
      <c r="E19" s="1726">
        <f>SUM(E4:E18)</f>
        <v>10935938</v>
      </c>
      <c r="F19" s="1726">
        <f>SUM(F4:F18)</f>
        <v>10934620</v>
      </c>
    </row>
    <row r="20" spans="1:6" ht="13.5" thickTop="1" x14ac:dyDescent="0.2">
      <c r="B20" s="578"/>
      <c r="F20" s="580"/>
    </row>
    <row r="21" spans="1:6" x14ac:dyDescent="0.2">
      <c r="A21" s="581" t="s">
        <v>1782</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95" t="s">
        <v>625</v>
      </c>
      <c r="B1" s="2393"/>
      <c r="C1" s="585"/>
    </row>
    <row r="2" spans="1:7" ht="33.75" x14ac:dyDescent="0.2">
      <c r="A2" s="2400" t="s">
        <v>1776</v>
      </c>
      <c r="B2" s="2401"/>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402" t="s">
        <v>1104</v>
      </c>
      <c r="B3" s="2403"/>
      <c r="C3" s="2396"/>
      <c r="D3" s="2397"/>
      <c r="E3" s="2397"/>
      <c r="F3" s="2398"/>
    </row>
    <row r="4" spans="1:7" ht="12.75" customHeight="1" thickBot="1" x14ac:dyDescent="0.25">
      <c r="A4" s="2390" t="s">
        <v>626</v>
      </c>
      <c r="B4" s="2391"/>
      <c r="C4" s="1656"/>
      <c r="D4" s="1656"/>
      <c r="E4" s="1656"/>
      <c r="F4" s="1732">
        <f>SUM(C4+D4)-E4</f>
        <v>0</v>
      </c>
    </row>
    <row r="5" spans="1:7" ht="15.75" customHeight="1" thickTop="1" x14ac:dyDescent="0.2">
      <c r="A5" s="2394" t="s">
        <v>1101</v>
      </c>
      <c r="B5" s="2389"/>
      <c r="C5" s="2383"/>
      <c r="D5" s="2384"/>
      <c r="E5" s="2384"/>
      <c r="F5" s="2385"/>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386" t="s">
        <v>627</v>
      </c>
      <c r="B15" s="2387"/>
      <c r="C15" s="1732">
        <f>SUM(C6:C14)</f>
        <v>0</v>
      </c>
      <c r="D15" s="1732">
        <f>SUM(D6:D14)</f>
        <v>0</v>
      </c>
      <c r="E15" s="1732">
        <f>SUM(E6:E14)</f>
        <v>0</v>
      </c>
      <c r="F15" s="1732">
        <f>SUM(F6:F14)</f>
        <v>0</v>
      </c>
      <c r="G15" s="473"/>
    </row>
    <row r="16" spans="1:7" s="197" customFormat="1" ht="15.75" customHeight="1" thickTop="1" x14ac:dyDescent="0.2">
      <c r="A16" s="2399" t="s">
        <v>1102</v>
      </c>
      <c r="B16" s="2389"/>
      <c r="C16" s="2383"/>
      <c r="D16" s="2384"/>
      <c r="E16" s="2384"/>
      <c r="F16" s="2385"/>
    </row>
    <row r="17" spans="1:11" ht="12.75" customHeight="1" thickBot="1" x14ac:dyDescent="0.25">
      <c r="A17" s="2381" t="s">
        <v>64</v>
      </c>
      <c r="B17" s="2382"/>
      <c r="C17" s="1733"/>
      <c r="D17" s="1664"/>
      <c r="E17" s="1733"/>
      <c r="F17" s="1732">
        <f>SUM(C17+D17)-E17</f>
        <v>0</v>
      </c>
    </row>
    <row r="18" spans="1:11" ht="12.75" customHeight="1" thickTop="1" thickBot="1" x14ac:dyDescent="0.25">
      <c r="A18" s="2381" t="s">
        <v>6</v>
      </c>
      <c r="B18" s="2382"/>
      <c r="C18" s="1733"/>
      <c r="D18" s="1664"/>
      <c r="E18" s="1733"/>
      <c r="F18" s="1732">
        <f>SUM(C18+D18)-E18</f>
        <v>0</v>
      </c>
    </row>
    <row r="19" spans="1:11" ht="12.75" customHeight="1" thickTop="1" thickBot="1" x14ac:dyDescent="0.25">
      <c r="A19" s="2381" t="s">
        <v>385</v>
      </c>
      <c r="B19" s="2382"/>
      <c r="C19" s="1733"/>
      <c r="D19" s="1664"/>
      <c r="E19" s="1733"/>
      <c r="F19" s="1732">
        <f>SUM(C19+D19)-E19</f>
        <v>0</v>
      </c>
    </row>
    <row r="20" spans="1:11" ht="12.75" customHeight="1" thickTop="1" thickBot="1" x14ac:dyDescent="0.25">
      <c r="A20" s="2381" t="s">
        <v>445</v>
      </c>
      <c r="B20" s="2382"/>
      <c r="C20" s="1733"/>
      <c r="D20" s="1664"/>
      <c r="E20" s="1733"/>
      <c r="F20" s="1732">
        <f>SUM(C20+D20)-E20</f>
        <v>0</v>
      </c>
    </row>
    <row r="21" spans="1:11" ht="14.25" thickTop="1" thickBot="1" x14ac:dyDescent="0.25">
      <c r="A21" s="2386" t="s">
        <v>628</v>
      </c>
      <c r="B21" s="2387"/>
      <c r="C21" s="1732">
        <f>SUM(C17:C20)</f>
        <v>0</v>
      </c>
      <c r="D21" s="1732">
        <f>SUM(D17:D20)</f>
        <v>0</v>
      </c>
      <c r="E21" s="1732">
        <f>SUM(E17:E20)</f>
        <v>0</v>
      </c>
      <c r="F21" s="1732">
        <f>SUM(F17:F20)</f>
        <v>0</v>
      </c>
      <c r="G21" s="473"/>
    </row>
    <row r="22" spans="1:11" ht="15.75" customHeight="1" thickTop="1" x14ac:dyDescent="0.2">
      <c r="A22" s="2388" t="s">
        <v>1103</v>
      </c>
      <c r="B22" s="2389"/>
      <c r="C22" s="2383"/>
      <c r="D22" s="2384"/>
      <c r="E22" s="2384"/>
      <c r="F22" s="2385"/>
    </row>
    <row r="23" spans="1:11" ht="13.5" thickBot="1" x14ac:dyDescent="0.25">
      <c r="A23" s="2390" t="s">
        <v>629</v>
      </c>
      <c r="B23" s="2391"/>
      <c r="C23" s="1656"/>
      <c r="D23" s="1656"/>
      <c r="E23" s="1656"/>
      <c r="F23" s="1732">
        <f>SUM(C23+D23)-E23</f>
        <v>0</v>
      </c>
      <c r="G23" s="473"/>
    </row>
    <row r="24" spans="1:11" ht="15.75" customHeight="1" thickTop="1" x14ac:dyDescent="0.2">
      <c r="A24" s="2388" t="s">
        <v>2003</v>
      </c>
      <c r="B24" s="2389"/>
      <c r="C24" s="2383"/>
      <c r="D24" s="2384"/>
      <c r="E24" s="2384"/>
      <c r="F24" s="2385"/>
    </row>
    <row r="25" spans="1:11" ht="13.5" thickBot="1" x14ac:dyDescent="0.25">
      <c r="A25" s="2390" t="s">
        <v>2004</v>
      </c>
      <c r="B25" s="2391"/>
      <c r="C25" s="1656"/>
      <c r="D25" s="1656"/>
      <c r="E25" s="1656"/>
      <c r="F25" s="1732">
        <f>SUM(C25+D25)-E25</f>
        <v>0</v>
      </c>
      <c r="G25" s="473"/>
    </row>
    <row r="26" spans="1:11" ht="15.75" customHeight="1" thickTop="1" x14ac:dyDescent="0.2">
      <c r="A26" s="2394" t="s">
        <v>652</v>
      </c>
      <c r="B26" s="2389"/>
      <c r="C26" s="589"/>
      <c r="D26" s="589"/>
      <c r="E26" s="589"/>
      <c r="F26" s="590"/>
    </row>
    <row r="27" spans="1:11" ht="13.5" thickBot="1" x14ac:dyDescent="0.25">
      <c r="A27" s="2386" t="s">
        <v>1061</v>
      </c>
      <c r="B27" s="2387"/>
      <c r="C27" s="1664"/>
      <c r="D27" s="1664"/>
      <c r="E27" s="1664"/>
      <c r="F27" s="1732">
        <f>SUM(C27+D27)-E27</f>
        <v>0</v>
      </c>
      <c r="G27" s="473"/>
    </row>
    <row r="28" spans="1:11" ht="7.5" customHeight="1" thickTop="1" x14ac:dyDescent="0.2">
      <c r="A28" s="489"/>
    </row>
    <row r="29" spans="1:11" ht="23.25" customHeight="1" x14ac:dyDescent="0.2">
      <c r="A29" s="2392" t="s">
        <v>578</v>
      </c>
      <c r="B29" s="2393"/>
      <c r="C29" s="591"/>
      <c r="D29" s="591"/>
      <c r="E29" s="591"/>
      <c r="F29" s="591"/>
      <c r="G29" s="591"/>
      <c r="H29" s="591"/>
      <c r="I29" s="591"/>
      <c r="J29" s="591"/>
    </row>
    <row r="30" spans="1:11" ht="33.75" x14ac:dyDescent="0.2">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1874</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t="s">
        <v>2157</v>
      </c>
      <c r="B31" s="595">
        <v>42933</v>
      </c>
      <c r="C31" s="1734">
        <v>163904</v>
      </c>
      <c r="D31" s="1735">
        <v>7</v>
      </c>
      <c r="E31" s="1734">
        <v>54602</v>
      </c>
      <c r="F31" s="1734"/>
      <c r="G31" s="1734"/>
      <c r="H31" s="1734">
        <v>54602</v>
      </c>
      <c r="I31" s="1736">
        <f>((E31+F31)-H31)+G31</f>
        <v>0</v>
      </c>
      <c r="J31" s="1734"/>
      <c r="K31" s="596"/>
    </row>
    <row r="32" spans="1:11" ht="12" customHeight="1" x14ac:dyDescent="0.2">
      <c r="A32" s="594" t="s">
        <v>2157</v>
      </c>
      <c r="B32" s="595">
        <v>43313</v>
      </c>
      <c r="C32" s="1734">
        <v>149970</v>
      </c>
      <c r="D32" s="1735">
        <v>7</v>
      </c>
      <c r="E32" s="1734">
        <v>97950</v>
      </c>
      <c r="F32" s="1734"/>
      <c r="G32" s="1734"/>
      <c r="H32" s="1734">
        <v>47785</v>
      </c>
      <c r="I32" s="1736">
        <f>((E32+F32)-H32)+G32</f>
        <v>50165</v>
      </c>
      <c r="J32" s="1734">
        <v>50165</v>
      </c>
      <c r="K32" s="596"/>
    </row>
    <row r="33" spans="1:11" ht="12" customHeight="1" x14ac:dyDescent="0.2">
      <c r="A33" s="594" t="s">
        <v>2157</v>
      </c>
      <c r="B33" s="595">
        <v>43671</v>
      </c>
      <c r="C33" s="1734">
        <v>137943</v>
      </c>
      <c r="D33" s="1735">
        <v>7</v>
      </c>
      <c r="E33" s="1734"/>
      <c r="F33" s="1734"/>
      <c r="G33" s="1734">
        <v>137943</v>
      </c>
      <c r="H33" s="1734">
        <v>37033</v>
      </c>
      <c r="I33" s="1736">
        <f t="shared" ref="I33:I48" si="1">((E33+F33)-H33)+G33</f>
        <v>100910</v>
      </c>
      <c r="J33" s="1734">
        <v>100910</v>
      </c>
      <c r="K33" s="596"/>
    </row>
    <row r="34" spans="1:11" ht="12" customHeight="1" x14ac:dyDescent="0.2">
      <c r="A34" s="594" t="s">
        <v>2158</v>
      </c>
      <c r="B34" s="595">
        <v>42144</v>
      </c>
      <c r="C34" s="1734">
        <v>3000000</v>
      </c>
      <c r="D34" s="1735">
        <v>1</v>
      </c>
      <c r="E34" s="1734">
        <v>662700</v>
      </c>
      <c r="F34" s="1734"/>
      <c r="G34" s="1734"/>
      <c r="H34" s="1734">
        <v>662700</v>
      </c>
      <c r="I34" s="1736">
        <f t="shared" si="1"/>
        <v>0</v>
      </c>
      <c r="J34" s="1734">
        <v>-10889</v>
      </c>
      <c r="K34" s="597"/>
    </row>
    <row r="35" spans="1:11" ht="12" customHeight="1" x14ac:dyDescent="0.2">
      <c r="A35" s="594" t="s">
        <v>2159</v>
      </c>
      <c r="B35" s="595">
        <v>42144</v>
      </c>
      <c r="C35" s="1737">
        <v>1069900</v>
      </c>
      <c r="D35" s="1735">
        <v>1</v>
      </c>
      <c r="E35" s="1737">
        <v>1069900</v>
      </c>
      <c r="F35" s="1737"/>
      <c r="G35" s="1737"/>
      <c r="H35" s="1737">
        <v>187500</v>
      </c>
      <c r="I35" s="1736">
        <f t="shared" si="1"/>
        <v>882400</v>
      </c>
      <c r="J35" s="1737">
        <f>882400-2747</f>
        <v>879653</v>
      </c>
      <c r="K35" s="597"/>
    </row>
    <row r="36" spans="1:11" ht="12" customHeight="1" x14ac:dyDescent="0.2">
      <c r="A36" s="594" t="s">
        <v>2160</v>
      </c>
      <c r="B36" s="595">
        <v>43950</v>
      </c>
      <c r="C36" s="1734">
        <v>4070000</v>
      </c>
      <c r="D36" s="1735">
        <v>8</v>
      </c>
      <c r="E36" s="1734"/>
      <c r="F36" s="1734"/>
      <c r="G36" s="1734">
        <v>4070000</v>
      </c>
      <c r="H36" s="1734"/>
      <c r="I36" s="1736">
        <f t="shared" si="1"/>
        <v>4070000</v>
      </c>
      <c r="J36" s="1734">
        <f>4070000-49655</f>
        <v>4020345</v>
      </c>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8591717</v>
      </c>
      <c r="D49" s="1742"/>
      <c r="E49" s="1736">
        <f t="shared" ref="E49:J49" si="2">SUM(E31:E48)</f>
        <v>1885152</v>
      </c>
      <c r="F49" s="1736">
        <f t="shared" si="2"/>
        <v>0</v>
      </c>
      <c r="G49" s="1736">
        <f t="shared" si="2"/>
        <v>4207943</v>
      </c>
      <c r="H49" s="1736">
        <f t="shared" si="2"/>
        <v>989620</v>
      </c>
      <c r="I49" s="1736">
        <f t="shared" si="2"/>
        <v>5103475</v>
      </c>
      <c r="J49" s="1736">
        <f t="shared" si="2"/>
        <v>5040184</v>
      </c>
      <c r="K49" s="597"/>
    </row>
    <row r="50" spans="1:11" ht="6" customHeight="1" x14ac:dyDescent="0.2">
      <c r="A50" s="600"/>
      <c r="B50" s="596"/>
      <c r="C50" s="596"/>
      <c r="D50" s="596"/>
      <c r="E50" s="596"/>
      <c r="F50" s="596"/>
      <c r="G50" s="596"/>
      <c r="H50" s="596"/>
      <c r="I50" s="596"/>
      <c r="J50" s="600"/>
    </row>
    <row r="51" spans="1:11" x14ac:dyDescent="0.2">
      <c r="A51" s="601" t="s">
        <v>1781</v>
      </c>
      <c r="B51" s="600"/>
      <c r="C51" s="597"/>
      <c r="D51" s="597"/>
      <c r="E51" s="597"/>
      <c r="F51" s="597"/>
      <c r="G51" s="597"/>
      <c r="H51" s="596"/>
      <c r="I51" s="596"/>
      <c r="J51" s="600"/>
    </row>
    <row r="52" spans="1:11" ht="11.25" customHeight="1" x14ac:dyDescent="0.2">
      <c r="A52" s="602" t="s">
        <v>906</v>
      </c>
      <c r="B52" s="2375" t="s">
        <v>580</v>
      </c>
      <c r="C52" s="2376"/>
      <c r="D52" s="2376"/>
      <c r="E52" s="603" t="s">
        <v>840</v>
      </c>
      <c r="F52" s="2377" t="s">
        <v>2161</v>
      </c>
      <c r="G52" s="2378"/>
      <c r="H52" s="596"/>
      <c r="I52" s="596"/>
      <c r="J52" s="600"/>
    </row>
    <row r="53" spans="1:11" ht="11.25" customHeight="1" x14ac:dyDescent="0.2">
      <c r="A53" s="604" t="s">
        <v>907</v>
      </c>
      <c r="B53" s="605" t="s">
        <v>945</v>
      </c>
      <c r="C53" s="600"/>
      <c r="D53" s="597"/>
      <c r="E53" s="603" t="s">
        <v>494</v>
      </c>
      <c r="F53" s="2379" t="s">
        <v>2162</v>
      </c>
      <c r="G53" s="2380"/>
      <c r="H53" s="596"/>
      <c r="I53" s="596"/>
      <c r="J53" s="600"/>
    </row>
    <row r="54" spans="1:11" ht="11.25" customHeight="1" x14ac:dyDescent="0.2">
      <c r="A54" s="606" t="s">
        <v>908</v>
      </c>
      <c r="B54" s="601" t="s">
        <v>946</v>
      </c>
      <c r="C54" s="600"/>
      <c r="D54" s="597"/>
      <c r="E54" s="603" t="s">
        <v>495</v>
      </c>
      <c r="F54" s="2379"/>
      <c r="G54" s="2380"/>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4"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sqref="A1:G1"/>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404" t="s">
        <v>851</v>
      </c>
      <c r="B1" s="2405"/>
      <c r="C1" s="2405"/>
      <c r="D1" s="2405"/>
      <c r="E1" s="2405"/>
      <c r="F1" s="2405"/>
      <c r="G1" s="2406"/>
      <c r="H1" s="1298"/>
      <c r="I1" s="614"/>
      <c r="J1" s="400"/>
    </row>
    <row r="2" spans="1:11" ht="26.25" x14ac:dyDescent="0.2">
      <c r="A2" s="2423" t="s">
        <v>1658</v>
      </c>
      <c r="B2" s="2424"/>
      <c r="C2" s="2424"/>
      <c r="D2" s="2424"/>
      <c r="E2" s="2425"/>
      <c r="F2" s="615" t="s">
        <v>898</v>
      </c>
      <c r="G2" s="616" t="s">
        <v>1655</v>
      </c>
      <c r="H2" s="616" t="s">
        <v>407</v>
      </c>
      <c r="I2" s="616" t="s">
        <v>1148</v>
      </c>
      <c r="J2" s="616" t="s">
        <v>1786</v>
      </c>
      <c r="K2" s="616" t="s">
        <v>137</v>
      </c>
    </row>
    <row r="3" spans="1:11" x14ac:dyDescent="0.2">
      <c r="A3" s="2426" t="str">
        <f>"Cash Basis Fund Balance as of July 1, "&amp;'AFR20'!E2-1</f>
        <v>Cash Basis Fund Balance as of July 1, 2019</v>
      </c>
      <c r="B3" s="2427"/>
      <c r="C3" s="2427"/>
      <c r="D3" s="2427"/>
      <c r="E3" s="2428"/>
      <c r="F3" s="617"/>
      <c r="G3" s="1744"/>
      <c r="H3" s="1744"/>
      <c r="I3" s="1744"/>
      <c r="J3" s="1745">
        <v>311897</v>
      </c>
      <c r="K3" s="1745"/>
    </row>
    <row r="4" spans="1:11" x14ac:dyDescent="0.2">
      <c r="A4" s="2429" t="s">
        <v>366</v>
      </c>
      <c r="B4" s="2430"/>
      <c r="C4" s="2430"/>
      <c r="D4" s="2430"/>
      <c r="E4" s="2376"/>
      <c r="F4" s="620"/>
      <c r="G4" s="1746"/>
      <c r="H4" s="1747"/>
      <c r="I4" s="1746"/>
      <c r="J4" s="1748"/>
      <c r="K4" s="1748"/>
    </row>
    <row r="5" spans="1:11" x14ac:dyDescent="0.2">
      <c r="A5" s="2407" t="s">
        <v>1060</v>
      </c>
      <c r="B5" s="2408"/>
      <c r="C5" s="2408"/>
      <c r="D5" s="2408"/>
      <c r="E5" s="2409"/>
      <c r="F5" s="622" t="s">
        <v>843</v>
      </c>
      <c r="G5" s="1749"/>
      <c r="H5" s="1744">
        <v>89168</v>
      </c>
      <c r="I5" s="1750"/>
      <c r="J5" s="1751"/>
      <c r="K5" s="1751"/>
    </row>
    <row r="6" spans="1:11" x14ac:dyDescent="0.2">
      <c r="A6" s="625" t="s">
        <v>715</v>
      </c>
      <c r="B6" s="626"/>
      <c r="C6" s="626"/>
      <c r="D6" s="626"/>
      <c r="E6" s="627"/>
      <c r="F6" s="628" t="s">
        <v>844</v>
      </c>
      <c r="G6" s="1744"/>
      <c r="H6" s="1744">
        <v>79</v>
      </c>
      <c r="I6" s="1744"/>
      <c r="J6" s="1745"/>
      <c r="K6" s="1745"/>
    </row>
    <row r="7" spans="1:11" x14ac:dyDescent="0.2">
      <c r="A7" s="629" t="s">
        <v>244</v>
      </c>
      <c r="B7" s="630"/>
      <c r="C7" s="630"/>
      <c r="D7" s="630"/>
      <c r="E7" s="631"/>
      <c r="F7" s="622" t="s">
        <v>845</v>
      </c>
      <c r="G7" s="1746"/>
      <c r="H7" s="1746"/>
      <c r="I7" s="1746"/>
      <c r="J7" s="1752"/>
      <c r="K7" s="1745">
        <v>18710</v>
      </c>
    </row>
    <row r="8" spans="1:11" x14ac:dyDescent="0.2">
      <c r="A8" s="629" t="s">
        <v>342</v>
      </c>
      <c r="B8" s="630"/>
      <c r="C8" s="630"/>
      <c r="D8" s="630"/>
      <c r="E8" s="631"/>
      <c r="F8" s="622" t="s">
        <v>846</v>
      </c>
      <c r="G8" s="1753"/>
      <c r="H8" s="1753"/>
      <c r="I8" s="1753"/>
      <c r="J8" s="1745">
        <v>445300</v>
      </c>
      <c r="K8" s="1748"/>
    </row>
    <row r="9" spans="1:11" x14ac:dyDescent="0.2">
      <c r="A9" s="629" t="s">
        <v>137</v>
      </c>
      <c r="B9" s="630"/>
      <c r="C9" s="630"/>
      <c r="D9" s="630"/>
      <c r="E9" s="631"/>
      <c r="F9" s="628" t="s">
        <v>848</v>
      </c>
      <c r="G9" s="1753"/>
      <c r="H9" s="1749"/>
      <c r="I9" s="1749"/>
      <c r="J9" s="1752"/>
      <c r="K9" s="1745">
        <v>13760</v>
      </c>
    </row>
    <row r="10" spans="1:11" x14ac:dyDescent="0.2">
      <c r="A10" s="2407" t="s">
        <v>1787</v>
      </c>
      <c r="B10" s="2408"/>
      <c r="C10" s="2408"/>
      <c r="D10" s="2408"/>
      <c r="E10" s="2410"/>
      <c r="F10" s="633" t="s">
        <v>857</v>
      </c>
      <c r="G10" s="1753"/>
      <c r="H10" s="1754"/>
      <c r="I10" s="1744"/>
      <c r="J10" s="1745">
        <v>5001000</v>
      </c>
      <c r="K10" s="1745"/>
    </row>
    <row r="11" spans="1:11" x14ac:dyDescent="0.2">
      <c r="A11" s="2407" t="s">
        <v>159</v>
      </c>
      <c r="B11" s="2408"/>
      <c r="C11" s="2408"/>
      <c r="D11" s="2408"/>
      <c r="E11" s="2409"/>
      <c r="F11" s="622" t="s">
        <v>847</v>
      </c>
      <c r="G11" s="1749"/>
      <c r="H11" s="1744"/>
      <c r="I11" s="1744"/>
      <c r="J11" s="1745"/>
      <c r="K11" s="1751"/>
    </row>
    <row r="12" spans="1:11" ht="13.5" thickBot="1" x14ac:dyDescent="0.25">
      <c r="A12" s="2434" t="s">
        <v>899</v>
      </c>
      <c r="B12" s="2435"/>
      <c r="C12" s="2435"/>
      <c r="D12" s="2435"/>
      <c r="E12" s="2436"/>
      <c r="F12" s="1433"/>
      <c r="G12" s="1755">
        <f>SUM(G5:G11)</f>
        <v>0</v>
      </c>
      <c r="H12" s="1755">
        <f>SUM(H5:H11)</f>
        <v>89247</v>
      </c>
      <c r="I12" s="1755">
        <f>SUM(I5:I11)</f>
        <v>0</v>
      </c>
      <c r="J12" s="1755">
        <f>SUM(J5:J11)</f>
        <v>5446300</v>
      </c>
      <c r="K12" s="1755">
        <f>SUM(K5:K11)</f>
        <v>32470</v>
      </c>
    </row>
    <row r="13" spans="1:11" ht="13.5" thickTop="1" x14ac:dyDescent="0.2">
      <c r="A13" s="2431" t="s">
        <v>367</v>
      </c>
      <c r="B13" s="2432"/>
      <c r="C13" s="2432"/>
      <c r="D13" s="2432"/>
      <c r="E13" s="2433"/>
      <c r="F13" s="634"/>
      <c r="G13" s="1756"/>
      <c r="H13" s="1757"/>
      <c r="I13" s="1758"/>
      <c r="J13" s="1758"/>
      <c r="K13" s="1758"/>
    </row>
    <row r="14" spans="1:11" x14ac:dyDescent="0.2">
      <c r="A14" s="2414" t="s">
        <v>453</v>
      </c>
      <c r="B14" s="2414"/>
      <c r="C14" s="2414"/>
      <c r="D14" s="2414"/>
      <c r="E14" s="2415"/>
      <c r="F14" s="635" t="s">
        <v>849</v>
      </c>
      <c r="G14" s="1753"/>
      <c r="H14" s="1744">
        <v>89247</v>
      </c>
      <c r="I14" s="1749"/>
      <c r="J14" s="1751"/>
      <c r="K14" s="1745">
        <v>32470</v>
      </c>
    </row>
    <row r="15" spans="1:11" x14ac:dyDescent="0.2">
      <c r="A15" s="2408" t="s">
        <v>4</v>
      </c>
      <c r="B15" s="2408"/>
      <c r="C15" s="2408"/>
      <c r="D15" s="2408"/>
      <c r="E15" s="2409"/>
      <c r="F15" s="635" t="s">
        <v>850</v>
      </c>
      <c r="G15" s="1749"/>
      <c r="H15" s="1744"/>
      <c r="I15" s="1744"/>
      <c r="J15" s="1745">
        <v>3997142</v>
      </c>
      <c r="K15" s="1745"/>
    </row>
    <row r="16" spans="1:11" x14ac:dyDescent="0.2">
      <c r="A16" s="2408" t="s">
        <v>295</v>
      </c>
      <c r="B16" s="2408"/>
      <c r="C16" s="2408"/>
      <c r="D16" s="2408"/>
      <c r="E16" s="2409"/>
      <c r="F16" s="635" t="s">
        <v>917</v>
      </c>
      <c r="G16" s="1750"/>
      <c r="H16" s="1746"/>
      <c r="I16" s="1746"/>
      <c r="J16" s="1748"/>
      <c r="K16" s="1748"/>
    </row>
    <row r="17" spans="1:15" x14ac:dyDescent="0.2">
      <c r="A17" s="2441" t="s">
        <v>929</v>
      </c>
      <c r="B17" s="2441"/>
      <c r="C17" s="2441"/>
      <c r="D17" s="2441"/>
      <c r="E17" s="2442"/>
      <c r="F17" s="636"/>
      <c r="G17" s="1759"/>
      <c r="H17" s="1760"/>
      <c r="I17" s="1760"/>
      <c r="J17" s="1761"/>
      <c r="K17" s="1762"/>
    </row>
    <row r="18" spans="1:15" x14ac:dyDescent="0.2">
      <c r="A18" s="2418" t="s">
        <v>365</v>
      </c>
      <c r="B18" s="2419"/>
      <c r="C18" s="2419"/>
      <c r="D18" s="2419"/>
      <c r="E18" s="2420"/>
      <c r="F18" s="635" t="s">
        <v>926</v>
      </c>
      <c r="G18" s="1753"/>
      <c r="H18" s="1753"/>
      <c r="I18" s="1753"/>
      <c r="J18" s="1745"/>
      <c r="K18" s="1763"/>
    </row>
    <row r="19" spans="1:15" ht="21.75" customHeight="1" x14ac:dyDescent="0.2">
      <c r="A19" s="2416" t="s">
        <v>1783</v>
      </c>
      <c r="B19" s="2416"/>
      <c r="C19" s="2416"/>
      <c r="D19" s="2416"/>
      <c r="E19" s="2417"/>
      <c r="F19" s="635" t="s">
        <v>927</v>
      </c>
      <c r="G19" s="1753"/>
      <c r="H19" s="1753"/>
      <c r="I19" s="1753"/>
      <c r="J19" s="1745"/>
      <c r="K19" s="1763"/>
    </row>
    <row r="20" spans="1:15" x14ac:dyDescent="0.2">
      <c r="A20" s="2418" t="s">
        <v>1788</v>
      </c>
      <c r="B20" s="2419"/>
      <c r="C20" s="2419"/>
      <c r="D20" s="2419"/>
      <c r="E20" s="2420"/>
      <c r="F20" s="635" t="s">
        <v>928</v>
      </c>
      <c r="G20" s="1753"/>
      <c r="H20" s="1753"/>
      <c r="I20" s="1753"/>
      <c r="J20" s="1745"/>
      <c r="K20" s="1763"/>
    </row>
    <row r="21" spans="1:15" ht="13.5" thickBot="1" x14ac:dyDescent="0.25">
      <c r="A21" s="2437" t="s">
        <v>633</v>
      </c>
      <c r="B21" s="2437"/>
      <c r="C21" s="2437"/>
      <c r="D21" s="2437"/>
      <c r="E21" s="2437"/>
      <c r="F21" s="1434"/>
      <c r="G21" s="1760"/>
      <c r="H21" s="1764"/>
      <c r="I21" s="1764"/>
      <c r="J21" s="1765">
        <f>SUM(J18:J20)</f>
        <v>0</v>
      </c>
      <c r="K21" s="1761"/>
    </row>
    <row r="22" spans="1:15" ht="13.5" thickTop="1" x14ac:dyDescent="0.2">
      <c r="A22" s="2408" t="s">
        <v>1789</v>
      </c>
      <c r="B22" s="2408"/>
      <c r="C22" s="2408"/>
      <c r="D22" s="2408"/>
      <c r="E22" s="2409"/>
      <c r="F22" s="635" t="s">
        <v>857</v>
      </c>
      <c r="G22" s="1753"/>
      <c r="H22" s="1744"/>
      <c r="I22" s="1744"/>
      <c r="J22" s="1766"/>
      <c r="K22" s="1745"/>
    </row>
    <row r="23" spans="1:15" ht="13.5" thickBot="1" x14ac:dyDescent="0.25">
      <c r="A23" s="2438" t="s">
        <v>900</v>
      </c>
      <c r="B23" s="2437"/>
      <c r="C23" s="2437"/>
      <c r="D23" s="2437"/>
      <c r="E23" s="2437"/>
      <c r="F23" s="1436"/>
      <c r="G23" s="1755">
        <f>SUM(G14:G16,G21,G22)</f>
        <v>0</v>
      </c>
      <c r="H23" s="1755">
        <f>SUM(H14:H16,H21,H22)</f>
        <v>89247</v>
      </c>
      <c r="I23" s="1755">
        <f>SUM(I14:I16,I21,I22)</f>
        <v>0</v>
      </c>
      <c r="J23" s="1755">
        <f>SUM(J14:J16,J21,J22)</f>
        <v>3997142</v>
      </c>
      <c r="K23" s="1755">
        <f>SUM(K14:K16,K21,K22)</f>
        <v>32470</v>
      </c>
      <c r="M23" s="1846"/>
      <c r="N23" s="1846"/>
      <c r="O23" s="1846"/>
    </row>
    <row r="24" spans="1:15" ht="14.25" thickTop="1" thickBot="1" x14ac:dyDescent="0.25">
      <c r="A24" s="2439" t="str">
        <f>"Ending Cash Basis Fund Balance as of June 30, "&amp;'AFR20'!E2</f>
        <v>Ending Cash Basis Fund Balance as of June 30, 2020</v>
      </c>
      <c r="B24" s="2440"/>
      <c r="C24" s="2440"/>
      <c r="D24" s="2440"/>
      <c r="E24" s="2440"/>
      <c r="F24" s="1437"/>
      <c r="G24" s="1767">
        <f>SUM(G3,G12)-G23</f>
        <v>0</v>
      </c>
      <c r="H24" s="1767">
        <f>SUM(H3,H12)-H23</f>
        <v>0</v>
      </c>
      <c r="I24" s="1767">
        <f>SUM(I3,I12)-I23</f>
        <v>0</v>
      </c>
      <c r="J24" s="1767">
        <f>SUM(J3,J12)-J23</f>
        <v>1761055</v>
      </c>
      <c r="K24" s="1767">
        <f>SUM(K3,K12)-K23</f>
        <v>0</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0</v>
      </c>
      <c r="I26" s="1755">
        <f>I24-I25</f>
        <v>0</v>
      </c>
      <c r="J26" s="1755">
        <f>J24-J25</f>
        <v>1761055</v>
      </c>
      <c r="K26" s="1755">
        <f>K24-K25</f>
        <v>0</v>
      </c>
    </row>
    <row r="27" spans="1:15" ht="5.25" customHeight="1" thickTop="1" x14ac:dyDescent="0.2">
      <c r="I27" s="197"/>
      <c r="J27" s="197"/>
    </row>
    <row r="28" spans="1:15" ht="29.25" customHeight="1" x14ac:dyDescent="0.2">
      <c r="A28" s="1509" t="s">
        <v>1873</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411"/>
      <c r="I31" s="2412"/>
      <c r="J31" s="2412"/>
      <c r="K31" s="2412"/>
    </row>
    <row r="32" spans="1:15" x14ac:dyDescent="0.2">
      <c r="A32" s="649"/>
      <c r="B32" s="232"/>
      <c r="C32" s="232"/>
      <c r="D32" s="232"/>
      <c r="E32" s="645"/>
      <c r="F32" s="651" t="s">
        <v>537</v>
      </c>
      <c r="G32" s="618"/>
      <c r="H32" s="2413"/>
      <c r="I32" s="2412"/>
      <c r="J32" s="2412"/>
      <c r="K32" s="2412"/>
    </row>
    <row r="33" spans="1:11" ht="1.5" customHeight="1" x14ac:dyDescent="0.2">
      <c r="A33" s="652" t="s">
        <v>1159</v>
      </c>
      <c r="B33" s="341"/>
      <c r="C33" s="341"/>
      <c r="D33" s="341"/>
      <c r="E33" s="341"/>
      <c r="F33" s="341"/>
      <c r="G33" s="653"/>
      <c r="H33" s="2413"/>
      <c r="I33" s="2412"/>
      <c r="J33" s="2412"/>
      <c r="K33" s="2412"/>
    </row>
    <row r="34" spans="1:11" x14ac:dyDescent="0.2">
      <c r="A34" s="654" t="s">
        <v>1790</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408" t="s">
        <v>538</v>
      </c>
      <c r="B41" s="2421"/>
      <c r="C41" s="2421"/>
      <c r="D41" s="2421"/>
      <c r="E41" s="2421"/>
      <c r="F41" s="2422"/>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1784</v>
      </c>
      <c r="B46" s="382" t="s">
        <v>1656</v>
      </c>
    </row>
    <row r="47" spans="1:11" s="663" customFormat="1" ht="12.75" customHeight="1" x14ac:dyDescent="0.2">
      <c r="A47" s="661"/>
      <c r="B47" s="662" t="s">
        <v>1657</v>
      </c>
      <c r="E47" s="662"/>
      <c r="K47" s="664"/>
    </row>
    <row r="48" spans="1:11" ht="12.75" customHeight="1" x14ac:dyDescent="0.2">
      <c r="A48" s="1300" t="s">
        <v>1785</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445" t="s">
        <v>1872</v>
      </c>
      <c r="B1" s="2446"/>
      <c r="C1" s="2447"/>
      <c r="D1" s="666"/>
      <c r="E1" s="667"/>
      <c r="F1" s="667"/>
      <c r="G1" s="668"/>
      <c r="H1" s="669"/>
      <c r="I1" s="670"/>
      <c r="J1" s="2443"/>
      <c r="K1" s="2444"/>
      <c r="L1" s="2444"/>
    </row>
    <row r="2" spans="1:14" ht="69.75" customHeight="1" x14ac:dyDescent="0.2">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v>486404</v>
      </c>
      <c r="D5" s="1770"/>
      <c r="E5" s="1770"/>
      <c r="F5" s="1765">
        <f>(C5+D5)-E5</f>
        <v>486404</v>
      </c>
      <c r="G5" s="676"/>
      <c r="H5" s="680"/>
      <c r="I5" s="680"/>
      <c r="J5" s="680"/>
      <c r="K5" s="637"/>
      <c r="L5" s="1442">
        <f>F5-K5</f>
        <v>486404</v>
      </c>
    </row>
    <row r="6" spans="1:14" ht="14.25" thickTop="1" thickBot="1" x14ac:dyDescent="0.25">
      <c r="A6" s="629" t="s">
        <v>1107</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v>18502530</v>
      </c>
      <c r="D8" s="1771">
        <v>1033582</v>
      </c>
      <c r="E8" s="1771"/>
      <c r="F8" s="1765">
        <f>(C8+D8)-E8</f>
        <v>19536112</v>
      </c>
      <c r="G8" s="681">
        <v>50</v>
      </c>
      <c r="H8" s="619">
        <v>9868361</v>
      </c>
      <c r="I8" s="619">
        <v>390722</v>
      </c>
      <c r="J8" s="619"/>
      <c r="K8" s="1442">
        <f>(H8+I8)-J8</f>
        <v>10259083</v>
      </c>
      <c r="L8" s="1442">
        <f>F8-K8</f>
        <v>9277029</v>
      </c>
    </row>
    <row r="9" spans="1:14" ht="14.25" thickTop="1" thickBot="1" x14ac:dyDescent="0.25">
      <c r="A9" s="629" t="s">
        <v>1109</v>
      </c>
      <c r="B9" s="679">
        <v>232</v>
      </c>
      <c r="C9" s="1745"/>
      <c r="D9" s="1745"/>
      <c r="E9" s="1745"/>
      <c r="F9" s="1765">
        <f>(C9+D9)-E9</f>
        <v>0</v>
      </c>
      <c r="G9" s="681">
        <v>20</v>
      </c>
      <c r="H9" s="619"/>
      <c r="I9" s="619"/>
      <c r="J9" s="619"/>
      <c r="K9" s="1442">
        <f>(H9+I9)-J9</f>
        <v>0</v>
      </c>
      <c r="L9" s="1442">
        <f>F9-K9</f>
        <v>0</v>
      </c>
    </row>
    <row r="10" spans="1:14" ht="24" thickTop="1" thickBot="1" x14ac:dyDescent="0.25">
      <c r="A10" s="682" t="s">
        <v>1110</v>
      </c>
      <c r="B10" s="679">
        <v>240</v>
      </c>
      <c r="C10" s="1772">
        <v>4316069</v>
      </c>
      <c r="D10" s="1772">
        <v>97600</v>
      </c>
      <c r="E10" s="1772"/>
      <c r="F10" s="1773">
        <f>(C10+D10)-E10</f>
        <v>4413669</v>
      </c>
      <c r="G10" s="681">
        <v>20</v>
      </c>
      <c r="H10" s="683">
        <v>2226663</v>
      </c>
      <c r="I10" s="683">
        <v>169985</v>
      </c>
      <c r="J10" s="683"/>
      <c r="K10" s="1442">
        <f>(H10+I10)-J10</f>
        <v>2396648</v>
      </c>
      <c r="L10" s="1442">
        <f>F10-K10</f>
        <v>2017021</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v>2672300</v>
      </c>
      <c r="D12" s="1771">
        <v>243838</v>
      </c>
      <c r="E12" s="1771">
        <v>194627</v>
      </c>
      <c r="F12" s="1765">
        <f>(C12+D12)-E12</f>
        <v>2721511</v>
      </c>
      <c r="G12" s="681">
        <v>10</v>
      </c>
      <c r="H12" s="619">
        <v>1637428</v>
      </c>
      <c r="I12" s="619">
        <v>272151</v>
      </c>
      <c r="J12" s="619">
        <v>194627</v>
      </c>
      <c r="K12" s="1442">
        <f>(H12+I12)-J12</f>
        <v>1714952</v>
      </c>
      <c r="L12" s="1442">
        <f>F12-K12</f>
        <v>1006559</v>
      </c>
    </row>
    <row r="13" spans="1:14" ht="14.25" thickTop="1" thickBot="1" x14ac:dyDescent="0.25">
      <c r="A13" s="684" t="s">
        <v>1112</v>
      </c>
      <c r="B13" s="679">
        <v>252</v>
      </c>
      <c r="C13" s="1771">
        <v>1681236</v>
      </c>
      <c r="D13" s="1771">
        <v>140500</v>
      </c>
      <c r="E13" s="1771">
        <v>111000</v>
      </c>
      <c r="F13" s="1765">
        <f>(C13+D13)-E13</f>
        <v>1710736</v>
      </c>
      <c r="G13" s="681">
        <v>5</v>
      </c>
      <c r="H13" s="619">
        <v>1470818</v>
      </c>
      <c r="I13" s="619">
        <v>106511</v>
      </c>
      <c r="J13" s="619">
        <v>111000</v>
      </c>
      <c r="K13" s="1442">
        <f>(H13+I13)-J13</f>
        <v>1466329</v>
      </c>
      <c r="L13" s="1442">
        <f>F13-K13</f>
        <v>244407</v>
      </c>
    </row>
    <row r="14" spans="1:14" ht="14.25" thickTop="1" thickBot="1" x14ac:dyDescent="0.25">
      <c r="A14" s="684" t="s">
        <v>1113</v>
      </c>
      <c r="B14" s="679">
        <v>253</v>
      </c>
      <c r="C14" s="1745">
        <v>23264</v>
      </c>
      <c r="D14" s="1745">
        <v>10450</v>
      </c>
      <c r="E14" s="1745"/>
      <c r="F14" s="1765">
        <f>(C14+D14)-E14</f>
        <v>33714</v>
      </c>
      <c r="G14" s="681">
        <v>3</v>
      </c>
      <c r="H14" s="619">
        <v>10456</v>
      </c>
      <c r="I14" s="619">
        <v>9887</v>
      </c>
      <c r="J14" s="619"/>
      <c r="K14" s="1442">
        <f>(H14+I14)-J14</f>
        <v>20343</v>
      </c>
      <c r="L14" s="1442">
        <f>F14-K14</f>
        <v>13371</v>
      </c>
    </row>
    <row r="15" spans="1:14" ht="15" customHeight="1" thickTop="1" thickBot="1" x14ac:dyDescent="0.25">
      <c r="A15" s="1366" t="s">
        <v>525</v>
      </c>
      <c r="B15" s="1365">
        <v>260</v>
      </c>
      <c r="C15" s="1771"/>
      <c r="D15" s="1771">
        <v>3000000</v>
      </c>
      <c r="E15" s="1771"/>
      <c r="F15" s="1765">
        <f>(C15+D15)-E15</f>
        <v>3000000</v>
      </c>
      <c r="G15" s="685" t="s">
        <v>857</v>
      </c>
      <c r="H15" s="632"/>
      <c r="I15" s="632"/>
      <c r="J15" s="632"/>
      <c r="K15" s="632"/>
      <c r="L15" s="1442">
        <f>F15-K15</f>
        <v>3000000</v>
      </c>
    </row>
    <row r="16" spans="1:14" ht="15" customHeight="1" thickTop="1" thickBot="1" x14ac:dyDescent="0.25">
      <c r="A16" s="1438" t="s">
        <v>638</v>
      </c>
      <c r="B16" s="1439">
        <v>200</v>
      </c>
      <c r="C16" s="1765">
        <f>SUM(C3,C5:C6,C8:C10,C12:C15)</f>
        <v>27681803</v>
      </c>
      <c r="D16" s="1765">
        <f>SUM(D3,D5:D6,D8:D10,D12:D15)</f>
        <v>4525970</v>
      </c>
      <c r="E16" s="1765">
        <f>SUM(E3,E5:E6,E8:E10,E12:E15)</f>
        <v>305627</v>
      </c>
      <c r="F16" s="1765">
        <f>SUM(F3,F5:F6,F8:F10,F12:F15)</f>
        <v>31902146</v>
      </c>
      <c r="G16" s="681"/>
      <c r="H16" s="1435">
        <f>SUM(H3,H6,H8:H10,H12:H14,)</f>
        <v>15213726</v>
      </c>
      <c r="I16" s="1435">
        <f>SUM(I3,I6,I8:I10,I12:I14,)</f>
        <v>949256</v>
      </c>
      <c r="J16" s="1435">
        <f>SUM(J3,J6,J8:J10,J12:J14,)</f>
        <v>305627</v>
      </c>
      <c r="K16" s="1435">
        <f>(H16+I16)-J16</f>
        <v>15857355</v>
      </c>
      <c r="L16" s="1435">
        <f>F16-K16</f>
        <v>16044791</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680</v>
      </c>
      <c r="B18" s="1441"/>
      <c r="C18" s="623"/>
      <c r="D18" s="623"/>
      <c r="E18" s="623"/>
      <c r="F18" s="686"/>
      <c r="G18" s="687"/>
      <c r="H18" s="624"/>
      <c r="I18" s="1435">
        <f>SUM(I16,I17)</f>
        <v>949256</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selection sqref="A1:F1"/>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451" t="str">
        <f>"ESTIMATED OPERATING EXPENSE PER PUPIL (OEPP)/PER CAPITA TUITION CHARGE (PCTC) COMPUTATIONS ("&amp;'AFR20'!E2-1&amp;" - "&amp;'AFR20'!E2&amp;")"</f>
        <v>ESTIMATED OPERATING EXPENSE PER PUPIL (OEPP)/PER CAPITA TUITION CHARGE (PCTC) COMPUTATIONS (2019 - 2020)</v>
      </c>
      <c r="B1" s="2452"/>
      <c r="C1" s="2452"/>
      <c r="D1" s="2452"/>
      <c r="E1" s="2452"/>
      <c r="F1" s="2453"/>
      <c r="G1" s="691"/>
      <c r="I1" s="701"/>
    </row>
    <row r="2" spans="1:9" ht="15" customHeight="1" thickBot="1" x14ac:dyDescent="0.25">
      <c r="A2" s="2454" t="s">
        <v>474</v>
      </c>
      <c r="B2" s="2455"/>
      <c r="C2" s="2455"/>
      <c r="D2" s="2455"/>
      <c r="E2" s="2455"/>
      <c r="F2" s="2456"/>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457"/>
      <c r="B5" s="2458"/>
      <c r="C5" s="2458"/>
      <c r="D5" s="2458"/>
      <c r="E5" s="2458"/>
      <c r="F5" s="2458"/>
    </row>
    <row r="6" spans="1:9" ht="13.5" customHeight="1" thickBot="1" x14ac:dyDescent="0.25">
      <c r="A6" s="2448" t="s">
        <v>1095</v>
      </c>
      <c r="B6" s="2449"/>
      <c r="C6" s="2449"/>
      <c r="D6" s="2449"/>
      <c r="E6" s="2449"/>
      <c r="F6" s="2450"/>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13038338</v>
      </c>
      <c r="G8" s="701"/>
    </row>
    <row r="9" spans="1:9" x14ac:dyDescent="0.2">
      <c r="A9" s="705" t="s">
        <v>457</v>
      </c>
      <c r="B9" s="706" t="s">
        <v>1845</v>
      </c>
      <c r="C9" s="707"/>
      <c r="D9" s="705" t="s">
        <v>498</v>
      </c>
      <c r="E9" s="704"/>
      <c r="F9" s="1775">
        <f>'Expenditures 15-22'!K151</f>
        <v>949848</v>
      </c>
      <c r="G9" s="708"/>
    </row>
    <row r="10" spans="1:9" x14ac:dyDescent="0.2">
      <c r="A10" s="705" t="s">
        <v>496</v>
      </c>
      <c r="B10" s="706" t="s">
        <v>1846</v>
      </c>
      <c r="C10" s="707"/>
      <c r="D10" s="705" t="s">
        <v>498</v>
      </c>
      <c r="E10" s="704"/>
      <c r="F10" s="1775">
        <f>'Expenditures 15-22'!K174</f>
        <v>1039507</v>
      </c>
      <c r="G10" s="708"/>
    </row>
    <row r="11" spans="1:9" x14ac:dyDescent="0.2">
      <c r="A11" s="705" t="s">
        <v>458</v>
      </c>
      <c r="B11" s="706" t="s">
        <v>1847</v>
      </c>
      <c r="C11" s="707"/>
      <c r="D11" s="705" t="s">
        <v>498</v>
      </c>
      <c r="E11" s="704"/>
      <c r="F11" s="1775">
        <f>'Expenditures 15-22'!K210</f>
        <v>652459</v>
      </c>
      <c r="G11" s="708"/>
    </row>
    <row r="12" spans="1:9" x14ac:dyDescent="0.2">
      <c r="A12" s="705" t="s">
        <v>459</v>
      </c>
      <c r="B12" s="706" t="s">
        <v>1848</v>
      </c>
      <c r="C12" s="707"/>
      <c r="D12" s="705" t="s">
        <v>498</v>
      </c>
      <c r="E12" s="704"/>
      <c r="F12" s="1775">
        <f>'Expenditures 15-22'!K295</f>
        <v>453847</v>
      </c>
      <c r="G12" s="708"/>
    </row>
    <row r="13" spans="1:9" x14ac:dyDescent="0.2">
      <c r="A13" s="705" t="s">
        <v>106</v>
      </c>
      <c r="B13" s="706" t="s">
        <v>1849</v>
      </c>
      <c r="C13" s="707"/>
      <c r="D13" s="705" t="s">
        <v>498</v>
      </c>
      <c r="E13" s="704"/>
      <c r="F13" s="1775">
        <f>'Expenditures 15-22'!K342</f>
        <v>448696</v>
      </c>
      <c r="G13" s="709"/>
    </row>
    <row r="14" spans="1:9" ht="12" customHeight="1" thickBot="1" x14ac:dyDescent="0.25">
      <c r="A14" s="1443"/>
      <c r="B14" s="1444"/>
      <c r="C14" s="1445"/>
      <c r="D14" s="1446" t="s">
        <v>498</v>
      </c>
      <c r="E14" s="1447" t="s">
        <v>952</v>
      </c>
      <c r="F14" s="1776">
        <f>SUM(F8:F13)</f>
        <v>16582695</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1972</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1903</v>
      </c>
      <c r="C30" s="716">
        <f>'Revenues 9-14'!B150</f>
        <v>3499</v>
      </c>
      <c r="D30" s="717" t="str">
        <f>'Revenues 9-14'!A150</f>
        <v>Adult Ed - Other (Describe &amp; Itemize)</v>
      </c>
      <c r="E30" s="704"/>
      <c r="F30" s="1783">
        <f>('Revenues 9-14'!D150+'Revenues 9-14'!F150)</f>
        <v>0</v>
      </c>
      <c r="G30" s="701"/>
    </row>
    <row r="31" spans="1:7" x14ac:dyDescent="0.2">
      <c r="A31" s="705" t="s">
        <v>1088</v>
      </c>
      <c r="B31" s="706" t="s">
        <v>1904</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1905</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1906</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0</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130383</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1287</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92523</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2874</v>
      </c>
      <c r="G52" s="701"/>
    </row>
    <row r="53" spans="1:7" x14ac:dyDescent="0.2">
      <c r="A53" s="705" t="s">
        <v>456</v>
      </c>
      <c r="B53" s="705" t="s">
        <v>1458</v>
      </c>
      <c r="C53" s="724">
        <f>'Expenditures 15-22'!B102</f>
        <v>4000</v>
      </c>
      <c r="D53" s="723" t="str">
        <f>'Expenditures 15-22'!A102</f>
        <v>Total Payments to Other Govt Units</v>
      </c>
      <c r="E53" s="704"/>
      <c r="F53" s="1782">
        <f>'Expenditures 15-22'!K102</f>
        <v>859002</v>
      </c>
      <c r="G53" s="701"/>
    </row>
    <row r="54" spans="1:7" x14ac:dyDescent="0.2">
      <c r="A54" s="705" t="s">
        <v>456</v>
      </c>
      <c r="B54" s="705" t="s">
        <v>1459</v>
      </c>
      <c r="C54" s="724" t="s">
        <v>975</v>
      </c>
      <c r="D54" s="720" t="s">
        <v>1086</v>
      </c>
      <c r="E54" s="704"/>
      <c r="F54" s="1782">
        <f>'Expenditures 15-22'!G114</f>
        <v>192185</v>
      </c>
      <c r="G54" s="701"/>
    </row>
    <row r="55" spans="1:7" x14ac:dyDescent="0.2">
      <c r="A55" s="705" t="s">
        <v>456</v>
      </c>
      <c r="B55" s="705" t="s">
        <v>1460</v>
      </c>
      <c r="C55" s="724" t="s">
        <v>975</v>
      </c>
      <c r="D55" s="720" t="s">
        <v>288</v>
      </c>
      <c r="E55" s="704"/>
      <c r="F55" s="1782">
        <f>'Expenditures 15-22'!I114</f>
        <v>0</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1850</v>
      </c>
      <c r="C57" s="724">
        <f>'Expenditures 15-22'!B139</f>
        <v>4000</v>
      </c>
      <c r="D57" s="722" t="str">
        <f>'Expenditures 15-22'!A139</f>
        <v>Total Payments to Other Govt Units</v>
      </c>
      <c r="E57" s="704"/>
      <c r="F57" s="1782">
        <f>'Expenditures 15-22'!K139</f>
        <v>8892</v>
      </c>
      <c r="G57" s="701"/>
    </row>
    <row r="58" spans="1:7" x14ac:dyDescent="0.2">
      <c r="A58" s="705" t="s">
        <v>457</v>
      </c>
      <c r="B58" s="705" t="s">
        <v>1851</v>
      </c>
      <c r="C58" s="721" t="s">
        <v>975</v>
      </c>
      <c r="D58" s="720" t="s">
        <v>1086</v>
      </c>
      <c r="E58" s="704"/>
      <c r="F58" s="1784">
        <f>'Expenditures 15-22'!G151</f>
        <v>247229</v>
      </c>
      <c r="G58" s="701"/>
    </row>
    <row r="59" spans="1:7" x14ac:dyDescent="0.2">
      <c r="A59" s="728" t="s">
        <v>457</v>
      </c>
      <c r="B59" s="692" t="s">
        <v>1852</v>
      </c>
      <c r="C59" s="729" t="s">
        <v>975</v>
      </c>
      <c r="D59" s="692" t="s">
        <v>288</v>
      </c>
      <c r="F59" s="1785">
        <f>'Expenditures 15-22'!I151</f>
        <v>0</v>
      </c>
      <c r="G59" s="701"/>
    </row>
    <row r="60" spans="1:7" x14ac:dyDescent="0.2">
      <c r="A60" s="728" t="s">
        <v>496</v>
      </c>
      <c r="B60" s="692" t="s">
        <v>1853</v>
      </c>
      <c r="C60" s="729">
        <v>4000</v>
      </c>
      <c r="D60" s="692" t="s">
        <v>309</v>
      </c>
      <c r="F60" s="1783">
        <f>'Expenditures 15-22'!K160</f>
        <v>0</v>
      </c>
      <c r="G60" s="701"/>
    </row>
    <row r="61" spans="1:7" x14ac:dyDescent="0.2">
      <c r="A61" s="730" t="s">
        <v>496</v>
      </c>
      <c r="B61" s="730" t="s">
        <v>1854</v>
      </c>
      <c r="C61" s="731" t="str">
        <f>'Expenditures 15-22'!B170</f>
        <v>5300</v>
      </c>
      <c r="D61" s="732" t="s">
        <v>308</v>
      </c>
      <c r="E61" s="715"/>
      <c r="F61" s="1782">
        <f>'Expenditures 15-22'!K170</f>
        <v>989620</v>
      </c>
      <c r="G61" s="701"/>
    </row>
    <row r="62" spans="1:7" x14ac:dyDescent="0.2">
      <c r="A62" s="705" t="s">
        <v>458</v>
      </c>
      <c r="B62" s="705" t="s">
        <v>1855</v>
      </c>
      <c r="C62" s="721">
        <f>'Expenditures 15-22'!B185</f>
        <v>3000</v>
      </c>
      <c r="D62" s="712" t="s">
        <v>446</v>
      </c>
      <c r="E62" s="704"/>
      <c r="F62" s="1782">
        <f>'Expenditures 15-22'!K185-SUM('Expenditures 15-22'!G185,'Expenditures 15-22'!I185)</f>
        <v>0</v>
      </c>
      <c r="G62" s="701"/>
    </row>
    <row r="63" spans="1:7" x14ac:dyDescent="0.2">
      <c r="A63" s="705" t="s">
        <v>458</v>
      </c>
      <c r="B63" s="705" t="s">
        <v>1856</v>
      </c>
      <c r="C63" s="721" t="str">
        <f>'Expenditures 15-22'!B196</f>
        <v>4000</v>
      </c>
      <c r="D63" s="722" t="str">
        <f>'Expenditures 15-22'!A196</f>
        <v>Total Payments to Other Govt Units</v>
      </c>
      <c r="E63" s="704"/>
      <c r="F63" s="1782">
        <f>'Expenditures 15-22'!K196</f>
        <v>0</v>
      </c>
      <c r="G63" s="701"/>
    </row>
    <row r="64" spans="1:7" x14ac:dyDescent="0.2">
      <c r="A64" s="730" t="s">
        <v>458</v>
      </c>
      <c r="B64" s="730" t="s">
        <v>1857</v>
      </c>
      <c r="C64" s="731" t="str">
        <f>'Expenditures 15-22'!B206</f>
        <v>5300</v>
      </c>
      <c r="D64" s="727" t="s">
        <v>308</v>
      </c>
      <c r="E64" s="704"/>
      <c r="F64" s="1782">
        <f>'Expenditures 15-22'!K206</f>
        <v>0</v>
      </c>
      <c r="G64" s="701"/>
    </row>
    <row r="65" spans="1:9" x14ac:dyDescent="0.2">
      <c r="A65" s="705" t="s">
        <v>458</v>
      </c>
      <c r="B65" s="705" t="s">
        <v>1858</v>
      </c>
      <c r="C65" s="721" t="s">
        <v>975</v>
      </c>
      <c r="D65" s="720" t="s">
        <v>1086</v>
      </c>
      <c r="E65" s="704"/>
      <c r="F65" s="1782">
        <f>'Expenditures 15-22'!G210</f>
        <v>141561</v>
      </c>
      <c r="G65" s="701"/>
    </row>
    <row r="66" spans="1:9" x14ac:dyDescent="0.2">
      <c r="A66" s="705" t="s">
        <v>458</v>
      </c>
      <c r="B66" s="705" t="s">
        <v>1859</v>
      </c>
      <c r="C66" s="721" t="s">
        <v>975</v>
      </c>
      <c r="D66" s="720" t="s">
        <v>288</v>
      </c>
      <c r="E66" s="704"/>
      <c r="F66" s="1782">
        <f>'Expenditures 15-22'!I210</f>
        <v>0</v>
      </c>
      <c r="G66" s="701"/>
    </row>
    <row r="67" spans="1:9" x14ac:dyDescent="0.2">
      <c r="A67" s="705" t="s">
        <v>459</v>
      </c>
      <c r="B67" s="705" t="s">
        <v>1860</v>
      </c>
      <c r="C67" s="721" t="str">
        <f>'Expenditures 15-22'!B216</f>
        <v>1125</v>
      </c>
      <c r="D67" s="727" t="str">
        <f>'Expenditures 15-22'!A216</f>
        <v>Pre-K Programs</v>
      </c>
      <c r="E67" s="704"/>
      <c r="F67" s="1782">
        <f>'Expenditures 15-22'!K216</f>
        <v>0</v>
      </c>
      <c r="G67" s="701"/>
    </row>
    <row r="68" spans="1:9" x14ac:dyDescent="0.2">
      <c r="A68" s="705" t="s">
        <v>459</v>
      </c>
      <c r="B68" s="705" t="s">
        <v>1462</v>
      </c>
      <c r="C68" s="721" t="str">
        <f>'Expenditures 15-22'!B218</f>
        <v>1225</v>
      </c>
      <c r="D68" s="727" t="str">
        <f>'Expenditures 15-22'!A218</f>
        <v>Special Education Programs - Pre-K</v>
      </c>
      <c r="E68" s="704"/>
      <c r="F68" s="1782">
        <f>'Expenditures 15-22'!K218</f>
        <v>4468</v>
      </c>
      <c r="G68" s="701"/>
    </row>
    <row r="69" spans="1:9" x14ac:dyDescent="0.2">
      <c r="A69" s="705" t="s">
        <v>459</v>
      </c>
      <c r="B69" s="705" t="s">
        <v>1861</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1862</v>
      </c>
      <c r="C70" s="721">
        <f>'Expenditures 15-22'!B221</f>
        <v>1300</v>
      </c>
      <c r="D70" s="722" t="str">
        <f>'Expenditures 15-22'!A221</f>
        <v>Adult/Continuing Education Programs</v>
      </c>
      <c r="E70" s="704"/>
      <c r="F70" s="1782">
        <f>'Expenditures 15-22'!K221</f>
        <v>0</v>
      </c>
      <c r="G70" s="701"/>
    </row>
    <row r="71" spans="1:9" x14ac:dyDescent="0.2">
      <c r="A71" s="705" t="s">
        <v>459</v>
      </c>
      <c r="B71" s="705" t="s">
        <v>1863</v>
      </c>
      <c r="C71" s="721">
        <f>'Expenditures 15-22'!B224</f>
        <v>1600</v>
      </c>
      <c r="D71" s="722" t="str">
        <f>'Expenditures 15-22'!A224</f>
        <v>Summer School Programs</v>
      </c>
      <c r="E71" s="704"/>
      <c r="F71" s="1782">
        <f>'Expenditures 15-22'!K224</f>
        <v>34</v>
      </c>
      <c r="G71" s="701"/>
    </row>
    <row r="72" spans="1:9" x14ac:dyDescent="0.2">
      <c r="A72" s="705" t="s">
        <v>459</v>
      </c>
      <c r="B72" s="705" t="s">
        <v>1864</v>
      </c>
      <c r="C72" s="721">
        <f>'Expenditures 15-22'!B280</f>
        <v>3000</v>
      </c>
      <c r="D72" s="712" t="s">
        <v>446</v>
      </c>
      <c r="E72" s="704"/>
      <c r="F72" s="1782">
        <f>'Expenditures 15-22'!K280</f>
        <v>15</v>
      </c>
      <c r="G72" s="701"/>
    </row>
    <row r="73" spans="1:9" x14ac:dyDescent="0.2">
      <c r="A73" s="705" t="s">
        <v>459</v>
      </c>
      <c r="B73" s="705" t="s">
        <v>1865</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1866</v>
      </c>
      <c r="C74" s="721" t="s">
        <v>855</v>
      </c>
      <c r="D74" s="722" t="s">
        <v>1470</v>
      </c>
      <c r="E74" s="704"/>
      <c r="F74" s="1786">
        <f>'Expenditures 15-22'!K334</f>
        <v>0</v>
      </c>
      <c r="G74" s="701"/>
    </row>
    <row r="75" spans="1:9" x14ac:dyDescent="0.2">
      <c r="A75" s="705" t="s">
        <v>2005</v>
      </c>
      <c r="B75" s="705" t="s">
        <v>2006</v>
      </c>
      <c r="C75" s="721" t="s">
        <v>975</v>
      </c>
      <c r="D75" s="722" t="s">
        <v>1086</v>
      </c>
      <c r="E75" s="704"/>
      <c r="F75" s="1786">
        <f>'Expenditures 15-22'!G342</f>
        <v>35170</v>
      </c>
      <c r="G75" s="701"/>
    </row>
    <row r="76" spans="1:9" ht="10.5" customHeight="1" x14ac:dyDescent="0.2">
      <c r="A76" s="701" t="s">
        <v>433</v>
      </c>
      <c r="B76" s="705" t="s">
        <v>2007</v>
      </c>
      <c r="C76" s="711" t="s">
        <v>975</v>
      </c>
      <c r="D76" s="701" t="s">
        <v>288</v>
      </c>
      <c r="E76" s="704"/>
      <c r="F76" s="1786">
        <f>'Expenditures 15-22'!I342</f>
        <v>0</v>
      </c>
      <c r="G76" s="703"/>
    </row>
    <row r="77" spans="1:9" ht="12" thickBot="1" x14ac:dyDescent="0.25">
      <c r="A77" s="1443"/>
      <c r="B77" s="1448"/>
      <c r="C77" s="1445"/>
      <c r="D77" s="1449" t="s">
        <v>2008</v>
      </c>
      <c r="E77" s="1447" t="s">
        <v>952</v>
      </c>
      <c r="F77" s="1787">
        <f>SUM(F18:F76)</f>
        <v>2707215</v>
      </c>
      <c r="G77" s="701"/>
    </row>
    <row r="78" spans="1:9" s="728" customFormat="1" ht="12" customHeight="1" thickTop="1" thickBot="1" x14ac:dyDescent="0.25">
      <c r="A78" s="1450"/>
      <c r="B78" s="1448"/>
      <c r="C78" s="1445"/>
      <c r="D78" s="1449" t="s">
        <v>2009</v>
      </c>
      <c r="E78" s="1447"/>
      <c r="F78" s="1788">
        <f>(F14-F77)</f>
        <v>13875480</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1529.3</v>
      </c>
      <c r="G79" s="733"/>
      <c r="H79" s="705"/>
      <c r="I79" s="705"/>
    </row>
    <row r="80" spans="1:9" s="728" customFormat="1" ht="12" customHeight="1" thickBot="1" x14ac:dyDescent="0.25">
      <c r="A80" s="1452"/>
      <c r="B80" s="1448"/>
      <c r="C80" s="1445"/>
      <c r="D80" s="1449" t="s">
        <v>2010</v>
      </c>
      <c r="E80" s="1447" t="s">
        <v>952</v>
      </c>
      <c r="F80" s="1790">
        <f>IF(F79&gt;0,F78/F79," Complete Line 79")</f>
        <v>9073.0922644347083</v>
      </c>
      <c r="G80" s="705"/>
    </row>
    <row r="81" spans="1:7" s="728" customFormat="1" ht="8.25" customHeight="1" thickTop="1" x14ac:dyDescent="0.2">
      <c r="A81" s="734"/>
      <c r="B81" s="705"/>
      <c r="C81" s="707"/>
      <c r="D81" s="735"/>
      <c r="E81" s="704"/>
      <c r="F81" s="1791"/>
      <c r="G81" s="705"/>
    </row>
    <row r="82" spans="1:7" s="728" customFormat="1" ht="12" thickBot="1" x14ac:dyDescent="0.25">
      <c r="A82" s="2448" t="s">
        <v>1096</v>
      </c>
      <c r="B82" s="2449"/>
      <c r="C82" s="2449"/>
      <c r="D82" s="2449"/>
      <c r="E82" s="2449"/>
      <c r="F82" s="2450"/>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60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274270</v>
      </c>
      <c r="G95" s="745"/>
    </row>
    <row r="96" spans="1:7" x14ac:dyDescent="0.2">
      <c r="A96" s="741" t="s">
        <v>139</v>
      </c>
      <c r="B96" s="741" t="s">
        <v>174</v>
      </c>
      <c r="C96" s="743">
        <v>1700</v>
      </c>
      <c r="D96" s="751" t="str">
        <f>'Revenues 9-14'!A82</f>
        <v>Total District/School Activity Income</v>
      </c>
      <c r="E96" s="739"/>
      <c r="F96" s="1793">
        <f>SUM('Revenues 9-14'!C82,'Revenues 9-14'!D82)</f>
        <v>61395</v>
      </c>
      <c r="G96" s="745"/>
    </row>
    <row r="97" spans="1:7" x14ac:dyDescent="0.2">
      <c r="A97" s="741" t="s">
        <v>456</v>
      </c>
      <c r="B97" s="741" t="s">
        <v>175</v>
      </c>
      <c r="C97" s="743">
        <f>'Revenues 9-14'!B84</f>
        <v>1811</v>
      </c>
      <c r="D97" s="744" t="str">
        <f>'Revenues 9-14'!A84</f>
        <v>Rentals - Regular Textbooks</v>
      </c>
      <c r="E97" s="739"/>
      <c r="F97" s="1793">
        <f>'Revenues 9-14'!C84</f>
        <v>118003</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0</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13120</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3">
        <f>('Revenues 9-14'!C106)</f>
        <v>19975</v>
      </c>
      <c r="G105" s="745"/>
    </row>
    <row r="106" spans="1:7" x14ac:dyDescent="0.2">
      <c r="A106" s="741" t="s">
        <v>500</v>
      </c>
      <c r="B106" s="741" t="s">
        <v>1907</v>
      </c>
      <c r="C106" s="746">
        <v>3100</v>
      </c>
      <c r="D106" s="752" t="str">
        <f>'Revenues 9-14'!A132</f>
        <v>Total Special Education</v>
      </c>
      <c r="E106" s="739"/>
      <c r="F106" s="1793">
        <f>SUM('Revenues 9-14'!C132:D132,'Revenues 9-14'!F132)</f>
        <v>187938</v>
      </c>
      <c r="G106" s="745"/>
    </row>
    <row r="107" spans="1:7" x14ac:dyDescent="0.2">
      <c r="A107" s="741" t="s">
        <v>668</v>
      </c>
      <c r="B107" s="741" t="s">
        <v>1908</v>
      </c>
      <c r="C107" s="753">
        <v>3200</v>
      </c>
      <c r="D107" s="744" t="str">
        <f>'Revenues 9-14'!A141</f>
        <v>Total Career and Technical Education</v>
      </c>
      <c r="E107" s="739"/>
      <c r="F107" s="1793">
        <f>SUM('Revenues 9-14'!C141,'Revenues 9-14'!D141,'Revenues 9-14'!G141)</f>
        <v>44070</v>
      </c>
      <c r="G107" s="745"/>
    </row>
    <row r="108" spans="1:7" x14ac:dyDescent="0.2">
      <c r="A108" s="754" t="s">
        <v>659</v>
      </c>
      <c r="B108" s="741" t="s">
        <v>1909</v>
      </c>
      <c r="C108" s="753">
        <v>3300</v>
      </c>
      <c r="D108" s="744" t="str">
        <f>'Revenues 9-14'!A145</f>
        <v>Total Bilingual Ed</v>
      </c>
      <c r="E108" s="739"/>
      <c r="F108" s="1793">
        <f>SUM('Revenues 9-14'!C145,'Revenues 9-14'!G145)</f>
        <v>0</v>
      </c>
      <c r="G108" s="745"/>
    </row>
    <row r="109" spans="1:7" x14ac:dyDescent="0.2">
      <c r="A109" s="741" t="s">
        <v>456</v>
      </c>
      <c r="B109" s="741" t="s">
        <v>1910</v>
      </c>
      <c r="C109" s="753">
        <f>'Revenues 9-14'!B146</f>
        <v>3360</v>
      </c>
      <c r="D109" s="744" t="str">
        <f>'Revenues 9-14'!A146</f>
        <v>State Free Lunch &amp; Breakfast</v>
      </c>
      <c r="E109" s="739"/>
      <c r="F109" s="1793">
        <f>'Revenues 9-14'!C146</f>
        <v>2144</v>
      </c>
      <c r="G109" s="745"/>
    </row>
    <row r="110" spans="1:7" x14ac:dyDescent="0.2">
      <c r="A110" s="741" t="s">
        <v>668</v>
      </c>
      <c r="B110" s="741" t="s">
        <v>1911</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1912</v>
      </c>
      <c r="C111" s="753">
        <f>'Revenues 9-14'!B148</f>
        <v>3370</v>
      </c>
      <c r="D111" s="744" t="str">
        <f>'Revenues 9-14'!A148</f>
        <v>Driver Education</v>
      </c>
      <c r="E111" s="739"/>
      <c r="F111" s="1793">
        <f>SUM('Revenues 9-14'!C148,'Revenues 9-14'!D148)</f>
        <v>13760</v>
      </c>
      <c r="G111" s="745"/>
    </row>
    <row r="112" spans="1:7" x14ac:dyDescent="0.2">
      <c r="A112" s="741" t="s">
        <v>663</v>
      </c>
      <c r="B112" s="741" t="s">
        <v>1913</v>
      </c>
      <c r="C112" s="755">
        <v>3500</v>
      </c>
      <c r="D112" s="744" t="str">
        <f>'Revenues 9-14'!A155</f>
        <v>Total Transportation</v>
      </c>
      <c r="E112" s="739"/>
      <c r="F112" s="1793">
        <f>SUM('Revenues 9-14'!C155,'Revenues 9-14'!D155,'Revenues 9-14'!F155,'Revenues 9-14'!G155)</f>
        <v>286173</v>
      </c>
      <c r="G112" s="745"/>
    </row>
    <row r="113" spans="1:7" x14ac:dyDescent="0.2">
      <c r="A113" s="741" t="s">
        <v>456</v>
      </c>
      <c r="B113" s="741" t="s">
        <v>1914</v>
      </c>
      <c r="C113" s="753">
        <f>'Revenues 9-14'!B156</f>
        <v>3610</v>
      </c>
      <c r="D113" s="744" t="str">
        <f>'Revenues 9-14'!A156</f>
        <v>Learning Improvement - Change Grants</v>
      </c>
      <c r="E113" s="739"/>
      <c r="F113" s="1793">
        <f>'Revenues 9-14'!C156</f>
        <v>0</v>
      </c>
      <c r="G113" s="745"/>
    </row>
    <row r="114" spans="1:7" x14ac:dyDescent="0.2">
      <c r="A114" s="741" t="s">
        <v>663</v>
      </c>
      <c r="B114" s="741" t="s">
        <v>1915</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1916</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1917</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1918</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1919</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1920</v>
      </c>
      <c r="C119" s="757">
        <f>'Revenues 9-14'!B163</f>
        <v>3780</v>
      </c>
      <c r="D119" s="758" t="str">
        <f>'Revenues 9-14'!A163</f>
        <v>Technology - Technology for Success</v>
      </c>
      <c r="E119" s="739"/>
      <c r="F119" s="1792">
        <f>SUM('Revenues 9-14'!C163:G163)</f>
        <v>0</v>
      </c>
      <c r="G119" s="745"/>
    </row>
    <row r="120" spans="1:7" x14ac:dyDescent="0.2">
      <c r="A120" s="756" t="s">
        <v>501</v>
      </c>
      <c r="B120" s="756" t="s">
        <v>1921</v>
      </c>
      <c r="C120" s="757">
        <f>'Revenues 9-14'!B164</f>
        <v>3815</v>
      </c>
      <c r="D120" s="758" t="str">
        <f>'Revenues 9-14'!A164</f>
        <v>State Charter Schools</v>
      </c>
      <c r="E120" s="739"/>
      <c r="F120" s="1792">
        <f>SUM('Revenues 9-14'!C164,'Revenues 9-14'!F164)</f>
        <v>0</v>
      </c>
      <c r="G120" s="745"/>
    </row>
    <row r="121" spans="1:7" x14ac:dyDescent="0.2">
      <c r="A121" s="760" t="s">
        <v>457</v>
      </c>
      <c r="B121" s="760" t="s">
        <v>1922</v>
      </c>
      <c r="C121" s="761">
        <f>'Revenues 9-14'!B167</f>
        <v>3925</v>
      </c>
      <c r="D121" s="762" t="str">
        <f>'Revenues 9-14'!A167</f>
        <v>School Infrastructure - Maintenance Projects</v>
      </c>
      <c r="E121" s="739"/>
      <c r="F121" s="1793">
        <f>'Revenues 9-14'!D167</f>
        <v>50000</v>
      </c>
      <c r="G121" s="763"/>
    </row>
    <row r="122" spans="1:7" x14ac:dyDescent="0.2">
      <c r="A122" s="760" t="s">
        <v>497</v>
      </c>
      <c r="B122" s="760" t="s">
        <v>1923</v>
      </c>
      <c r="C122" s="761">
        <f>'Revenues 9-14'!B168</f>
        <v>3999</v>
      </c>
      <c r="D122" s="762" t="s">
        <v>540</v>
      </c>
      <c r="E122" s="764"/>
      <c r="F122" s="1793">
        <f>SUM('Revenues 9-14'!C168:G168,'Revenues 9-14'!J168)</f>
        <v>1885</v>
      </c>
      <c r="G122" s="763"/>
    </row>
    <row r="123" spans="1:7" x14ac:dyDescent="0.2">
      <c r="A123" s="760" t="s">
        <v>456</v>
      </c>
      <c r="B123" s="760" t="s">
        <v>1924</v>
      </c>
      <c r="C123" s="765">
        <f>'Revenues 9-14'!B177</f>
        <v>4045</v>
      </c>
      <c r="D123" s="762" t="str">
        <f>'Revenues 9-14'!A177 &amp; " (Subtract)"</f>
        <v>Head Start (Subtract)</v>
      </c>
      <c r="E123" s="739"/>
      <c r="F123" s="1793">
        <f>SUM(-'Revenues 9-14'!C177)</f>
        <v>0</v>
      </c>
      <c r="G123" s="763"/>
    </row>
    <row r="124" spans="1:7" x14ac:dyDescent="0.2">
      <c r="A124" s="760" t="s">
        <v>663</v>
      </c>
      <c r="B124" s="760" t="s">
        <v>1925</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1926</v>
      </c>
      <c r="C125" s="765">
        <v>4100</v>
      </c>
      <c r="D125" s="766" t="str">
        <f>'Revenues 9-14'!A188</f>
        <v>Total Title V</v>
      </c>
      <c r="E125" s="739"/>
      <c r="F125" s="1793">
        <f>SUM('Revenues 9-14'!C188,'Revenues 9-14'!D188,'Revenues 9-14'!F188,'Revenues 9-14'!G188)</f>
        <v>0</v>
      </c>
      <c r="G125" s="763"/>
    </row>
    <row r="126" spans="1:7" x14ac:dyDescent="0.2">
      <c r="A126" s="760" t="s">
        <v>659</v>
      </c>
      <c r="B126" s="760" t="s">
        <v>1927</v>
      </c>
      <c r="C126" s="765">
        <v>4200</v>
      </c>
      <c r="D126" s="762" t="str">
        <f>'Revenues 9-14'!A198</f>
        <v>Total Food Service</v>
      </c>
      <c r="E126" s="739"/>
      <c r="F126" s="1793">
        <f>SUM('Revenues 9-14'!C198,'Revenues 9-14'!G198)</f>
        <v>183467</v>
      </c>
      <c r="G126" s="763"/>
    </row>
    <row r="127" spans="1:7" x14ac:dyDescent="0.2">
      <c r="A127" s="760" t="s">
        <v>663</v>
      </c>
      <c r="B127" s="760" t="s">
        <v>1928</v>
      </c>
      <c r="C127" s="765">
        <v>4300</v>
      </c>
      <c r="D127" s="766" t="str">
        <f>'Revenues 9-14'!A204</f>
        <v>Total Title I</v>
      </c>
      <c r="E127" s="739"/>
      <c r="F127" s="1793">
        <f>SUM('Revenues 9-14'!C204,'Revenues 9-14'!D204,'Revenues 9-14'!F204,'Revenues 9-14'!G204)</f>
        <v>148815</v>
      </c>
      <c r="G127" s="763"/>
    </row>
    <row r="128" spans="1:7" x14ac:dyDescent="0.2">
      <c r="A128" s="760" t="s">
        <v>663</v>
      </c>
      <c r="B128" s="760" t="s">
        <v>1929</v>
      </c>
      <c r="C128" s="765">
        <v>4400</v>
      </c>
      <c r="D128" s="766" t="str">
        <f>'Revenues 9-14'!A209</f>
        <v>Total Title IV</v>
      </c>
      <c r="E128" s="739"/>
      <c r="F128" s="1793">
        <f>SUM('Revenues 9-14'!C209,'Revenues 9-14'!D209,'Revenues 9-14'!F209,'Revenues 9-14'!G209)</f>
        <v>0</v>
      </c>
      <c r="G128" s="763"/>
    </row>
    <row r="129" spans="1:7" x14ac:dyDescent="0.2">
      <c r="A129" s="760" t="s">
        <v>663</v>
      </c>
      <c r="B129" s="760" t="s">
        <v>1930</v>
      </c>
      <c r="C129" s="765">
        <f>'Revenues 9-14'!B213</f>
        <v>4620</v>
      </c>
      <c r="D129" s="766" t="str">
        <f>'Revenues 9-14'!A213</f>
        <v>Fed - Spec Education - IDEA - Flow Through</v>
      </c>
      <c r="E129" s="739"/>
      <c r="F129" s="1793">
        <f>SUM('Revenues 9-14'!C213:D213,'Revenues 9-14'!F213:G213)</f>
        <v>358673</v>
      </c>
      <c r="G129" s="763"/>
    </row>
    <row r="130" spans="1:7" x14ac:dyDescent="0.2">
      <c r="A130" s="760" t="s">
        <v>663</v>
      </c>
      <c r="B130" s="760" t="s">
        <v>1931</v>
      </c>
      <c r="C130" s="765">
        <f>'Revenues 9-14'!B214</f>
        <v>4625</v>
      </c>
      <c r="D130" s="766" t="str">
        <f>'Revenues 9-14'!A214</f>
        <v>Fed - Spec Education - IDEA - Room &amp; Board</v>
      </c>
      <c r="E130" s="739"/>
      <c r="F130" s="1793">
        <f>SUM('Revenues 9-14'!C214,'Revenues 9-14'!D214,'Revenues 9-14'!F214,'Revenues 9-14'!G214)</f>
        <v>0</v>
      </c>
      <c r="G130" s="763"/>
    </row>
    <row r="131" spans="1:7" x14ac:dyDescent="0.2">
      <c r="A131" s="760" t="s">
        <v>663</v>
      </c>
      <c r="B131" s="760" t="s">
        <v>1932</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1933</v>
      </c>
      <c r="C133" s="765">
        <v>4700</v>
      </c>
      <c r="D133" s="762" t="str">
        <f>'Revenues 9-14'!A221</f>
        <v>Total CTE - Perkins</v>
      </c>
      <c r="E133" s="739"/>
      <c r="F133" s="1793">
        <f>SUM('Revenues 9-14'!C221,'Revenues 9-14'!D221,'Revenues 9-14'!G221)</f>
        <v>0</v>
      </c>
      <c r="G133" s="763">
        <v>6303</v>
      </c>
    </row>
    <row r="134" spans="1:7" s="703" customFormat="1" hidden="1" x14ac:dyDescent="0.2">
      <c r="A134" s="767" t="s">
        <v>204</v>
      </c>
      <c r="B134" s="767" t="s">
        <v>1934</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1935</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1936</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1937</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1938</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1939</v>
      </c>
      <c r="C139" s="768" t="s">
        <v>210</v>
      </c>
      <c r="D139" s="769" t="str">
        <f>'Revenues 9-14'!A229</f>
        <v>ARRA - IDEA - Part B - Preschool</v>
      </c>
      <c r="E139" s="770"/>
      <c r="F139" s="1793">
        <v>0</v>
      </c>
      <c r="G139" s="738"/>
    </row>
    <row r="140" spans="1:7" s="703" customFormat="1" hidden="1" x14ac:dyDescent="0.2">
      <c r="A140" s="767" t="s">
        <v>204</v>
      </c>
      <c r="B140" s="767" t="s">
        <v>1940</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1941</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1942</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1943</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1944</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1945</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1946</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1947</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1948</v>
      </c>
      <c r="C158" s="773" t="s">
        <v>836</v>
      </c>
      <c r="D158" s="774" t="s">
        <v>772</v>
      </c>
      <c r="E158" s="775"/>
      <c r="F158" s="1793">
        <f>SUM(F134:F157)</f>
        <v>0</v>
      </c>
      <c r="G158" s="738"/>
    </row>
    <row r="159" spans="1:7" s="703" customFormat="1" x14ac:dyDescent="0.2">
      <c r="A159" s="771" t="s">
        <v>456</v>
      </c>
      <c r="B159" s="772" t="s">
        <v>1949</v>
      </c>
      <c r="C159" s="773" t="s">
        <v>1410</v>
      </c>
      <c r="D159" s="774" t="s">
        <v>1411</v>
      </c>
      <c r="E159" s="775"/>
      <c r="F159" s="1793">
        <f>SUM('Revenues 9-14'!C253)</f>
        <v>0</v>
      </c>
      <c r="G159" s="738"/>
    </row>
    <row r="160" spans="1:7" s="703" customFormat="1" x14ac:dyDescent="0.2">
      <c r="A160" s="771" t="s">
        <v>497</v>
      </c>
      <c r="B160" s="772" t="s">
        <v>1950</v>
      </c>
      <c r="C160" s="773" t="s">
        <v>1449</v>
      </c>
      <c r="D160" s="774" t="s">
        <v>1450</v>
      </c>
      <c r="E160" s="775"/>
      <c r="F160" s="1793">
        <f>SUM('Revenues 9-14'!C254:H254,'Revenues 9-14'!J254:K254)</f>
        <v>0</v>
      </c>
      <c r="G160" s="738"/>
    </row>
    <row r="161" spans="1:7" x14ac:dyDescent="0.2">
      <c r="A161" s="760" t="s">
        <v>5</v>
      </c>
      <c r="B161" s="760" t="s">
        <v>1951</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1952</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1953</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1954</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1955</v>
      </c>
      <c r="C165" s="765">
        <f>'Revenues 9-14'!B259</f>
        <v>4932</v>
      </c>
      <c r="D165" s="766" t="str">
        <f>'Revenues 9-14'!A259</f>
        <v>Title II - Teacher Quality</v>
      </c>
      <c r="E165" s="739"/>
      <c r="F165" s="1792">
        <f>SUM('Revenues 9-14'!C259,'Revenues 9-14'!D259,'Revenues 9-14'!F259,'Revenues 9-14'!G259)</f>
        <v>42840</v>
      </c>
      <c r="G165" s="763"/>
    </row>
    <row r="166" spans="1:7" x14ac:dyDescent="0.2">
      <c r="A166" s="760" t="s">
        <v>663</v>
      </c>
      <c r="B166" s="760" t="s">
        <v>1956</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1901</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1902</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1957</v>
      </c>
      <c r="C169" s="765">
        <f>'Revenues 9-14'!B263</f>
        <v>4991</v>
      </c>
      <c r="D169" s="766" t="str">
        <f>'Revenues 9-14'!A263</f>
        <v>Medicaid Matching Funds - Administrative Outreach</v>
      </c>
      <c r="E169" s="739"/>
      <c r="F169" s="1793">
        <f>SUM('Revenues 9-14'!C263:D263,'Revenues 9-14'!F263:G263)</f>
        <v>16175</v>
      </c>
      <c r="G169" s="780">
        <v>6320</v>
      </c>
    </row>
    <row r="170" spans="1:7" x14ac:dyDescent="0.2">
      <c r="A170" s="760" t="s">
        <v>663</v>
      </c>
      <c r="B170" s="760" t="s">
        <v>1958</v>
      </c>
      <c r="C170" s="765">
        <f>'Revenues 9-14'!B264</f>
        <v>4992</v>
      </c>
      <c r="D170" s="766" t="str">
        <f>'Revenues 9-14'!A264</f>
        <v>Medicaid Matching Funds - Fee-for-Service Program</v>
      </c>
      <c r="E170" s="739"/>
      <c r="F170" s="1793">
        <f>SUM('Revenues 9-14'!C264:D264,'Revenues 9-14'!F264:G264)</f>
        <v>12463</v>
      </c>
      <c r="G170" s="780"/>
    </row>
    <row r="171" spans="1:7" x14ac:dyDescent="0.2">
      <c r="A171" s="781" t="s">
        <v>663</v>
      </c>
      <c r="B171" s="777" t="s">
        <v>1959</v>
      </c>
      <c r="C171" s="778">
        <f>'Revenues 9-14'!B265</f>
        <v>4998</v>
      </c>
      <c r="D171" s="779" t="str">
        <f>'Revenues 9-14'!A265</f>
        <v>Other Restricted Revenue from Federal Sources (Describe &amp; Itemize)</v>
      </c>
      <c r="E171" s="739"/>
      <c r="F171" s="1793">
        <f>SUM('Revenues 9-14'!C265:D265,'Revenues 9-14'!F265:G265)</f>
        <v>0</v>
      </c>
      <c r="G171" s="760"/>
    </row>
    <row r="172" spans="1:7" x14ac:dyDescent="0.2">
      <c r="A172" s="1529" t="s">
        <v>5</v>
      </c>
      <c r="B172" s="1530" t="s">
        <v>1882</v>
      </c>
      <c r="C172" s="1531">
        <v>3100</v>
      </c>
      <c r="D172" s="1532" t="s">
        <v>1884</v>
      </c>
      <c r="E172" s="739"/>
      <c r="F172" s="1794">
        <v>417545</v>
      </c>
      <c r="G172" s="760"/>
    </row>
    <row r="173" spans="1:7" x14ac:dyDescent="0.2">
      <c r="A173" s="1529" t="s">
        <v>659</v>
      </c>
      <c r="B173" s="1530" t="s">
        <v>1882</v>
      </c>
      <c r="C173" s="1531">
        <v>3300</v>
      </c>
      <c r="D173" s="1532" t="s">
        <v>1885</v>
      </c>
      <c r="E173" s="739"/>
      <c r="F173" s="1794">
        <v>65</v>
      </c>
      <c r="G173" s="760"/>
    </row>
    <row r="174" spans="1:7" ht="6" customHeight="1" x14ac:dyDescent="0.2">
      <c r="A174" s="760"/>
      <c r="B174" s="760"/>
      <c r="C174" s="782"/>
      <c r="D174" s="760"/>
      <c r="E174" s="739"/>
      <c r="F174" s="1795"/>
      <c r="G174" s="780"/>
    </row>
    <row r="175" spans="1:7" x14ac:dyDescent="0.2">
      <c r="A175" s="1443"/>
      <c r="B175" s="1453"/>
      <c r="C175" s="1454"/>
      <c r="D175" s="1455" t="s">
        <v>2013</v>
      </c>
      <c r="E175" s="1456" t="s">
        <v>952</v>
      </c>
      <c r="F175" s="1796">
        <f>SUM(F85:F133,F158:F173)</f>
        <v>2252836</v>
      </c>
    </row>
    <row r="176" spans="1:7" ht="12" customHeight="1" x14ac:dyDescent="0.2">
      <c r="A176" s="1443"/>
      <c r="B176" s="1453"/>
      <c r="C176" s="1454"/>
      <c r="D176" s="1455" t="s">
        <v>2011</v>
      </c>
      <c r="E176" s="1456"/>
      <c r="F176" s="1793">
        <f>'PCTC-OEPP 27-28'!F78-F175</f>
        <v>11622644</v>
      </c>
    </row>
    <row r="177" spans="1:9" ht="12" customHeight="1" x14ac:dyDescent="0.2">
      <c r="A177" s="1443"/>
      <c r="B177" s="1453"/>
      <c r="C177" s="1454"/>
      <c r="D177" s="1455" t="s">
        <v>1791</v>
      </c>
      <c r="E177" s="1456"/>
      <c r="F177" s="1793">
        <f>'Cap Outlay Deprec 26'!I18</f>
        <v>949256</v>
      </c>
    </row>
    <row r="178" spans="1:9" ht="12" customHeight="1" x14ac:dyDescent="0.2">
      <c r="A178" s="1443"/>
      <c r="B178" s="1453"/>
      <c r="C178" s="1454"/>
      <c r="D178" s="1455" t="s">
        <v>2012</v>
      </c>
      <c r="E178" s="1456"/>
      <c r="F178" s="1793">
        <f>F176+F177</f>
        <v>12571900</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1529.3</v>
      </c>
      <c r="G179" s="763"/>
      <c r="I179" s="701"/>
    </row>
    <row r="180" spans="1:9" ht="12" customHeight="1" thickBot="1" x14ac:dyDescent="0.25">
      <c r="A180" s="1443"/>
      <c r="B180" s="1457"/>
      <c r="C180" s="1454"/>
      <c r="D180" s="1455" t="s">
        <v>2014</v>
      </c>
      <c r="E180" s="1456" t="s">
        <v>1528</v>
      </c>
      <c r="F180" s="1798">
        <f>F178/F179</f>
        <v>8220.6892042110776</v>
      </c>
      <c r="G180" s="692">
        <v>6323</v>
      </c>
    </row>
    <row r="181" spans="1:9" ht="12" thickTop="1" x14ac:dyDescent="0.2">
      <c r="B181" s="763"/>
      <c r="C181" s="782"/>
      <c r="D181" s="763"/>
      <c r="E181" s="782"/>
      <c r="F181" s="763"/>
      <c r="G181" s="783">
        <v>6326</v>
      </c>
    </row>
    <row r="182" spans="1:9" ht="12.2" customHeight="1" x14ac:dyDescent="0.2">
      <c r="A182" s="763" t="s">
        <v>1883</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1887</v>
      </c>
      <c r="B186" s="1536" t="s">
        <v>1886</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3"/>
  <sheetViews>
    <sheetView showGridLines="0" zoomScaleNormal="100" workbookViewId="0"/>
  </sheetViews>
  <sheetFormatPr defaultColWidth="9.140625"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1804</v>
      </c>
      <c r="B1" s="1860"/>
      <c r="C1" s="1861"/>
      <c r="D1" s="1861"/>
      <c r="E1" s="1861"/>
      <c r="F1" s="1861"/>
    </row>
    <row r="2" spans="1:6" x14ac:dyDescent="0.25">
      <c r="A2" s="1863"/>
      <c r="B2" s="1864"/>
      <c r="C2" s="1913" t="s">
        <v>2000</v>
      </c>
      <c r="D2" s="1863"/>
      <c r="E2" s="1863"/>
      <c r="F2" s="1863"/>
    </row>
    <row r="3" spans="1:6" ht="5.25" customHeight="1" x14ac:dyDescent="0.25">
      <c r="A3" s="1865"/>
      <c r="B3" s="1866"/>
      <c r="C3" s="1865"/>
      <c r="D3" s="1865"/>
      <c r="E3" s="1865"/>
      <c r="F3" s="1865"/>
    </row>
    <row r="4" spans="1:6" ht="18.75" customHeight="1" x14ac:dyDescent="0.25">
      <c r="A4" s="2462" t="s">
        <v>1792</v>
      </c>
      <c r="B4" s="2463"/>
      <c r="C4" s="2463"/>
      <c r="D4" s="2463"/>
      <c r="E4" s="2463"/>
      <c r="F4" s="2464"/>
    </row>
    <row r="5" spans="1:6" x14ac:dyDescent="0.25">
      <c r="A5" s="2465"/>
      <c r="B5" s="2466"/>
      <c r="C5" s="2466"/>
      <c r="D5" s="2466"/>
      <c r="E5" s="2466"/>
      <c r="F5" s="2467"/>
    </row>
    <row r="6" spans="1:6" ht="18.75" x14ac:dyDescent="0.25">
      <c r="A6" s="1867" t="s">
        <v>1793</v>
      </c>
      <c r="B6" s="1868"/>
      <c r="C6" s="1869"/>
      <c r="D6" s="1869"/>
      <c r="E6" s="1869"/>
      <c r="F6" s="1870"/>
    </row>
    <row r="7" spans="1:6" ht="47.25" customHeight="1" x14ac:dyDescent="0.25">
      <c r="A7" s="2468" t="s">
        <v>1982</v>
      </c>
      <c r="B7" s="2469"/>
      <c r="C7" s="2469"/>
      <c r="D7" s="2469"/>
      <c r="E7" s="2469"/>
      <c r="F7" s="2470"/>
    </row>
    <row r="8" spans="1:6" ht="20.25" customHeight="1" x14ac:dyDescent="0.25">
      <c r="A8" s="1902" t="s">
        <v>1984</v>
      </c>
      <c r="B8" s="1903"/>
      <c r="C8" s="1903"/>
      <c r="D8" s="1903"/>
      <c r="E8" s="1871"/>
      <c r="F8" s="1872"/>
    </row>
    <row r="9" spans="1:6" ht="18" customHeight="1" x14ac:dyDescent="0.25">
      <c r="A9" s="1873" t="s">
        <v>1981</v>
      </c>
      <c r="B9" s="1875"/>
      <c r="C9" s="1875"/>
      <c r="D9" s="1875"/>
      <c r="E9" s="1871"/>
      <c r="F9" s="1872"/>
    </row>
    <row r="10" spans="1:6" ht="15.75" customHeight="1" x14ac:dyDescent="0.25">
      <c r="A10" s="2471" t="s">
        <v>1978</v>
      </c>
      <c r="B10" s="2472"/>
      <c r="C10" s="2472"/>
      <c r="D10" s="2472"/>
      <c r="E10" s="2472"/>
      <c r="F10" s="2473"/>
    </row>
    <row r="11" spans="1:6" ht="33" customHeight="1" x14ac:dyDescent="0.25">
      <c r="A11" s="2468" t="s">
        <v>1983</v>
      </c>
      <c r="B11" s="2469"/>
      <c r="C11" s="2469"/>
      <c r="D11" s="2469"/>
      <c r="E11" s="2469"/>
      <c r="F11" s="2470"/>
    </row>
    <row r="12" spans="1:6" ht="15" customHeight="1" x14ac:dyDescent="0.25">
      <c r="A12" s="1873" t="s">
        <v>1979</v>
      </c>
      <c r="B12" s="1874"/>
      <c r="C12" s="1875"/>
      <c r="D12" s="1875"/>
      <c r="E12" s="1875"/>
      <c r="F12" s="1876"/>
    </row>
    <row r="13" spans="1:6" ht="17.25" customHeight="1" x14ac:dyDescent="0.25">
      <c r="A13" s="2468" t="s">
        <v>1980</v>
      </c>
      <c r="B13" s="2469"/>
      <c r="C13" s="2469"/>
      <c r="D13" s="2469"/>
      <c r="E13" s="2469"/>
      <c r="F13" s="2470"/>
    </row>
    <row r="14" spans="1:6" ht="15" customHeight="1" x14ac:dyDescent="0.25">
      <c r="A14" s="1873" t="s">
        <v>1797</v>
      </c>
      <c r="B14" s="1874"/>
      <c r="C14" s="1875"/>
      <c r="D14" s="1875"/>
      <c r="E14" s="1875"/>
      <c r="F14" s="1876"/>
    </row>
    <row r="15" spans="1:6" ht="32.25" customHeight="1" x14ac:dyDescent="0.25">
      <c r="A15" s="2459"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60"/>
      <c r="C15" s="2460"/>
      <c r="D15" s="2460"/>
      <c r="E15" s="2460"/>
      <c r="F15" s="2461"/>
    </row>
    <row r="16" spans="1:6" ht="61.5" customHeight="1" x14ac:dyDescent="0.25">
      <c r="A16" s="1877" t="s">
        <v>1798</v>
      </c>
      <c r="B16" s="1878" t="s">
        <v>1799</v>
      </c>
      <c r="C16" s="1877" t="s">
        <v>1800</v>
      </c>
      <c r="D16" s="1879" t="s">
        <v>1801</v>
      </c>
      <c r="E16" s="1879" t="s">
        <v>1802</v>
      </c>
      <c r="F16" s="1879" t="s">
        <v>1803</v>
      </c>
    </row>
    <row r="17" spans="1:7" x14ac:dyDescent="0.25">
      <c r="A17" s="1880" t="s">
        <v>1805</v>
      </c>
      <c r="B17" s="1907" t="s">
        <v>1796</v>
      </c>
      <c r="C17" s="1881" t="s">
        <v>1794</v>
      </c>
      <c r="D17" s="1882">
        <v>500000</v>
      </c>
      <c r="E17" s="1882" t="str">
        <f>IF(D17&lt;25000,D17,"25,000")</f>
        <v>25,000</v>
      </c>
      <c r="F17" s="1883">
        <f>IF(D17&gt;=25000,(D17-E17),"0")</f>
        <v>475000</v>
      </c>
    </row>
    <row r="18" spans="1:7" x14ac:dyDescent="0.25">
      <c r="A18" s="2121" t="s">
        <v>2146</v>
      </c>
      <c r="B18" s="1908"/>
      <c r="C18" s="1914"/>
      <c r="D18" s="1886"/>
      <c r="E18" s="1906">
        <f t="shared" ref="E18:E81" si="0">IF(D18&lt;25000,D18,"25,000")</f>
        <v>0</v>
      </c>
      <c r="F18" s="1906" t="str">
        <f t="shared" ref="F18:F81" si="1">IF(D18&gt;=25000,(D18-E18),"0")</f>
        <v>0</v>
      </c>
      <c r="G18" s="1887"/>
    </row>
    <row r="19" spans="1:7" x14ac:dyDescent="0.25">
      <c r="A19" s="1888"/>
      <c r="B19" s="1908"/>
      <c r="C19" s="1885"/>
      <c r="D19" s="1886"/>
      <c r="E19" s="1906">
        <f t="shared" si="0"/>
        <v>0</v>
      </c>
      <c r="F19" s="1906" t="str">
        <f t="shared" si="1"/>
        <v>0</v>
      </c>
    </row>
    <row r="20" spans="1:7" x14ac:dyDescent="0.25">
      <c r="A20" s="1888"/>
      <c r="B20" s="1908"/>
      <c r="C20" s="1885"/>
      <c r="D20" s="1886"/>
      <c r="E20" s="1906">
        <f t="shared" si="0"/>
        <v>0</v>
      </c>
      <c r="F20" s="1906" t="str">
        <f t="shared" si="1"/>
        <v>0</v>
      </c>
    </row>
    <row r="21" spans="1:7" x14ac:dyDescent="0.25">
      <c r="A21" s="1888"/>
      <c r="B21" s="1908"/>
      <c r="C21" s="1885"/>
      <c r="D21" s="1886"/>
      <c r="E21" s="1906">
        <f t="shared" si="0"/>
        <v>0</v>
      </c>
      <c r="F21" s="1906" t="str">
        <f t="shared" si="1"/>
        <v>0</v>
      </c>
    </row>
    <row r="22" spans="1:7" x14ac:dyDescent="0.25">
      <c r="A22" s="1888"/>
      <c r="B22" s="1908"/>
      <c r="C22" s="1885"/>
      <c r="D22" s="1886"/>
      <c r="E22" s="1906">
        <f t="shared" si="0"/>
        <v>0</v>
      </c>
      <c r="F22" s="1906" t="str">
        <f t="shared" si="1"/>
        <v>0</v>
      </c>
    </row>
    <row r="23" spans="1:7" x14ac:dyDescent="0.25">
      <c r="A23" s="1888"/>
      <c r="B23" s="1908"/>
      <c r="C23" s="1885"/>
      <c r="D23" s="1886"/>
      <c r="E23" s="1906">
        <f t="shared" si="0"/>
        <v>0</v>
      </c>
      <c r="F23" s="1906" t="str">
        <f t="shared" si="1"/>
        <v>0</v>
      </c>
    </row>
    <row r="24" spans="1:7" hidden="1" x14ac:dyDescent="0.25">
      <c r="A24" s="1888"/>
      <c r="B24" s="1908"/>
      <c r="C24" s="1885"/>
      <c r="D24" s="1886"/>
      <c r="E24" s="1906">
        <f t="shared" si="0"/>
        <v>0</v>
      </c>
      <c r="F24" s="1906" t="str">
        <f t="shared" si="1"/>
        <v>0</v>
      </c>
    </row>
    <row r="25" spans="1:7" hidden="1" x14ac:dyDescent="0.25">
      <c r="A25" s="1888"/>
      <c r="B25" s="1908"/>
      <c r="C25" s="1885"/>
      <c r="D25" s="1886"/>
      <c r="E25" s="1906">
        <f t="shared" si="0"/>
        <v>0</v>
      </c>
      <c r="F25" s="1906" t="str">
        <f t="shared" si="1"/>
        <v>0</v>
      </c>
    </row>
    <row r="26" spans="1:7" x14ac:dyDescent="0.25">
      <c r="A26" s="1888"/>
      <c r="B26" s="1908"/>
      <c r="C26" s="1885"/>
      <c r="D26" s="1886"/>
      <c r="E26" s="1906">
        <f t="shared" si="0"/>
        <v>0</v>
      </c>
      <c r="F26" s="1906" t="str">
        <f t="shared" si="1"/>
        <v>0</v>
      </c>
    </row>
    <row r="27" spans="1:7" x14ac:dyDescent="0.25">
      <c r="A27" s="1888"/>
      <c r="B27" s="1908"/>
      <c r="C27" s="1889"/>
      <c r="D27" s="1886"/>
      <c r="E27" s="1906">
        <f t="shared" si="0"/>
        <v>0</v>
      </c>
      <c r="F27" s="1906" t="str">
        <f t="shared" si="1"/>
        <v>0</v>
      </c>
    </row>
    <row r="28" spans="1:7" x14ac:dyDescent="0.25">
      <c r="A28" s="1888"/>
      <c r="B28" s="1908"/>
      <c r="C28" s="1889"/>
      <c r="D28" s="1886"/>
      <c r="E28" s="1906">
        <f t="shared" si="0"/>
        <v>0</v>
      </c>
      <c r="F28" s="1906" t="str">
        <f t="shared" si="1"/>
        <v>0</v>
      </c>
    </row>
    <row r="29" spans="1:7" x14ac:dyDescent="0.25">
      <c r="A29" s="1888"/>
      <c r="B29" s="1908"/>
      <c r="C29" s="1889"/>
      <c r="D29" s="1886"/>
      <c r="E29" s="1906">
        <f t="shared" si="0"/>
        <v>0</v>
      </c>
      <c r="F29" s="1906" t="str">
        <f t="shared" si="1"/>
        <v>0</v>
      </c>
    </row>
    <row r="30" spans="1:7" x14ac:dyDescent="0.25">
      <c r="A30" s="1888"/>
      <c r="B30" s="1908"/>
      <c r="C30" s="1889"/>
      <c r="D30" s="1886"/>
      <c r="E30" s="1906">
        <f t="shared" si="0"/>
        <v>0</v>
      </c>
      <c r="F30" s="1906" t="str">
        <f t="shared" si="1"/>
        <v>0</v>
      </c>
    </row>
    <row r="31" spans="1:7" x14ac:dyDescent="0.25">
      <c r="A31" s="1888"/>
      <c r="B31" s="1908"/>
      <c r="C31" s="1889"/>
      <c r="D31" s="1886"/>
      <c r="E31" s="1906">
        <f t="shared" si="0"/>
        <v>0</v>
      </c>
      <c r="F31" s="1906" t="str">
        <f t="shared" si="1"/>
        <v>0</v>
      </c>
    </row>
    <row r="32" spans="1:7" x14ac:dyDescent="0.25">
      <c r="A32" s="1888"/>
      <c r="B32" s="1908"/>
      <c r="C32" s="1889"/>
      <c r="D32" s="1886"/>
      <c r="E32" s="1906">
        <f t="shared" si="0"/>
        <v>0</v>
      </c>
      <c r="F32" s="1906" t="str">
        <f t="shared" si="1"/>
        <v>0</v>
      </c>
    </row>
    <row r="33" spans="1:6" x14ac:dyDescent="0.25">
      <c r="A33" s="1888"/>
      <c r="B33" s="1908"/>
      <c r="C33" s="1889"/>
      <c r="D33" s="1886"/>
      <c r="E33" s="1906">
        <f t="shared" si="0"/>
        <v>0</v>
      </c>
      <c r="F33" s="1906" t="str">
        <f t="shared" si="1"/>
        <v>0</v>
      </c>
    </row>
    <row r="34" spans="1:6" x14ac:dyDescent="0.25">
      <c r="A34" s="1888"/>
      <c r="B34" s="1908"/>
      <c r="C34" s="1889"/>
      <c r="D34" s="1886"/>
      <c r="E34" s="1906">
        <f t="shared" si="0"/>
        <v>0</v>
      </c>
      <c r="F34" s="1906" t="str">
        <f t="shared" si="1"/>
        <v>0</v>
      </c>
    </row>
    <row r="35" spans="1:6" x14ac:dyDescent="0.25">
      <c r="A35" s="1888"/>
      <c r="B35" s="1908"/>
      <c r="C35" s="1889"/>
      <c r="D35" s="1886"/>
      <c r="E35" s="1906">
        <f t="shared" si="0"/>
        <v>0</v>
      </c>
      <c r="F35" s="1906" t="str">
        <f t="shared" si="1"/>
        <v>0</v>
      </c>
    </row>
    <row r="36" spans="1:6" hidden="1" x14ac:dyDescent="0.25">
      <c r="A36" s="1888"/>
      <c r="B36" s="1908"/>
      <c r="C36" s="1889"/>
      <c r="D36" s="1886"/>
      <c r="E36" s="1906">
        <f t="shared" si="0"/>
        <v>0</v>
      </c>
      <c r="F36" s="1906" t="str">
        <f t="shared" si="1"/>
        <v>0</v>
      </c>
    </row>
    <row r="37" spans="1:6" hidden="1" x14ac:dyDescent="0.25">
      <c r="A37" s="1888"/>
      <c r="B37" s="1908"/>
      <c r="C37" s="1889"/>
      <c r="D37" s="1886"/>
      <c r="E37" s="1906">
        <f t="shared" si="0"/>
        <v>0</v>
      </c>
      <c r="F37" s="1906" t="str">
        <f t="shared" si="1"/>
        <v>0</v>
      </c>
    </row>
    <row r="38" spans="1:6" hidden="1" x14ac:dyDescent="0.25">
      <c r="A38" s="1888"/>
      <c r="B38" s="1908"/>
      <c r="C38" s="1889"/>
      <c r="D38" s="1886"/>
      <c r="E38" s="1906">
        <f t="shared" si="0"/>
        <v>0</v>
      </c>
      <c r="F38" s="1906" t="str">
        <f t="shared" si="1"/>
        <v>0</v>
      </c>
    </row>
    <row r="39" spans="1:6" hidden="1" x14ac:dyDescent="0.25">
      <c r="A39" s="1888"/>
      <c r="B39" s="1909"/>
      <c r="C39" s="1889"/>
      <c r="D39" s="1886"/>
      <c r="E39" s="1906">
        <f t="shared" si="0"/>
        <v>0</v>
      </c>
      <c r="F39" s="1906" t="str">
        <f t="shared" si="1"/>
        <v>0</v>
      </c>
    </row>
    <row r="40" spans="1:6" hidden="1" x14ac:dyDescent="0.25">
      <c r="A40" s="1888"/>
      <c r="B40" s="1909"/>
      <c r="C40" s="1889"/>
      <c r="D40" s="1886"/>
      <c r="E40" s="1906">
        <f t="shared" si="0"/>
        <v>0</v>
      </c>
      <c r="F40" s="1906" t="str">
        <f t="shared" si="1"/>
        <v>0</v>
      </c>
    </row>
    <row r="41" spans="1:6" hidden="1" x14ac:dyDescent="0.25">
      <c r="A41" s="1888"/>
      <c r="B41" s="1909"/>
      <c r="C41" s="1889"/>
      <c r="D41" s="1886"/>
      <c r="E41" s="1906">
        <f t="shared" si="0"/>
        <v>0</v>
      </c>
      <c r="F41" s="1906" t="str">
        <f t="shared" si="1"/>
        <v>0</v>
      </c>
    </row>
    <row r="42" spans="1:6" hidden="1" x14ac:dyDescent="0.25">
      <c r="A42" s="1888"/>
      <c r="B42" s="1909"/>
      <c r="C42" s="1889"/>
      <c r="D42" s="1886"/>
      <c r="E42" s="1906">
        <f t="shared" si="0"/>
        <v>0</v>
      </c>
      <c r="F42" s="1906" t="str">
        <f t="shared" si="1"/>
        <v>0</v>
      </c>
    </row>
    <row r="43" spans="1:6" hidden="1" x14ac:dyDescent="0.25">
      <c r="A43" s="1888"/>
      <c r="B43" s="1909"/>
      <c r="C43" s="1889"/>
      <c r="D43" s="1886"/>
      <c r="E43" s="1906">
        <f t="shared" si="0"/>
        <v>0</v>
      </c>
      <c r="F43" s="1906" t="str">
        <f t="shared" si="1"/>
        <v>0</v>
      </c>
    </row>
    <row r="44" spans="1:6" hidden="1" x14ac:dyDescent="0.25">
      <c r="A44" s="1888"/>
      <c r="B44" s="1909"/>
      <c r="C44" s="1889"/>
      <c r="D44" s="1886"/>
      <c r="E44" s="1906">
        <f t="shared" si="0"/>
        <v>0</v>
      </c>
      <c r="F44" s="1906" t="str">
        <f t="shared" si="1"/>
        <v>0</v>
      </c>
    </row>
    <row r="45" spans="1:6" hidden="1" x14ac:dyDescent="0.25">
      <c r="A45" s="1888"/>
      <c r="B45" s="1909"/>
      <c r="C45" s="1889"/>
      <c r="D45" s="1886"/>
      <c r="E45" s="1906">
        <f t="shared" si="0"/>
        <v>0</v>
      </c>
      <c r="F45" s="1906" t="str">
        <f t="shared" si="1"/>
        <v>0</v>
      </c>
    </row>
    <row r="46" spans="1:6" hidden="1" x14ac:dyDescent="0.25">
      <c r="A46" s="1888"/>
      <c r="B46" s="1909"/>
      <c r="C46" s="1889"/>
      <c r="D46" s="1886"/>
      <c r="E46" s="1906">
        <f t="shared" si="0"/>
        <v>0</v>
      </c>
      <c r="F46" s="1906" t="str">
        <f t="shared" si="1"/>
        <v>0</v>
      </c>
    </row>
    <row r="47" spans="1:6" hidden="1" x14ac:dyDescent="0.25">
      <c r="A47" s="1888"/>
      <c r="B47" s="1909"/>
      <c r="C47" s="1889"/>
      <c r="D47" s="1886"/>
      <c r="E47" s="1906">
        <f t="shared" si="0"/>
        <v>0</v>
      </c>
      <c r="F47" s="1906" t="str">
        <f t="shared" si="1"/>
        <v>0</v>
      </c>
    </row>
    <row r="48" spans="1:6" hidden="1" x14ac:dyDescent="0.25">
      <c r="A48" s="1888"/>
      <c r="B48" s="1909"/>
      <c r="C48" s="1889"/>
      <c r="D48" s="1886"/>
      <c r="E48" s="1906">
        <f t="shared" si="0"/>
        <v>0</v>
      </c>
      <c r="F48" s="1906" t="str">
        <f t="shared" si="1"/>
        <v>0</v>
      </c>
    </row>
    <row r="49" spans="1:6" hidden="1" x14ac:dyDescent="0.25">
      <c r="A49" s="1888"/>
      <c r="B49" s="1909"/>
      <c r="C49" s="1889"/>
      <c r="D49" s="1886"/>
      <c r="E49" s="1906">
        <f t="shared" si="0"/>
        <v>0</v>
      </c>
      <c r="F49" s="1906" t="str">
        <f t="shared" si="1"/>
        <v>0</v>
      </c>
    </row>
    <row r="50" spans="1:6" hidden="1" x14ac:dyDescent="0.25">
      <c r="A50" s="1888"/>
      <c r="B50" s="1909"/>
      <c r="C50" s="1889"/>
      <c r="D50" s="1886"/>
      <c r="E50" s="1906">
        <f t="shared" si="0"/>
        <v>0</v>
      </c>
      <c r="F50" s="1906" t="str">
        <f t="shared" si="1"/>
        <v>0</v>
      </c>
    </row>
    <row r="51" spans="1:6" hidden="1" x14ac:dyDescent="0.25">
      <c r="A51" s="1888"/>
      <c r="B51" s="1909"/>
      <c r="C51" s="1889"/>
      <c r="D51" s="1886"/>
      <c r="E51" s="1906">
        <f t="shared" si="0"/>
        <v>0</v>
      </c>
      <c r="F51" s="1906" t="str">
        <f t="shared" si="1"/>
        <v>0</v>
      </c>
    </row>
    <row r="52" spans="1:6" hidden="1" x14ac:dyDescent="0.25">
      <c r="A52" s="1888"/>
      <c r="B52" s="1909"/>
      <c r="C52" s="1889"/>
      <c r="D52" s="1886"/>
      <c r="E52" s="1906">
        <f t="shared" si="0"/>
        <v>0</v>
      </c>
      <c r="F52" s="1906" t="str">
        <f t="shared" si="1"/>
        <v>0</v>
      </c>
    </row>
    <row r="53" spans="1:6" hidden="1" x14ac:dyDescent="0.25">
      <c r="A53" s="1888"/>
      <c r="B53" s="1909"/>
      <c r="C53" s="1889"/>
      <c r="D53" s="1886"/>
      <c r="E53" s="1906">
        <f t="shared" si="0"/>
        <v>0</v>
      </c>
      <c r="F53" s="1906" t="str">
        <f t="shared" si="1"/>
        <v>0</v>
      </c>
    </row>
    <row r="54" spans="1:6" hidden="1" x14ac:dyDescent="0.25">
      <c r="A54" s="1888"/>
      <c r="B54" s="1909"/>
      <c r="C54" s="1889"/>
      <c r="D54" s="1886"/>
      <c r="E54" s="1906">
        <f t="shared" si="0"/>
        <v>0</v>
      </c>
      <c r="F54" s="1906" t="str">
        <f t="shared" si="1"/>
        <v>0</v>
      </c>
    </row>
    <row r="55" spans="1:6" hidden="1" x14ac:dyDescent="0.25">
      <c r="A55" s="1888"/>
      <c r="B55" s="1909"/>
      <c r="C55" s="1889"/>
      <c r="D55" s="1886"/>
      <c r="E55" s="1906">
        <f t="shared" si="0"/>
        <v>0</v>
      </c>
      <c r="F55" s="1906" t="str">
        <f t="shared" si="1"/>
        <v>0</v>
      </c>
    </row>
    <row r="56" spans="1:6" hidden="1" x14ac:dyDescent="0.25">
      <c r="A56" s="1888"/>
      <c r="B56" s="1909"/>
      <c r="C56" s="1889"/>
      <c r="D56" s="1886"/>
      <c r="E56" s="1906">
        <f t="shared" si="0"/>
        <v>0</v>
      </c>
      <c r="F56" s="1906" t="str">
        <f t="shared" si="1"/>
        <v>0</v>
      </c>
    </row>
    <row r="57" spans="1:6" hidden="1" x14ac:dyDescent="0.25">
      <c r="A57" s="1888"/>
      <c r="B57" s="1909"/>
      <c r="C57" s="1889"/>
      <c r="D57" s="1886"/>
      <c r="E57" s="1906">
        <f t="shared" si="0"/>
        <v>0</v>
      </c>
      <c r="F57" s="1906" t="str">
        <f t="shared" si="1"/>
        <v>0</v>
      </c>
    </row>
    <row r="58" spans="1:6" hidden="1" x14ac:dyDescent="0.25">
      <c r="A58" s="1888"/>
      <c r="B58" s="1909"/>
      <c r="C58" s="1889"/>
      <c r="D58" s="1886"/>
      <c r="E58" s="1906">
        <f t="shared" si="0"/>
        <v>0</v>
      </c>
      <c r="F58" s="1906" t="str">
        <f t="shared" si="1"/>
        <v>0</v>
      </c>
    </row>
    <row r="59" spans="1:6" hidden="1" x14ac:dyDescent="0.25">
      <c r="A59" s="1888"/>
      <c r="B59" s="1909"/>
      <c r="C59" s="1889"/>
      <c r="D59" s="1886"/>
      <c r="E59" s="1906">
        <f t="shared" si="0"/>
        <v>0</v>
      </c>
      <c r="F59" s="1906" t="str">
        <f t="shared" si="1"/>
        <v>0</v>
      </c>
    </row>
    <row r="60" spans="1:6" hidden="1" x14ac:dyDescent="0.25">
      <c r="A60" s="1888"/>
      <c r="B60" s="1909"/>
      <c r="C60" s="1889"/>
      <c r="D60" s="1886"/>
      <c r="E60" s="1906">
        <f t="shared" si="0"/>
        <v>0</v>
      </c>
      <c r="F60" s="1906" t="str">
        <f t="shared" si="1"/>
        <v>0</v>
      </c>
    </row>
    <row r="61" spans="1:6" hidden="1" x14ac:dyDescent="0.25">
      <c r="A61" s="1888"/>
      <c r="B61" s="1909"/>
      <c r="C61" s="1889"/>
      <c r="D61" s="1886"/>
      <c r="E61" s="1906">
        <f t="shared" si="0"/>
        <v>0</v>
      </c>
      <c r="F61" s="1906" t="str">
        <f t="shared" si="1"/>
        <v>0</v>
      </c>
    </row>
    <row r="62" spans="1:6" hidden="1" x14ac:dyDescent="0.25">
      <c r="A62" s="1888"/>
      <c r="B62" s="1909"/>
      <c r="C62" s="1889"/>
      <c r="D62" s="1886"/>
      <c r="E62" s="1906">
        <f t="shared" si="0"/>
        <v>0</v>
      </c>
      <c r="F62" s="1906" t="str">
        <f t="shared" si="1"/>
        <v>0</v>
      </c>
    </row>
    <row r="63" spans="1:6" hidden="1" x14ac:dyDescent="0.25">
      <c r="A63" s="1888"/>
      <c r="B63" s="1909"/>
      <c r="C63" s="1889"/>
      <c r="D63" s="1886"/>
      <c r="E63" s="1906">
        <f t="shared" si="0"/>
        <v>0</v>
      </c>
      <c r="F63" s="1906" t="str">
        <f t="shared" si="1"/>
        <v>0</v>
      </c>
    </row>
    <row r="64" spans="1:6" hidden="1" x14ac:dyDescent="0.25">
      <c r="A64" s="1888"/>
      <c r="B64" s="1909"/>
      <c r="C64" s="1889"/>
      <c r="D64" s="1886"/>
      <c r="E64" s="1906">
        <f t="shared" si="0"/>
        <v>0</v>
      </c>
      <c r="F64" s="1906" t="str">
        <f t="shared" si="1"/>
        <v>0</v>
      </c>
    </row>
    <row r="65" spans="1:6" hidden="1" x14ac:dyDescent="0.25">
      <c r="A65" s="1884"/>
      <c r="B65" s="1909"/>
      <c r="C65" s="1885"/>
      <c r="D65" s="1886"/>
      <c r="E65" s="1906">
        <f t="shared" si="0"/>
        <v>0</v>
      </c>
      <c r="F65" s="1906" t="str">
        <f t="shared" si="1"/>
        <v>0</v>
      </c>
    </row>
    <row r="66" spans="1:6" hidden="1" x14ac:dyDescent="0.25">
      <c r="A66" s="1888"/>
      <c r="B66" s="1909"/>
      <c r="C66" s="1889"/>
      <c r="D66" s="1886"/>
      <c r="E66" s="1906">
        <f t="shared" si="0"/>
        <v>0</v>
      </c>
      <c r="F66" s="1906" t="str">
        <f t="shared" si="1"/>
        <v>0</v>
      </c>
    </row>
    <row r="67" spans="1:6" hidden="1" x14ac:dyDescent="0.25">
      <c r="A67" s="1888"/>
      <c r="B67" s="1909"/>
      <c r="C67" s="1889"/>
      <c r="D67" s="1886"/>
      <c r="E67" s="1906">
        <f t="shared" si="0"/>
        <v>0</v>
      </c>
      <c r="F67" s="1906" t="str">
        <f t="shared" si="1"/>
        <v>0</v>
      </c>
    </row>
    <row r="68" spans="1:6" hidden="1" x14ac:dyDescent="0.25">
      <c r="A68" s="1888"/>
      <c r="B68" s="1909"/>
      <c r="C68" s="1889"/>
      <c r="D68" s="1886"/>
      <c r="E68" s="1906">
        <f t="shared" si="0"/>
        <v>0</v>
      </c>
      <c r="F68" s="1906" t="str">
        <f t="shared" si="1"/>
        <v>0</v>
      </c>
    </row>
    <row r="69" spans="1:6" hidden="1" x14ac:dyDescent="0.25">
      <c r="A69" s="1888"/>
      <c r="B69" s="1909"/>
      <c r="C69" s="1889"/>
      <c r="D69" s="1886"/>
      <c r="E69" s="1906">
        <f t="shared" si="0"/>
        <v>0</v>
      </c>
      <c r="F69" s="1906" t="str">
        <f t="shared" si="1"/>
        <v>0</v>
      </c>
    </row>
    <row r="70" spans="1:6" hidden="1" x14ac:dyDescent="0.25">
      <c r="A70" s="1888"/>
      <c r="B70" s="1909"/>
      <c r="C70" s="1889"/>
      <c r="D70" s="1886"/>
      <c r="E70" s="1906">
        <f t="shared" si="0"/>
        <v>0</v>
      </c>
      <c r="F70" s="1906" t="str">
        <f t="shared" si="1"/>
        <v>0</v>
      </c>
    </row>
    <row r="71" spans="1:6" hidden="1" x14ac:dyDescent="0.25">
      <c r="A71" s="1888"/>
      <c r="B71" s="1909"/>
      <c r="C71" s="1889"/>
      <c r="D71" s="1886"/>
      <c r="E71" s="1906">
        <f t="shared" si="0"/>
        <v>0</v>
      </c>
      <c r="F71" s="1906" t="str">
        <f t="shared" si="1"/>
        <v>0</v>
      </c>
    </row>
    <row r="72" spans="1:6" hidden="1" x14ac:dyDescent="0.25">
      <c r="A72" s="1888"/>
      <c r="B72" s="1909"/>
      <c r="C72" s="1889"/>
      <c r="D72" s="1886"/>
      <c r="E72" s="1906">
        <f t="shared" si="0"/>
        <v>0</v>
      </c>
      <c r="F72" s="1906" t="str">
        <f t="shared" si="1"/>
        <v>0</v>
      </c>
    </row>
    <row r="73" spans="1:6" hidden="1" x14ac:dyDescent="0.25">
      <c r="A73" s="1888"/>
      <c r="B73" s="1909"/>
      <c r="C73" s="1889"/>
      <c r="D73" s="1886"/>
      <c r="E73" s="1906">
        <f t="shared" si="0"/>
        <v>0</v>
      </c>
      <c r="F73" s="1906" t="str">
        <f t="shared" si="1"/>
        <v>0</v>
      </c>
    </row>
    <row r="74" spans="1:6" hidden="1" x14ac:dyDescent="0.25">
      <c r="A74" s="1888"/>
      <c r="B74" s="1909"/>
      <c r="C74" s="1889"/>
      <c r="D74" s="1886"/>
      <c r="E74" s="1906">
        <f t="shared" si="0"/>
        <v>0</v>
      </c>
      <c r="F74" s="1906" t="str">
        <f t="shared" si="1"/>
        <v>0</v>
      </c>
    </row>
    <row r="75" spans="1:6" hidden="1" x14ac:dyDescent="0.25">
      <c r="A75" s="1888"/>
      <c r="B75" s="1909"/>
      <c r="C75" s="1889"/>
      <c r="D75" s="1886"/>
      <c r="E75" s="1906">
        <f t="shared" si="0"/>
        <v>0</v>
      </c>
      <c r="F75" s="1906" t="str">
        <f t="shared" si="1"/>
        <v>0</v>
      </c>
    </row>
    <row r="76" spans="1:6" hidden="1" x14ac:dyDescent="0.25">
      <c r="A76" s="1888"/>
      <c r="B76" s="1909"/>
      <c r="C76" s="1889"/>
      <c r="D76" s="1886"/>
      <c r="E76" s="1906">
        <f t="shared" si="0"/>
        <v>0</v>
      </c>
      <c r="F76" s="1906" t="str">
        <f t="shared" si="1"/>
        <v>0</v>
      </c>
    </row>
    <row r="77" spans="1:6" hidden="1" x14ac:dyDescent="0.25">
      <c r="A77" s="1888"/>
      <c r="B77" s="1909"/>
      <c r="C77" s="1889"/>
      <c r="D77" s="1886"/>
      <c r="E77" s="1906">
        <f t="shared" si="0"/>
        <v>0</v>
      </c>
      <c r="F77" s="1906" t="str">
        <f t="shared" si="1"/>
        <v>0</v>
      </c>
    </row>
    <row r="78" spans="1:6" hidden="1" x14ac:dyDescent="0.25">
      <c r="A78" s="1888"/>
      <c r="B78" s="1909"/>
      <c r="C78" s="1889"/>
      <c r="D78" s="1886"/>
      <c r="E78" s="1906">
        <f t="shared" si="0"/>
        <v>0</v>
      </c>
      <c r="F78" s="1906" t="str">
        <f t="shared" si="1"/>
        <v>0</v>
      </c>
    </row>
    <row r="79" spans="1:6" hidden="1" x14ac:dyDescent="0.25">
      <c r="A79" s="1888"/>
      <c r="B79" s="1909"/>
      <c r="C79" s="1889"/>
      <c r="D79" s="1886"/>
      <c r="E79" s="1906">
        <f t="shared" si="0"/>
        <v>0</v>
      </c>
      <c r="F79" s="1906" t="str">
        <f t="shared" si="1"/>
        <v>0</v>
      </c>
    </row>
    <row r="80" spans="1:6" hidden="1" x14ac:dyDescent="0.25">
      <c r="A80" s="1888"/>
      <c r="B80" s="1909"/>
      <c r="C80" s="1889"/>
      <c r="D80" s="1886"/>
      <c r="E80" s="1906">
        <f t="shared" si="0"/>
        <v>0</v>
      </c>
      <c r="F80" s="1906" t="str">
        <f t="shared" si="1"/>
        <v>0</v>
      </c>
    </row>
    <row r="81" spans="1:6" hidden="1" x14ac:dyDescent="0.25">
      <c r="A81" s="1888"/>
      <c r="B81" s="1909"/>
      <c r="C81" s="1889"/>
      <c r="D81" s="1886"/>
      <c r="E81" s="1906">
        <f t="shared" si="0"/>
        <v>0</v>
      </c>
      <c r="F81" s="1906" t="str">
        <f t="shared" si="1"/>
        <v>0</v>
      </c>
    </row>
    <row r="82" spans="1:6" hidden="1" x14ac:dyDescent="0.25">
      <c r="A82" s="1888"/>
      <c r="B82" s="1909"/>
      <c r="C82" s="1889"/>
      <c r="D82" s="1886"/>
      <c r="E82" s="1906">
        <f t="shared" ref="E82:E141" si="2">IF(D82&lt;25000,D82,"25,000")</f>
        <v>0</v>
      </c>
      <c r="F82" s="1906" t="str">
        <f t="shared" ref="F82:F141" si="3">IF(D82&gt;=25000,(D82-E82),"0")</f>
        <v>0</v>
      </c>
    </row>
    <row r="83" spans="1:6" hidden="1" x14ac:dyDescent="0.25">
      <c r="A83" s="1888"/>
      <c r="B83" s="1909"/>
      <c r="C83" s="1889"/>
      <c r="D83" s="1886"/>
      <c r="E83" s="1906">
        <f t="shared" si="2"/>
        <v>0</v>
      </c>
      <c r="F83" s="1906" t="str">
        <f t="shared" si="3"/>
        <v>0</v>
      </c>
    </row>
    <row r="84" spans="1:6" hidden="1" x14ac:dyDescent="0.25">
      <c r="A84" s="1888"/>
      <c r="B84" s="1909"/>
      <c r="C84" s="1889"/>
      <c r="D84" s="1886"/>
      <c r="E84" s="1906">
        <f t="shared" si="2"/>
        <v>0</v>
      </c>
      <c r="F84" s="1906" t="str">
        <f t="shared" si="3"/>
        <v>0</v>
      </c>
    </row>
    <row r="85" spans="1:6" hidden="1" x14ac:dyDescent="0.25">
      <c r="A85" s="1888"/>
      <c r="B85" s="1909"/>
      <c r="C85" s="1889"/>
      <c r="D85" s="1886"/>
      <c r="E85" s="1906">
        <f t="shared" si="2"/>
        <v>0</v>
      </c>
      <c r="F85" s="1906" t="str">
        <f t="shared" si="3"/>
        <v>0</v>
      </c>
    </row>
    <row r="86" spans="1:6" hidden="1" x14ac:dyDescent="0.25">
      <c r="A86" s="1888"/>
      <c r="B86" s="1909"/>
      <c r="C86" s="1889"/>
      <c r="D86" s="1886"/>
      <c r="E86" s="1906">
        <f t="shared" si="2"/>
        <v>0</v>
      </c>
      <c r="F86" s="1906" t="str">
        <f t="shared" si="3"/>
        <v>0</v>
      </c>
    </row>
    <row r="87" spans="1:6" hidden="1" x14ac:dyDescent="0.25">
      <c r="A87" s="1888"/>
      <c r="B87" s="1909"/>
      <c r="C87" s="1889"/>
      <c r="D87" s="1886"/>
      <c r="E87" s="1906">
        <f t="shared" si="2"/>
        <v>0</v>
      </c>
      <c r="F87" s="1906" t="str">
        <f t="shared" si="3"/>
        <v>0</v>
      </c>
    </row>
    <row r="88" spans="1:6" hidden="1" x14ac:dyDescent="0.25">
      <c r="A88" s="1888"/>
      <c r="B88" s="1909"/>
      <c r="C88" s="1889"/>
      <c r="D88" s="1886"/>
      <c r="E88" s="1906">
        <f t="shared" si="2"/>
        <v>0</v>
      </c>
      <c r="F88" s="1906" t="str">
        <f t="shared" si="3"/>
        <v>0</v>
      </c>
    </row>
    <row r="89" spans="1:6" hidden="1" x14ac:dyDescent="0.25">
      <c r="A89" s="1888"/>
      <c r="B89" s="1909"/>
      <c r="C89" s="1889"/>
      <c r="D89" s="1886"/>
      <c r="E89" s="1906">
        <f t="shared" si="2"/>
        <v>0</v>
      </c>
      <c r="F89" s="1906" t="str">
        <f t="shared" si="3"/>
        <v>0</v>
      </c>
    </row>
    <row r="90" spans="1:6" hidden="1" x14ac:dyDescent="0.25">
      <c r="A90" s="1888"/>
      <c r="B90" s="1909"/>
      <c r="C90" s="1889"/>
      <c r="D90" s="1886"/>
      <c r="E90" s="1906">
        <f t="shared" si="2"/>
        <v>0</v>
      </c>
      <c r="F90" s="1906" t="str">
        <f t="shared" si="3"/>
        <v>0</v>
      </c>
    </row>
    <row r="91" spans="1:6" hidden="1" x14ac:dyDescent="0.25">
      <c r="A91" s="1888"/>
      <c r="B91" s="1909"/>
      <c r="C91" s="1889"/>
      <c r="D91" s="1886"/>
      <c r="E91" s="1906">
        <f t="shared" si="2"/>
        <v>0</v>
      </c>
      <c r="F91" s="1906" t="str">
        <f t="shared" si="3"/>
        <v>0</v>
      </c>
    </row>
    <row r="92" spans="1:6" hidden="1" x14ac:dyDescent="0.25">
      <c r="A92" s="1888"/>
      <c r="B92" s="1909"/>
      <c r="C92" s="1889"/>
      <c r="D92" s="1886"/>
      <c r="E92" s="1906">
        <f t="shared" si="2"/>
        <v>0</v>
      </c>
      <c r="F92" s="1906" t="str">
        <f t="shared" si="3"/>
        <v>0</v>
      </c>
    </row>
    <row r="93" spans="1:6" hidden="1" x14ac:dyDescent="0.25">
      <c r="A93" s="1888"/>
      <c r="B93" s="1909"/>
      <c r="C93" s="1889"/>
      <c r="D93" s="1886"/>
      <c r="E93" s="1906">
        <f t="shared" si="2"/>
        <v>0</v>
      </c>
      <c r="F93" s="1906" t="str">
        <f t="shared" si="3"/>
        <v>0</v>
      </c>
    </row>
    <row r="94" spans="1:6" hidden="1" x14ac:dyDescent="0.25">
      <c r="A94" s="1888"/>
      <c r="B94" s="1909"/>
      <c r="C94" s="1889"/>
      <c r="D94" s="1886"/>
      <c r="E94" s="1906">
        <f t="shared" si="2"/>
        <v>0</v>
      </c>
      <c r="F94" s="1906" t="str">
        <f t="shared" si="3"/>
        <v>0</v>
      </c>
    </row>
    <row r="95" spans="1:6" hidden="1" x14ac:dyDescent="0.25">
      <c r="A95" s="1888"/>
      <c r="B95" s="1909"/>
      <c r="C95" s="1889"/>
      <c r="D95" s="1886"/>
      <c r="E95" s="1906">
        <f t="shared" si="2"/>
        <v>0</v>
      </c>
      <c r="F95" s="1906" t="str">
        <f t="shared" si="3"/>
        <v>0</v>
      </c>
    </row>
    <row r="96" spans="1:6" hidden="1" x14ac:dyDescent="0.25">
      <c r="A96" s="1888"/>
      <c r="B96" s="1909"/>
      <c r="C96" s="1889"/>
      <c r="D96" s="1886"/>
      <c r="E96" s="1906">
        <f t="shared" si="2"/>
        <v>0</v>
      </c>
      <c r="F96" s="1906" t="str">
        <f t="shared" si="3"/>
        <v>0</v>
      </c>
    </row>
    <row r="97" spans="1:6" hidden="1" x14ac:dyDescent="0.25">
      <c r="A97" s="1888"/>
      <c r="B97" s="1909"/>
      <c r="C97" s="1889"/>
      <c r="D97" s="1886"/>
      <c r="E97" s="1906">
        <f t="shared" si="2"/>
        <v>0</v>
      </c>
      <c r="F97" s="1906" t="str">
        <f t="shared" si="3"/>
        <v>0</v>
      </c>
    </row>
    <row r="98" spans="1:6" hidden="1" x14ac:dyDescent="0.25">
      <c r="A98" s="1888"/>
      <c r="B98" s="1909"/>
      <c r="C98" s="1889"/>
      <c r="D98" s="1886"/>
      <c r="E98" s="1906">
        <f t="shared" si="2"/>
        <v>0</v>
      </c>
      <c r="F98" s="1906" t="str">
        <f t="shared" si="3"/>
        <v>0</v>
      </c>
    </row>
    <row r="99" spans="1:6" hidden="1" x14ac:dyDescent="0.25">
      <c r="A99" s="1888"/>
      <c r="B99" s="1909"/>
      <c r="C99" s="1889"/>
      <c r="D99" s="1886"/>
      <c r="E99" s="1906">
        <f t="shared" si="2"/>
        <v>0</v>
      </c>
      <c r="F99" s="1906" t="str">
        <f t="shared" si="3"/>
        <v>0</v>
      </c>
    </row>
    <row r="100" spans="1:6" hidden="1" x14ac:dyDescent="0.25">
      <c r="A100" s="1888"/>
      <c r="B100" s="1909"/>
      <c r="C100" s="1889"/>
      <c r="D100" s="1886"/>
      <c r="E100" s="1906">
        <f t="shared" si="2"/>
        <v>0</v>
      </c>
      <c r="F100" s="1906" t="str">
        <f t="shared" si="3"/>
        <v>0</v>
      </c>
    </row>
    <row r="101" spans="1:6" hidden="1" x14ac:dyDescent="0.25">
      <c r="A101" s="1888"/>
      <c r="B101" s="1909"/>
      <c r="C101" s="1889"/>
      <c r="D101" s="1886"/>
      <c r="E101" s="1906">
        <f t="shared" si="2"/>
        <v>0</v>
      </c>
      <c r="F101" s="1906" t="str">
        <f t="shared" si="3"/>
        <v>0</v>
      </c>
    </row>
    <row r="102" spans="1:6" hidden="1" x14ac:dyDescent="0.25">
      <c r="A102" s="1888"/>
      <c r="B102" s="1909"/>
      <c r="C102" s="1889"/>
      <c r="D102" s="1886"/>
      <c r="E102" s="1906">
        <f t="shared" si="2"/>
        <v>0</v>
      </c>
      <c r="F102" s="1906" t="str">
        <f t="shared" si="3"/>
        <v>0</v>
      </c>
    </row>
    <row r="103" spans="1:6" hidden="1" x14ac:dyDescent="0.25">
      <c r="A103" s="1888"/>
      <c r="B103" s="1909"/>
      <c r="C103" s="1889"/>
      <c r="D103" s="1886"/>
      <c r="E103" s="1906">
        <f t="shared" si="2"/>
        <v>0</v>
      </c>
      <c r="F103" s="1906" t="str">
        <f t="shared" si="3"/>
        <v>0</v>
      </c>
    </row>
    <row r="104" spans="1:6" hidden="1" x14ac:dyDescent="0.25">
      <c r="A104" s="1888"/>
      <c r="B104" s="1909"/>
      <c r="C104" s="1889"/>
      <c r="D104" s="1886"/>
      <c r="E104" s="1906">
        <f t="shared" si="2"/>
        <v>0</v>
      </c>
      <c r="F104" s="1906" t="str">
        <f t="shared" si="3"/>
        <v>0</v>
      </c>
    </row>
    <row r="105" spans="1:6" hidden="1" x14ac:dyDescent="0.25">
      <c r="A105" s="1888"/>
      <c r="B105" s="1909"/>
      <c r="C105" s="1889"/>
      <c r="D105" s="1886"/>
      <c r="E105" s="1906">
        <f t="shared" si="2"/>
        <v>0</v>
      </c>
      <c r="F105" s="1906" t="str">
        <f t="shared" si="3"/>
        <v>0</v>
      </c>
    </row>
    <row r="106" spans="1:6" hidden="1" x14ac:dyDescent="0.25">
      <c r="A106" s="1888"/>
      <c r="B106" s="1909"/>
      <c r="C106" s="1889"/>
      <c r="D106" s="1886"/>
      <c r="E106" s="1906">
        <f t="shared" si="2"/>
        <v>0</v>
      </c>
      <c r="F106" s="1906" t="str">
        <f t="shared" si="3"/>
        <v>0</v>
      </c>
    </row>
    <row r="107" spans="1:6" hidden="1" x14ac:dyDescent="0.25">
      <c r="A107" s="1888"/>
      <c r="B107" s="1909"/>
      <c r="C107" s="1889"/>
      <c r="D107" s="1886"/>
      <c r="E107" s="1906">
        <f t="shared" si="2"/>
        <v>0</v>
      </c>
      <c r="F107" s="1906" t="str">
        <f t="shared" si="3"/>
        <v>0</v>
      </c>
    </row>
    <row r="108" spans="1:6" hidden="1" x14ac:dyDescent="0.25">
      <c r="A108" s="1888"/>
      <c r="B108" s="1909"/>
      <c r="C108" s="1889"/>
      <c r="D108" s="1886"/>
      <c r="E108" s="1906">
        <f t="shared" si="2"/>
        <v>0</v>
      </c>
      <c r="F108" s="1906" t="str">
        <f t="shared" si="3"/>
        <v>0</v>
      </c>
    </row>
    <row r="109" spans="1:6" hidden="1" x14ac:dyDescent="0.25">
      <c r="A109" s="1888"/>
      <c r="B109" s="1909"/>
      <c r="C109" s="1889"/>
      <c r="D109" s="1886"/>
      <c r="E109" s="1906">
        <f t="shared" si="2"/>
        <v>0</v>
      </c>
      <c r="F109" s="1906" t="str">
        <f t="shared" si="3"/>
        <v>0</v>
      </c>
    </row>
    <row r="110" spans="1:6" hidden="1" x14ac:dyDescent="0.25">
      <c r="A110" s="1888"/>
      <c r="B110" s="1909"/>
      <c r="C110" s="1889"/>
      <c r="D110" s="1886"/>
      <c r="E110" s="1906">
        <f t="shared" si="2"/>
        <v>0</v>
      </c>
      <c r="F110" s="1906" t="str">
        <f t="shared" si="3"/>
        <v>0</v>
      </c>
    </row>
    <row r="111" spans="1:6" hidden="1" x14ac:dyDescent="0.25">
      <c r="A111" s="1888"/>
      <c r="B111" s="1909"/>
      <c r="C111" s="1889"/>
      <c r="D111" s="1886"/>
      <c r="E111" s="1906">
        <f t="shared" si="2"/>
        <v>0</v>
      </c>
      <c r="F111" s="1906" t="str">
        <f t="shared" si="3"/>
        <v>0</v>
      </c>
    </row>
    <row r="112" spans="1:6" hidden="1" x14ac:dyDescent="0.25">
      <c r="A112" s="1888"/>
      <c r="B112" s="1909"/>
      <c r="C112" s="1889"/>
      <c r="D112" s="1886"/>
      <c r="E112" s="1906">
        <f t="shared" si="2"/>
        <v>0</v>
      </c>
      <c r="F112" s="1906" t="str">
        <f t="shared" si="3"/>
        <v>0</v>
      </c>
    </row>
    <row r="113" spans="1:6" hidden="1" x14ac:dyDescent="0.25">
      <c r="A113" s="1888"/>
      <c r="B113" s="1909"/>
      <c r="C113" s="1889"/>
      <c r="D113" s="1886"/>
      <c r="E113" s="1906">
        <f t="shared" si="2"/>
        <v>0</v>
      </c>
      <c r="F113" s="1906" t="str">
        <f t="shared" si="3"/>
        <v>0</v>
      </c>
    </row>
    <row r="114" spans="1:6" hidden="1" x14ac:dyDescent="0.25">
      <c r="A114" s="1888"/>
      <c r="B114" s="1909"/>
      <c r="C114" s="1889"/>
      <c r="D114" s="1886"/>
      <c r="E114" s="1906">
        <f t="shared" si="2"/>
        <v>0</v>
      </c>
      <c r="F114" s="1906" t="str">
        <f t="shared" si="3"/>
        <v>0</v>
      </c>
    </row>
    <row r="115" spans="1:6" hidden="1" x14ac:dyDescent="0.25">
      <c r="A115" s="1888"/>
      <c r="B115" s="1909"/>
      <c r="C115" s="1889"/>
      <c r="D115" s="1886"/>
      <c r="E115" s="1906">
        <f t="shared" si="2"/>
        <v>0</v>
      </c>
      <c r="F115" s="1906" t="str">
        <f t="shared" si="3"/>
        <v>0</v>
      </c>
    </row>
    <row r="116" spans="1:6" hidden="1" x14ac:dyDescent="0.25">
      <c r="A116" s="1888"/>
      <c r="B116" s="1909"/>
      <c r="C116" s="1889"/>
      <c r="D116" s="1886"/>
      <c r="E116" s="1906">
        <f t="shared" si="2"/>
        <v>0</v>
      </c>
      <c r="F116" s="1906" t="str">
        <f t="shared" si="3"/>
        <v>0</v>
      </c>
    </row>
    <row r="117" spans="1:6" hidden="1" x14ac:dyDescent="0.25">
      <c r="A117" s="1888"/>
      <c r="B117" s="1909"/>
      <c r="C117" s="1889"/>
      <c r="D117" s="1886"/>
      <c r="E117" s="1906">
        <f t="shared" si="2"/>
        <v>0</v>
      </c>
      <c r="F117" s="1906" t="str">
        <f t="shared" si="3"/>
        <v>0</v>
      </c>
    </row>
    <row r="118" spans="1:6" hidden="1" x14ac:dyDescent="0.25">
      <c r="A118" s="1888"/>
      <c r="B118" s="1909"/>
      <c r="C118" s="1889"/>
      <c r="D118" s="1886"/>
      <c r="E118" s="1906">
        <f t="shared" si="2"/>
        <v>0</v>
      </c>
      <c r="F118" s="1906" t="str">
        <f t="shared" si="3"/>
        <v>0</v>
      </c>
    </row>
    <row r="119" spans="1:6" hidden="1" x14ac:dyDescent="0.25">
      <c r="A119" s="1888"/>
      <c r="B119" s="1909"/>
      <c r="C119" s="1889"/>
      <c r="D119" s="1886"/>
      <c r="E119" s="1906">
        <f t="shared" si="2"/>
        <v>0</v>
      </c>
      <c r="F119" s="1906" t="str">
        <f t="shared" si="3"/>
        <v>0</v>
      </c>
    </row>
    <row r="120" spans="1:6" hidden="1" x14ac:dyDescent="0.25">
      <c r="A120" s="1888"/>
      <c r="B120" s="1909"/>
      <c r="C120" s="1889"/>
      <c r="D120" s="1886"/>
      <c r="E120" s="1906">
        <f t="shared" si="2"/>
        <v>0</v>
      </c>
      <c r="F120" s="1906" t="str">
        <f t="shared" si="3"/>
        <v>0</v>
      </c>
    </row>
    <row r="121" spans="1:6" hidden="1" x14ac:dyDescent="0.25">
      <c r="A121" s="1888"/>
      <c r="B121" s="1909"/>
      <c r="C121" s="1889"/>
      <c r="D121" s="1886"/>
      <c r="E121" s="1906">
        <f t="shared" si="2"/>
        <v>0</v>
      </c>
      <c r="F121" s="1906" t="str">
        <f t="shared" si="3"/>
        <v>0</v>
      </c>
    </row>
    <row r="122" spans="1:6" hidden="1" x14ac:dyDescent="0.25">
      <c r="A122" s="1888"/>
      <c r="B122" s="1909"/>
      <c r="C122" s="1889"/>
      <c r="D122" s="1886"/>
      <c r="E122" s="1906">
        <f t="shared" si="2"/>
        <v>0</v>
      </c>
      <c r="F122" s="1906" t="str">
        <f t="shared" si="3"/>
        <v>0</v>
      </c>
    </row>
    <row r="123" spans="1:6" hidden="1" x14ac:dyDescent="0.25">
      <c r="A123" s="1888"/>
      <c r="B123" s="1909"/>
      <c r="C123" s="1889"/>
      <c r="D123" s="1886"/>
      <c r="E123" s="1906">
        <f t="shared" si="2"/>
        <v>0</v>
      </c>
      <c r="F123" s="1906" t="str">
        <f t="shared" si="3"/>
        <v>0</v>
      </c>
    </row>
    <row r="124" spans="1:6" hidden="1" x14ac:dyDescent="0.25">
      <c r="A124" s="1888"/>
      <c r="B124" s="1909"/>
      <c r="C124" s="1889"/>
      <c r="D124" s="1886"/>
      <c r="E124" s="1906">
        <f t="shared" si="2"/>
        <v>0</v>
      </c>
      <c r="F124" s="1906" t="str">
        <f t="shared" si="3"/>
        <v>0</v>
      </c>
    </row>
    <row r="125" spans="1:6" hidden="1" x14ac:dyDescent="0.25">
      <c r="A125" s="1888"/>
      <c r="B125" s="1909"/>
      <c r="C125" s="1889"/>
      <c r="D125" s="1886"/>
      <c r="E125" s="1906">
        <f t="shared" si="2"/>
        <v>0</v>
      </c>
      <c r="F125" s="1906" t="str">
        <f t="shared" si="3"/>
        <v>0</v>
      </c>
    </row>
    <row r="126" spans="1:6" hidden="1" x14ac:dyDescent="0.25">
      <c r="A126" s="1888"/>
      <c r="B126" s="1909"/>
      <c r="C126" s="1889"/>
      <c r="D126" s="1886"/>
      <c r="E126" s="1906">
        <f t="shared" si="2"/>
        <v>0</v>
      </c>
      <c r="F126" s="1906" t="str">
        <f t="shared" si="3"/>
        <v>0</v>
      </c>
    </row>
    <row r="127" spans="1:6" hidden="1" x14ac:dyDescent="0.25">
      <c r="A127" s="1888"/>
      <c r="B127" s="1909"/>
      <c r="C127" s="1889"/>
      <c r="D127" s="1886"/>
      <c r="E127" s="1906">
        <f t="shared" si="2"/>
        <v>0</v>
      </c>
      <c r="F127" s="1906" t="str">
        <f t="shared" si="3"/>
        <v>0</v>
      </c>
    </row>
    <row r="128" spans="1:6" hidden="1" x14ac:dyDescent="0.25">
      <c r="A128" s="1888"/>
      <c r="B128" s="1909"/>
      <c r="C128" s="1889"/>
      <c r="D128" s="1886"/>
      <c r="E128" s="1906">
        <f t="shared" si="2"/>
        <v>0</v>
      </c>
      <c r="F128" s="1906" t="str">
        <f t="shared" si="3"/>
        <v>0</v>
      </c>
    </row>
    <row r="129" spans="1:6" hidden="1" x14ac:dyDescent="0.25">
      <c r="A129" s="1888"/>
      <c r="B129" s="1909"/>
      <c r="C129" s="1889"/>
      <c r="D129" s="1886"/>
      <c r="E129" s="1906">
        <f t="shared" si="2"/>
        <v>0</v>
      </c>
      <c r="F129" s="1906" t="str">
        <f t="shared" si="3"/>
        <v>0</v>
      </c>
    </row>
    <row r="130" spans="1:6" hidden="1" x14ac:dyDescent="0.25">
      <c r="A130" s="1888"/>
      <c r="B130" s="1909"/>
      <c r="C130" s="1889"/>
      <c r="D130" s="1886"/>
      <c r="E130" s="1906">
        <f t="shared" si="2"/>
        <v>0</v>
      </c>
      <c r="F130" s="1906" t="str">
        <f t="shared" si="3"/>
        <v>0</v>
      </c>
    </row>
    <row r="131" spans="1:6" hidden="1" x14ac:dyDescent="0.25">
      <c r="A131" s="1888"/>
      <c r="B131" s="1909"/>
      <c r="C131" s="1889"/>
      <c r="D131" s="1886"/>
      <c r="E131" s="1906">
        <f t="shared" si="2"/>
        <v>0</v>
      </c>
      <c r="F131" s="1906" t="str">
        <f t="shared" si="3"/>
        <v>0</v>
      </c>
    </row>
    <row r="132" spans="1:6" hidden="1" x14ac:dyDescent="0.25">
      <c r="A132" s="1888"/>
      <c r="B132" s="1909"/>
      <c r="C132" s="1889"/>
      <c r="D132" s="1886"/>
      <c r="E132" s="1906">
        <f t="shared" si="2"/>
        <v>0</v>
      </c>
      <c r="F132" s="1906" t="str">
        <f t="shared" si="3"/>
        <v>0</v>
      </c>
    </row>
    <row r="133" spans="1:6" hidden="1" x14ac:dyDescent="0.25">
      <c r="A133" s="1888"/>
      <c r="B133" s="1909"/>
      <c r="C133" s="1889"/>
      <c r="D133" s="1886"/>
      <c r="E133" s="1906">
        <f t="shared" si="2"/>
        <v>0</v>
      </c>
      <c r="F133" s="1906" t="str">
        <f t="shared" si="3"/>
        <v>0</v>
      </c>
    </row>
    <row r="134" spans="1:6" hidden="1" x14ac:dyDescent="0.25">
      <c r="A134" s="1888"/>
      <c r="B134" s="1909"/>
      <c r="C134" s="1889"/>
      <c r="D134" s="1886"/>
      <c r="E134" s="1906">
        <f t="shared" si="2"/>
        <v>0</v>
      </c>
      <c r="F134" s="1906" t="str">
        <f t="shared" si="3"/>
        <v>0</v>
      </c>
    </row>
    <row r="135" spans="1:6" hidden="1" x14ac:dyDescent="0.25">
      <c r="A135" s="1888"/>
      <c r="B135" s="1909"/>
      <c r="C135" s="1889"/>
      <c r="D135" s="1886"/>
      <c r="E135" s="1906">
        <f t="shared" si="2"/>
        <v>0</v>
      </c>
      <c r="F135" s="1906" t="str">
        <f t="shared" si="3"/>
        <v>0</v>
      </c>
    </row>
    <row r="136" spans="1:6" hidden="1" x14ac:dyDescent="0.25">
      <c r="A136" s="1888"/>
      <c r="B136" s="1909"/>
      <c r="C136" s="1889"/>
      <c r="D136" s="1886"/>
      <c r="E136" s="1906">
        <f t="shared" si="2"/>
        <v>0</v>
      </c>
      <c r="F136" s="1906" t="str">
        <f t="shared" si="3"/>
        <v>0</v>
      </c>
    </row>
    <row r="137" spans="1:6" hidden="1" x14ac:dyDescent="0.25">
      <c r="A137" s="1888"/>
      <c r="B137" s="1909"/>
      <c r="C137" s="1889"/>
      <c r="D137" s="1886"/>
      <c r="E137" s="1906">
        <f t="shared" si="2"/>
        <v>0</v>
      </c>
      <c r="F137" s="1906" t="str">
        <f t="shared" si="3"/>
        <v>0</v>
      </c>
    </row>
    <row r="138" spans="1:6" hidden="1" x14ac:dyDescent="0.25">
      <c r="A138" s="1888"/>
      <c r="B138" s="1909"/>
      <c r="C138" s="1889"/>
      <c r="D138" s="1886"/>
      <c r="E138" s="1906">
        <f t="shared" si="2"/>
        <v>0</v>
      </c>
      <c r="F138" s="1906" t="str">
        <f t="shared" si="3"/>
        <v>0</v>
      </c>
    </row>
    <row r="139" spans="1:6" hidden="1" x14ac:dyDescent="0.25">
      <c r="A139" s="1888"/>
      <c r="B139" s="1909"/>
      <c r="C139" s="1889"/>
      <c r="D139" s="1886"/>
      <c r="E139" s="1906">
        <f t="shared" si="2"/>
        <v>0</v>
      </c>
      <c r="F139" s="1906" t="str">
        <f t="shared" si="3"/>
        <v>0</v>
      </c>
    </row>
    <row r="140" spans="1:6" hidden="1" x14ac:dyDescent="0.25">
      <c r="A140" s="1888"/>
      <c r="B140" s="1909"/>
      <c r="C140" s="1889"/>
      <c r="D140" s="1886"/>
      <c r="E140" s="1906">
        <f t="shared" si="2"/>
        <v>0</v>
      </c>
      <c r="F140" s="1906" t="str">
        <f t="shared" si="3"/>
        <v>0</v>
      </c>
    </row>
    <row r="141" spans="1:6" hidden="1" x14ac:dyDescent="0.25">
      <c r="A141" s="1888"/>
      <c r="B141" s="1910"/>
      <c r="C141" s="1889"/>
      <c r="D141" s="1886"/>
      <c r="E141" s="1906">
        <f t="shared" si="2"/>
        <v>0</v>
      </c>
      <c r="F141" s="1906" t="str">
        <f t="shared" si="3"/>
        <v>0</v>
      </c>
    </row>
    <row r="142" spans="1:6" x14ac:dyDescent="0.25">
      <c r="A142" s="1890" t="s">
        <v>155</v>
      </c>
      <c r="B142" s="1911"/>
      <c r="C142" s="1891"/>
      <c r="D142" s="1892">
        <f>SUM(D18:D141)</f>
        <v>0</v>
      </c>
      <c r="E142" s="1893">
        <f>SUM(E18:E141)</f>
        <v>0</v>
      </c>
      <c r="F142" s="1894">
        <f>SUM(F18:F141)</f>
        <v>0</v>
      </c>
    </row>
    <row r="143" spans="1:6" hidden="1" x14ac:dyDescent="0.25"/>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514350</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1485900</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M46"/>
  <sheetViews>
    <sheetView showGridLines="0" defaultGridColor="0" colorId="8" zoomScale="110" zoomScaleNormal="110" workbookViewId="0"/>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474" t="s">
        <v>1660</v>
      </c>
      <c r="B5" s="2475"/>
      <c r="C5" s="2475"/>
      <c r="D5" s="2475"/>
      <c r="E5" s="2475"/>
      <c r="F5" s="2475"/>
      <c r="G5" s="2476"/>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1891</v>
      </c>
      <c r="B10" s="803"/>
      <c r="C10" s="807"/>
      <c r="D10" s="804"/>
      <c r="E10" s="1800">
        <v>220373</v>
      </c>
      <c r="F10" s="805"/>
      <c r="G10" s="806"/>
      <c r="H10" s="157"/>
      <c r="I10" s="157"/>
    </row>
    <row r="11" spans="1:13" s="542" customFormat="1" ht="22.5" customHeight="1" x14ac:dyDescent="0.2">
      <c r="A11" s="2479"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80"/>
      <c r="C11" s="2480"/>
      <c r="D11" s="2481"/>
      <c r="E11" s="1801">
        <v>52261</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8856339</v>
      </c>
      <c r="F19" s="1802"/>
      <c r="G19" s="1804">
        <f>'Expenditures 15-22'!K33-SUM('Expenditures 15-22'!G33,'Expenditures 15-22'!I33)+'Expenditures 15-22'!D229</f>
        <v>8856339</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317824</v>
      </c>
      <c r="F21" s="1805"/>
      <c r="G21" s="1808">
        <f>'Expenditures 15-22'!K42-SUM('Expenditures 15-22'!G42,'Expenditures 15-22'!I42)+'Expenditures 15-22'!K120-SUM('Expenditures 15-22'!G120,'Expenditures 15-22'!I120)+'Expenditures 15-22'!K180-SUM('Expenditures 15-22'!G180,'Expenditures 15-22'!I180)+'Expenditures 15-22'!D238</f>
        <v>317824</v>
      </c>
      <c r="H21" s="817"/>
      <c r="I21" s="157"/>
    </row>
    <row r="22" spans="1:9" s="542" customFormat="1" ht="12" customHeight="1" x14ac:dyDescent="0.2">
      <c r="A22" s="824" t="s">
        <v>560</v>
      </c>
      <c r="B22" s="825"/>
      <c r="C22" s="823">
        <v>2200</v>
      </c>
      <c r="D22" s="1805"/>
      <c r="E22" s="1807">
        <f>'Expenditures 15-22'!K47-SUM('Expenditures 15-22'!G47,'Expenditures 15-22'!I47)+'Expenditures 15-22'!D243</f>
        <v>552908</v>
      </c>
      <c r="F22" s="1805"/>
      <c r="G22" s="1808">
        <f>'Expenditures 15-22'!K47-SUM('Expenditures 15-22'!G47,'Expenditures 15-22'!I47)+'Expenditures 15-22'!D243</f>
        <v>552908</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729860</v>
      </c>
      <c r="F23" s="1805"/>
      <c r="G23" s="1807">
        <f>'Expenditures 15-22'!K53-SUM('Expenditures 15-22'!G53,'Expenditures 15-22'!I53)+'Expenditures 15-22'!D257+'Expenditures 15-22'!K330-SUM('Expenditures 15-22'!G330,'Expenditures 15-22'!I330)</f>
        <v>729860</v>
      </c>
      <c r="H23" s="817"/>
      <c r="I23" s="157"/>
    </row>
    <row r="24" spans="1:9" s="542" customFormat="1" ht="12" customHeight="1" x14ac:dyDescent="0.2">
      <c r="A24" s="824" t="s">
        <v>562</v>
      </c>
      <c r="B24" s="825"/>
      <c r="C24" s="823">
        <v>2400</v>
      </c>
      <c r="D24" s="1805"/>
      <c r="E24" s="1807">
        <f>'Expenditures 15-22'!K57-SUM('Expenditures 15-22'!G57,'Expenditures 15-22'!I57)+'Expenditures 15-22'!D261</f>
        <v>960706</v>
      </c>
      <c r="F24" s="1805"/>
      <c r="G24" s="1808">
        <f>'Expenditures 15-22'!K57-SUM('Expenditures 15-22'!G57,'Expenditures 15-22'!I57)+'Expenditures 15-22'!D261</f>
        <v>960706</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119251</v>
      </c>
      <c r="E26" s="1807">
        <f>'Expenditures 15-22'!K122-SUM('Expenditures 15-22'!G122,'Expenditures 15-22'!I122)+E7</f>
        <v>0</v>
      </c>
      <c r="F26" s="1807">
        <f>'Expenditures 15-22'!K59-SUM('Expenditures 15-22'!G59,'Expenditures 15-22'!I59)+'Expenditures 15-22'!D263-E7</f>
        <v>119251</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42588</v>
      </c>
      <c r="E27" s="1807">
        <f>E8</f>
        <v>0</v>
      </c>
      <c r="F27" s="1807">
        <f>'Expenditures 15-22'!K60-SUM('Expenditures 15-22'!G60,'Expenditures 15-22'!I60)+'Expenditures 15-22'!D264-E8</f>
        <v>42588</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1372534</v>
      </c>
      <c r="F28" s="1809">
        <f>'Expenditures 15-22'!K61-SUM('Expenditures 15-22'!G61,'Expenditures 15-22'!I61)+'Expenditures 15-22'!K124-SUM('Expenditures 15-22'!G124,'Expenditures 15-22'!I124)+'Expenditures 15-22'!D266-E9</f>
        <v>1372534</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554806</v>
      </c>
      <c r="F29" s="1805"/>
      <c r="G29" s="1808">
        <f>'Expenditures 15-22'!K62-SUM('Expenditures 15-22'!G62,'Expenditures 15-22'!I62)+'Expenditures 15-22'!K125-SUM('Expenditures 15-22'!G125,'Expenditures 15-22'!I125)+'Expenditures 15-22'!K182-SUM('Expenditures 15-22'!G182,'Expenditures 15-22'!I182)+'Expenditures 15-22'!D267</f>
        <v>554806</v>
      </c>
      <c r="H29" s="815"/>
    </row>
    <row r="30" spans="1:9" ht="12" customHeight="1" x14ac:dyDescent="0.2">
      <c r="A30" s="824" t="s">
        <v>100</v>
      </c>
      <c r="B30" s="827"/>
      <c r="C30" s="823">
        <v>2560</v>
      </c>
      <c r="D30" s="1805"/>
      <c r="E30" s="1807">
        <f>'Expenditures 15-22'!K63-SUM('Expenditures 15-22'!G63,'Expenditures 15-22'!I63)+'Expenditures 15-22'!D268-E10</f>
        <v>329071</v>
      </c>
      <c r="F30" s="1805"/>
      <c r="G30" s="1807">
        <f>'Expenditures 15-22'!K63-SUM('Expenditures 15-22'!G63,'Expenditures 15-22'!I63)+'Expenditures 15-22'!D268-E10</f>
        <v>329071</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0</v>
      </c>
      <c r="F35" s="1805"/>
      <c r="G35" s="1807">
        <f>'Expenditures 15-22'!K69-SUM('Expenditures 15-22'!G69,'Expenditures 15-22'!I69)+'Expenditures 15-22'!D274</f>
        <v>0</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0</v>
      </c>
      <c r="E37" s="1807">
        <f>E14</f>
        <v>0</v>
      </c>
      <c r="F37" s="1807">
        <f>'Expenditures 15-22'!K71-SUM('Expenditures 15-22'!G71,'Expenditures 15-22'!I71)+'Expenditures 15-22'!D276-E14</f>
        <v>0</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2889</v>
      </c>
      <c r="F39" s="1805"/>
      <c r="G39" s="1807">
        <f>'Expenditures 15-22'!K75-SUM('Expenditures 15-22'!G75,'Expenditures 15-22'!I75)+'Expenditures 15-22'!K130-SUM('Expenditures 15-22'!G130,'Expenditures 15-22'!I130)+'Expenditures 15-22'!K185-SUM('Expenditures 15-22'!G185,'Expenditures 15-22'!I185)+'Expenditures 15-22'!D280</f>
        <v>2889</v>
      </c>
    </row>
    <row r="40" spans="1:7" ht="12" customHeight="1" x14ac:dyDescent="0.2">
      <c r="A40" s="820" t="s">
        <v>1795</v>
      </c>
      <c r="B40" s="821"/>
      <c r="C40" s="823"/>
      <c r="D40" s="1805"/>
      <c r="E40" s="1809">
        <f>-'Contracts Paid in CY 29'!F142</f>
        <v>0</v>
      </c>
      <c r="F40" s="1805"/>
      <c r="G40" s="1809">
        <f>-'Contracts Paid in CY 29'!F142</f>
        <v>0</v>
      </c>
    </row>
    <row r="41" spans="1:7" ht="12" customHeight="1" x14ac:dyDescent="0.2">
      <c r="A41" s="828" t="s">
        <v>155</v>
      </c>
      <c r="B41" s="829"/>
      <c r="C41" s="830"/>
      <c r="D41" s="1809">
        <f>SUM(D19:D39)</f>
        <v>161839</v>
      </c>
      <c r="E41" s="1809">
        <f>SUM(E19:E40)</f>
        <v>13676937</v>
      </c>
      <c r="F41" s="1809">
        <f>SUM(F19:F39)</f>
        <v>1534373</v>
      </c>
      <c r="G41" s="1809">
        <f>SUM(G19:G40)</f>
        <v>12304403</v>
      </c>
    </row>
    <row r="42" spans="1:7" x14ac:dyDescent="0.2">
      <c r="A42" s="817"/>
      <c r="B42" s="157"/>
      <c r="C42" s="831"/>
      <c r="D42" s="2477" t="s">
        <v>519</v>
      </c>
      <c r="E42" s="2478"/>
      <c r="F42" s="832" t="s">
        <v>520</v>
      </c>
      <c r="G42" s="833"/>
    </row>
    <row r="43" spans="1:7" ht="12" customHeight="1" x14ac:dyDescent="0.2">
      <c r="A43" s="817"/>
      <c r="B43" s="157"/>
      <c r="C43" s="831"/>
      <c r="D43" s="1458" t="s">
        <v>470</v>
      </c>
      <c r="E43" s="1810">
        <f>D41</f>
        <v>161839</v>
      </c>
      <c r="F43" s="1458" t="s">
        <v>470</v>
      </c>
      <c r="G43" s="1810">
        <f>F41</f>
        <v>1534373</v>
      </c>
    </row>
    <row r="44" spans="1:7" ht="12" customHeight="1" x14ac:dyDescent="0.2">
      <c r="A44" s="817"/>
      <c r="B44" s="157"/>
      <c r="C44" s="831"/>
      <c r="D44" s="1458" t="s">
        <v>471</v>
      </c>
      <c r="E44" s="1810">
        <f>E41</f>
        <v>13676937</v>
      </c>
      <c r="F44" s="1458" t="s">
        <v>471</v>
      </c>
      <c r="G44" s="1810">
        <f>G41</f>
        <v>12304403</v>
      </c>
    </row>
    <row r="45" spans="1:7" ht="12" customHeight="1" x14ac:dyDescent="0.2">
      <c r="A45" s="817"/>
      <c r="B45" s="157"/>
      <c r="C45" s="157"/>
      <c r="D45" s="1459" t="s">
        <v>999</v>
      </c>
      <c r="E45" s="1811">
        <f>(E43/E44)</f>
        <v>1.1832985704328388E-2</v>
      </c>
      <c r="F45" s="1459" t="s">
        <v>999</v>
      </c>
      <c r="G45" s="1811">
        <f>(G43/G44)</f>
        <v>0.12470113340728518</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O97"/>
  <sheetViews>
    <sheetView showGridLines="0" zoomScale="110" zoomScaleNormal="110" workbookViewId="0">
      <selection sqref="A1:F1"/>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7.5703125" style="1507" bestFit="1" customWidth="1"/>
    <col min="9" max="9" width="4" style="1507" bestFit="1" customWidth="1"/>
    <col min="10" max="10" width="2.7109375" style="1507" bestFit="1" customWidth="1"/>
    <col min="11" max="11" width="9" style="1507" customWidth="1"/>
    <col min="12" max="16384" width="9.140625" style="1477"/>
  </cols>
  <sheetData>
    <row r="1" spans="1:15" x14ac:dyDescent="0.2">
      <c r="A1" s="2496" t="s">
        <v>1363</v>
      </c>
      <c r="B1" s="2496"/>
      <c r="C1" s="2496"/>
      <c r="D1" s="2496"/>
      <c r="E1" s="2496"/>
      <c r="F1" s="2496"/>
    </row>
    <row r="2" spans="1:15" x14ac:dyDescent="0.2">
      <c r="A2" s="1513" t="s">
        <v>1875</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97" t="s">
        <v>1529</v>
      </c>
      <c r="B5" s="2498"/>
      <c r="C5" s="2499"/>
      <c r="D5" s="2499"/>
      <c r="E5" s="2499"/>
      <c r="F5" s="2499"/>
      <c r="G5" s="1507"/>
      <c r="L5" s="1507"/>
      <c r="M5" s="1855"/>
      <c r="N5" s="1855"/>
      <c r="O5" s="1855"/>
    </row>
    <row r="6" spans="1:15" ht="12" customHeight="1" x14ac:dyDescent="0.25">
      <c r="A6" s="1480"/>
      <c r="B6" s="1481"/>
      <c r="C6" s="2500" t="str">
        <f>COVER!A17</f>
        <v>Community Unit School District No. 140</v>
      </c>
      <c r="D6" s="2500"/>
      <c r="E6" s="2500"/>
      <c r="F6" s="1482"/>
      <c r="G6" s="1507"/>
      <c r="L6" s="1507"/>
      <c r="M6" s="1855"/>
      <c r="N6" s="1855"/>
      <c r="O6" s="1855"/>
    </row>
    <row r="7" spans="1:15" ht="11.25" customHeight="1" thickBot="1" x14ac:dyDescent="0.3">
      <c r="A7" s="1480"/>
      <c r="B7" s="1481"/>
      <c r="C7" s="2501" t="str">
        <f>COVER!A13</f>
        <v>53-102-1400-26</v>
      </c>
      <c r="D7" s="2501"/>
      <c r="E7" s="2501"/>
      <c r="F7" s="1482"/>
      <c r="G7" s="1507"/>
      <c r="L7" s="1507"/>
      <c r="M7" s="1855"/>
      <c r="N7" s="1855"/>
      <c r="O7" s="1855"/>
    </row>
    <row r="8" spans="1:15" ht="25.5" customHeight="1" thickBot="1" x14ac:dyDescent="0.25">
      <c r="A8" s="1519" t="s">
        <v>1871</v>
      </c>
      <c r="B8" s="1483"/>
      <c r="C8" s="1515" t="s">
        <v>1662</v>
      </c>
      <c r="D8" s="1514" t="s">
        <v>1663</v>
      </c>
      <c r="E8" s="1516" t="s">
        <v>1364</v>
      </c>
      <c r="F8" s="1514" t="s">
        <v>1664</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1661</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1369</v>
      </c>
      <c r="B13" s="1494"/>
      <c r="C13" s="1495"/>
      <c r="D13" s="1495"/>
      <c r="E13" s="1498"/>
      <c r="F13" s="1497"/>
      <c r="G13" s="1507"/>
      <c r="H13" s="1507">
        <f t="shared" si="0"/>
        <v>0</v>
      </c>
      <c r="I13" s="1507">
        <f t="shared" si="1"/>
        <v>0</v>
      </c>
      <c r="J13" s="1507">
        <f t="shared" si="2"/>
        <v>0</v>
      </c>
      <c r="L13" s="1507"/>
      <c r="M13" s="1855"/>
      <c r="N13" s="1855"/>
      <c r="O13" s="1855"/>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1371</v>
      </c>
      <c r="B15" s="1494"/>
      <c r="C15" s="1495"/>
      <c r="D15" s="1495"/>
      <c r="E15" s="1498"/>
      <c r="F15" s="1497"/>
      <c r="G15" s="1507"/>
      <c r="H15" s="1507">
        <f t="shared" si="0"/>
        <v>0</v>
      </c>
      <c r="I15" s="1507">
        <f t="shared" si="1"/>
        <v>0</v>
      </c>
      <c r="J15" s="1507">
        <f t="shared" si="2"/>
        <v>0</v>
      </c>
      <c r="L15" s="1507"/>
      <c r="M15" s="1855"/>
      <c r="N15" s="1855"/>
      <c r="O15" s="1855"/>
    </row>
    <row r="16" spans="1:15" ht="12" customHeight="1" x14ac:dyDescent="0.2">
      <c r="A16" s="1493" t="s">
        <v>1372</v>
      </c>
      <c r="B16" s="1494"/>
      <c r="C16" s="1495" t="s">
        <v>2048</v>
      </c>
      <c r="D16" s="1495" t="s">
        <v>2048</v>
      </c>
      <c r="E16" s="1498"/>
      <c r="F16" s="1497" t="s">
        <v>2163</v>
      </c>
      <c r="G16" s="1507"/>
      <c r="H16" s="1507">
        <f t="shared" si="0"/>
        <v>5</v>
      </c>
      <c r="I16" s="1507">
        <f t="shared" si="1"/>
        <v>5</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t="s">
        <v>2048</v>
      </c>
      <c r="D26" s="1495" t="s">
        <v>2048</v>
      </c>
      <c r="E26" s="1498"/>
      <c r="F26" s="1497" t="s">
        <v>2106</v>
      </c>
      <c r="G26" s="1507"/>
      <c r="H26" s="1507">
        <f t="shared" si="0"/>
        <v>5</v>
      </c>
      <c r="I26" s="1507">
        <f t="shared" si="1"/>
        <v>5</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t="s">
        <v>2048</v>
      </c>
      <c r="D28" s="1495" t="s">
        <v>2048</v>
      </c>
      <c r="E28" s="1498"/>
      <c r="F28" s="1497" t="s">
        <v>2164</v>
      </c>
      <c r="G28" s="1507"/>
      <c r="H28" s="1507">
        <f t="shared" si="0"/>
        <v>5</v>
      </c>
      <c r="I28" s="1507">
        <f t="shared" si="1"/>
        <v>5</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1522</v>
      </c>
      <c r="B31" s="1494"/>
      <c r="C31" s="1495" t="s">
        <v>2048</v>
      </c>
      <c r="D31" s="1495" t="s">
        <v>2048</v>
      </c>
      <c r="E31" s="1498"/>
      <c r="F31" s="1497" t="s">
        <v>2165</v>
      </c>
      <c r="G31" s="1507"/>
      <c r="H31" s="1507">
        <f t="shared" si="0"/>
        <v>5</v>
      </c>
      <c r="I31" s="1507">
        <f t="shared" si="1"/>
        <v>5</v>
      </c>
      <c r="J31" s="1507">
        <f t="shared" si="2"/>
        <v>0</v>
      </c>
      <c r="L31" s="1856"/>
      <c r="M31" s="1855"/>
      <c r="N31" s="1855"/>
      <c r="O31" s="1855"/>
    </row>
    <row r="32" spans="1:15" ht="12" customHeight="1" x14ac:dyDescent="0.2">
      <c r="A32" s="1493" t="s">
        <v>1523</v>
      </c>
      <c r="B32" s="1494"/>
      <c r="C32" s="1495" t="s">
        <v>2048</v>
      </c>
      <c r="D32" s="1495" t="s">
        <v>2048</v>
      </c>
      <c r="E32" s="1498"/>
      <c r="F32" s="1497" t="s">
        <v>2166</v>
      </c>
      <c r="G32" s="1507"/>
      <c r="H32" s="1507">
        <f t="shared" si="0"/>
        <v>5</v>
      </c>
      <c r="I32" s="1507">
        <f t="shared" si="1"/>
        <v>5</v>
      </c>
      <c r="J32" s="1507">
        <f t="shared" si="2"/>
        <v>0</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25</v>
      </c>
      <c r="I34" s="1507">
        <f>SUM(I11:I32)</f>
        <v>25</v>
      </c>
      <c r="J34" s="1507">
        <f>SUM(J11:J32)</f>
        <v>0</v>
      </c>
      <c r="K34" s="1507">
        <f>SUM(H34:J34)</f>
        <v>50</v>
      </c>
      <c r="L34" s="1507"/>
      <c r="M34" s="1855"/>
      <c r="N34" s="1855"/>
      <c r="O34" s="1855"/>
    </row>
    <row r="35" spans="1:15" ht="12" customHeight="1" x14ac:dyDescent="0.2">
      <c r="A35" s="1500" t="s">
        <v>1376</v>
      </c>
      <c r="B35" s="1501"/>
      <c r="C35" s="2502"/>
      <c r="D35" s="2502"/>
      <c r="E35" s="2502"/>
      <c r="F35" s="2503"/>
    </row>
    <row r="36" spans="1:15" ht="12" customHeight="1" x14ac:dyDescent="0.2">
      <c r="A36" s="2485"/>
      <c r="B36" s="2486"/>
      <c r="C36" s="2486"/>
      <c r="D36" s="2486"/>
      <c r="E36" s="2486"/>
      <c r="F36" s="2487"/>
    </row>
    <row r="37" spans="1:15" ht="12" customHeight="1" x14ac:dyDescent="0.2">
      <c r="A37" s="2485"/>
      <c r="B37" s="2486"/>
      <c r="C37" s="2486"/>
      <c r="D37" s="2486"/>
      <c r="E37" s="2486"/>
      <c r="F37" s="2487"/>
    </row>
    <row r="38" spans="1:15" ht="12" customHeight="1" x14ac:dyDescent="0.2">
      <c r="A38" s="2488"/>
      <c r="B38" s="2489"/>
      <c r="C38" s="2489"/>
      <c r="D38" s="2489"/>
      <c r="E38" s="2489"/>
      <c r="F38" s="2490"/>
    </row>
    <row r="39" spans="1:15" ht="4.5" hidden="1" customHeight="1" x14ac:dyDescent="0.2">
      <c r="A39" s="1502"/>
      <c r="B39" s="1502"/>
      <c r="C39" s="1502"/>
      <c r="D39" s="1502"/>
      <c r="E39" s="1502"/>
      <c r="F39" s="1502"/>
    </row>
    <row r="40" spans="1:15" s="1499" customFormat="1" ht="12" customHeight="1" x14ac:dyDescent="0.25">
      <c r="A40" s="1503" t="s">
        <v>1375</v>
      </c>
      <c r="B40" s="1504"/>
      <c r="C40" s="2491"/>
      <c r="D40" s="2491"/>
      <c r="E40" s="2491"/>
      <c r="F40" s="2492"/>
      <c r="H40" s="1508"/>
      <c r="I40" s="1508"/>
      <c r="J40" s="1508"/>
      <c r="K40" s="1508"/>
    </row>
    <row r="41" spans="1:15" s="1499" customFormat="1" ht="12" customHeight="1" x14ac:dyDescent="0.25">
      <c r="A41" s="2493"/>
      <c r="B41" s="2494"/>
      <c r="C41" s="2494"/>
      <c r="D41" s="2494"/>
      <c r="E41" s="2494"/>
      <c r="F41" s="2495"/>
      <c r="H41" s="1508"/>
      <c r="I41" s="1508"/>
      <c r="J41" s="1508"/>
      <c r="K41" s="1508"/>
    </row>
    <row r="42" spans="1:15" s="1499" customFormat="1" ht="12" customHeight="1" x14ac:dyDescent="0.25">
      <c r="A42" s="2493"/>
      <c r="B42" s="2494"/>
      <c r="C42" s="2494"/>
      <c r="D42" s="2494"/>
      <c r="E42" s="2494"/>
      <c r="F42" s="2495"/>
      <c r="H42" s="1508"/>
      <c r="I42" s="1508"/>
      <c r="J42" s="1508"/>
      <c r="K42" s="1508"/>
    </row>
    <row r="43" spans="1:15" s="1499" customFormat="1" ht="15" x14ac:dyDescent="0.25">
      <c r="A43" s="2482"/>
      <c r="B43" s="2483"/>
      <c r="C43" s="2483"/>
      <c r="D43" s="2483"/>
      <c r="E43" s="2483"/>
      <c r="F43" s="2484"/>
      <c r="H43" s="1508"/>
      <c r="I43" s="1508"/>
      <c r="J43" s="1508"/>
      <c r="K43" s="1508"/>
    </row>
    <row r="44" spans="1:15" s="1499" customFormat="1" ht="12" hidden="1" customHeight="1" x14ac:dyDescent="0.25">
      <c r="A44" s="2482"/>
      <c r="B44" s="2483"/>
      <c r="C44" s="2483"/>
      <c r="D44" s="2483"/>
      <c r="E44" s="2483"/>
      <c r="F44" s="2484"/>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3"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83"/>
  <sheetViews>
    <sheetView showGridLines="0" zoomScaleNormal="100" workbookViewId="0"/>
  </sheetViews>
  <sheetFormatPr defaultColWidth="9.140625" defaultRowHeight="12.75" x14ac:dyDescent="0.2"/>
  <cols>
    <col min="1" max="1" width="2.85546875" style="1922" customWidth="1"/>
    <col min="2" max="2" width="3" style="1922" customWidth="1"/>
    <col min="3" max="3" width="48.5703125" style="1922" customWidth="1"/>
    <col min="4" max="4" width="7.42578125" style="1922" customWidth="1"/>
    <col min="5" max="5" width="11.28515625" style="1922" customWidth="1"/>
    <col min="6" max="6" width="10.85546875" style="1922" customWidth="1"/>
    <col min="7" max="8" width="9.140625" style="1922"/>
    <col min="9" max="9" width="11.140625" style="1922" customWidth="1"/>
    <col min="10" max="10" width="10.85546875" style="1922" customWidth="1"/>
    <col min="11" max="11" width="9.140625" style="1922"/>
    <col min="12" max="12" width="14.140625" style="1922" customWidth="1"/>
    <col min="13" max="13" width="9.140625" style="1922"/>
    <col min="14" max="14" width="18.7109375" style="1922" customWidth="1"/>
    <col min="15" max="16384" width="9.140625" style="1922"/>
  </cols>
  <sheetData>
    <row r="1" spans="1:14" x14ac:dyDescent="0.2">
      <c r="A1" s="1980"/>
      <c r="B1" s="1981"/>
      <c r="C1" s="1981"/>
      <c r="D1" s="1981"/>
      <c r="E1" s="1981"/>
      <c r="F1" s="1981"/>
      <c r="G1" s="1996" t="s">
        <v>402</v>
      </c>
      <c r="H1" s="1997"/>
      <c r="I1" s="1981"/>
      <c r="J1" s="1981"/>
      <c r="K1" s="1981"/>
      <c r="L1" s="1981"/>
      <c r="M1" s="1981"/>
      <c r="N1" s="1982"/>
    </row>
    <row r="2" spans="1:14" x14ac:dyDescent="0.2">
      <c r="A2" s="1998"/>
      <c r="B2" s="838"/>
      <c r="C2" s="838"/>
      <c r="D2" s="838"/>
      <c r="E2" s="838"/>
      <c r="F2" s="838"/>
      <c r="G2" s="1924" t="s">
        <v>1999</v>
      </c>
      <c r="H2" s="1921"/>
      <c r="I2" s="838"/>
      <c r="J2" s="838"/>
      <c r="K2" s="838"/>
      <c r="L2" s="838"/>
      <c r="M2" s="838"/>
      <c r="N2" s="1999"/>
    </row>
    <row r="3" spans="1:14" x14ac:dyDescent="0.2">
      <c r="A3" s="1998"/>
      <c r="B3" s="838"/>
      <c r="C3" s="838"/>
      <c r="D3" s="838"/>
      <c r="E3" s="838"/>
      <c r="F3" s="838"/>
      <c r="G3" s="1924" t="s">
        <v>403</v>
      </c>
      <c r="H3" s="838"/>
      <c r="I3" s="838"/>
      <c r="J3" s="838"/>
      <c r="K3" s="838"/>
      <c r="L3" s="838"/>
      <c r="M3" s="838"/>
      <c r="N3" s="1999"/>
    </row>
    <row r="4" spans="1:14" x14ac:dyDescent="0.2">
      <c r="A4" s="1998"/>
      <c r="B4" s="838"/>
      <c r="C4" s="838"/>
      <c r="D4" s="838"/>
      <c r="E4" s="838"/>
      <c r="F4" s="838"/>
      <c r="G4" s="1924" t="s">
        <v>863</v>
      </c>
      <c r="H4" s="838"/>
      <c r="I4" s="838"/>
      <c r="J4" s="838"/>
      <c r="K4" s="838"/>
      <c r="L4" s="838"/>
      <c r="M4" s="838"/>
      <c r="N4" s="1999"/>
    </row>
    <row r="5" spans="1:14" x14ac:dyDescent="0.2">
      <c r="A5" s="1998"/>
      <c r="B5" s="838"/>
      <c r="C5" s="838"/>
      <c r="D5" s="838"/>
      <c r="E5" s="838"/>
      <c r="F5" s="1924"/>
      <c r="G5" s="1924"/>
      <c r="H5" s="838"/>
      <c r="I5" s="838"/>
      <c r="J5" s="838"/>
      <c r="K5" s="838"/>
      <c r="L5" s="838"/>
      <c r="M5" s="838"/>
      <c r="N5" s="1999"/>
    </row>
    <row r="6" spans="1:14" x14ac:dyDescent="0.2">
      <c r="A6" s="2000" t="s">
        <v>667</v>
      </c>
      <c r="B6" s="1377"/>
      <c r="C6" s="1377"/>
      <c r="D6" s="1377"/>
      <c r="E6" s="1378"/>
      <c r="F6" s="1923"/>
      <c r="G6" s="1924"/>
      <c r="H6" s="838"/>
      <c r="I6" s="1925" t="s">
        <v>1021</v>
      </c>
      <c r="J6" s="2522" t="str">
        <f>COVER!A17</f>
        <v>Community Unit School District No. 140</v>
      </c>
      <c r="K6" s="2522"/>
      <c r="L6" s="2536"/>
      <c r="M6" s="838"/>
      <c r="N6" s="1999"/>
    </row>
    <row r="7" spans="1:14" x14ac:dyDescent="0.2">
      <c r="A7" s="2537" t="s">
        <v>864</v>
      </c>
      <c r="B7" s="2538"/>
      <c r="C7" s="2538"/>
      <c r="D7" s="2538"/>
      <c r="E7" s="2539"/>
      <c r="F7" s="839"/>
      <c r="G7" s="838"/>
      <c r="H7" s="838"/>
      <c r="I7" s="1925" t="s">
        <v>369</v>
      </c>
      <c r="J7" s="2524" t="str">
        <f>COVER!A13</f>
        <v>53-102-1400-26</v>
      </c>
      <c r="K7" s="2524"/>
      <c r="L7" s="2524"/>
      <c r="M7" s="838"/>
      <c r="N7" s="1999"/>
    </row>
    <row r="8" spans="1:14" x14ac:dyDescent="0.2">
      <c r="A8" s="2001"/>
      <c r="B8" s="1926"/>
      <c r="C8" s="1926"/>
      <c r="D8" s="1926"/>
      <c r="E8" s="1927"/>
      <c r="F8" s="1928"/>
      <c r="G8" s="1912"/>
      <c r="H8" s="1912"/>
      <c r="I8" s="1912"/>
      <c r="J8" s="1912"/>
      <c r="K8" s="1912"/>
      <c r="L8" s="1912"/>
      <c r="M8" s="838"/>
      <c r="N8" s="1999"/>
    </row>
    <row r="9" spans="1:14" x14ac:dyDescent="0.2">
      <c r="A9" s="2002"/>
      <c r="B9" s="840"/>
      <c r="C9" s="840"/>
      <c r="D9" s="841"/>
      <c r="E9" s="1929" t="s">
        <v>2015</v>
      </c>
      <c r="F9" s="1857"/>
      <c r="G9" s="1857"/>
      <c r="H9" s="1857"/>
      <c r="I9" s="1930" t="s">
        <v>2016</v>
      </c>
      <c r="J9" s="1857"/>
      <c r="K9" s="1857"/>
      <c r="L9" s="1858"/>
      <c r="M9" s="838"/>
      <c r="N9" s="1999"/>
    </row>
    <row r="10" spans="1:14" x14ac:dyDescent="0.2">
      <c r="A10" s="2003"/>
      <c r="B10" s="1931"/>
      <c r="C10" s="1932"/>
      <c r="D10" s="1933"/>
      <c r="E10" s="1934" t="s">
        <v>422</v>
      </c>
      <c r="F10" s="1935" t="s">
        <v>423</v>
      </c>
      <c r="G10" s="1936" t="s">
        <v>429</v>
      </c>
      <c r="H10" s="1937"/>
      <c r="I10" s="1935" t="s">
        <v>422</v>
      </c>
      <c r="J10" s="1935" t="s">
        <v>423</v>
      </c>
      <c r="K10" s="1936" t="s">
        <v>429</v>
      </c>
      <c r="L10" s="1935"/>
      <c r="M10" s="838"/>
      <c r="N10" s="1999"/>
    </row>
    <row r="11" spans="1:14" ht="51" x14ac:dyDescent="0.2">
      <c r="A11" s="2540" t="s">
        <v>478</v>
      </c>
      <c r="B11" s="2541"/>
      <c r="C11" s="2542"/>
      <c r="D11" s="1938" t="s">
        <v>866</v>
      </c>
      <c r="E11" s="1938" t="s">
        <v>64</v>
      </c>
      <c r="F11" s="1938" t="s">
        <v>6</v>
      </c>
      <c r="G11" s="1939" t="s">
        <v>2017</v>
      </c>
      <c r="H11" s="1940" t="s">
        <v>155</v>
      </c>
      <c r="I11" s="1938" t="s">
        <v>64</v>
      </c>
      <c r="J11" s="1938" t="s">
        <v>6</v>
      </c>
      <c r="K11" s="1939" t="s">
        <v>1998</v>
      </c>
      <c r="L11" s="1940" t="s">
        <v>155</v>
      </c>
      <c r="M11" s="838"/>
      <c r="N11" s="1999"/>
    </row>
    <row r="12" spans="1:14" x14ac:dyDescent="0.2">
      <c r="A12" s="2004">
        <v>1</v>
      </c>
      <c r="B12" s="1941" t="s">
        <v>813</v>
      </c>
      <c r="C12" s="842"/>
      <c r="D12" s="1942">
        <v>2320</v>
      </c>
      <c r="E12" s="1945">
        <f>'Expenditures 15-22'!K50</f>
        <v>164600</v>
      </c>
      <c r="F12" s="1943"/>
      <c r="G12" s="1969">
        <f>G68</f>
        <v>7466</v>
      </c>
      <c r="H12" s="1945">
        <f t="shared" ref="H12:H18" si="0">SUM(E12:G12)</f>
        <v>172066</v>
      </c>
      <c r="I12" s="1944">
        <v>172652</v>
      </c>
      <c r="J12" s="1943"/>
      <c r="K12" s="1944">
        <v>6994</v>
      </c>
      <c r="L12" s="1945">
        <f t="shared" ref="L12:L18" si="1">SUM(I12:K12)</f>
        <v>179646</v>
      </c>
      <c r="M12" s="838"/>
      <c r="N12" s="1999"/>
    </row>
    <row r="13" spans="1:14" x14ac:dyDescent="0.2">
      <c r="A13" s="2004">
        <v>2</v>
      </c>
      <c r="B13" s="1941" t="s">
        <v>42</v>
      </c>
      <c r="C13" s="842"/>
      <c r="D13" s="1942">
        <v>2330</v>
      </c>
      <c r="E13" s="1945">
        <f>'Expenditures 15-22'!K51</f>
        <v>0</v>
      </c>
      <c r="F13" s="1943"/>
      <c r="G13" s="1969">
        <f>H68</f>
        <v>0</v>
      </c>
      <c r="H13" s="1945">
        <f t="shared" si="0"/>
        <v>0</v>
      </c>
      <c r="I13" s="1944"/>
      <c r="J13" s="1943"/>
      <c r="K13" s="1944"/>
      <c r="L13" s="1945">
        <f t="shared" si="1"/>
        <v>0</v>
      </c>
      <c r="M13" s="838"/>
      <c r="N13" s="1999"/>
    </row>
    <row r="14" spans="1:14" x14ac:dyDescent="0.2">
      <c r="A14" s="2004">
        <v>3</v>
      </c>
      <c r="B14" s="1941" t="s">
        <v>43</v>
      </c>
      <c r="C14" s="842"/>
      <c r="D14" s="1946">
        <v>2490</v>
      </c>
      <c r="E14" s="1945">
        <f>'Expenditures 15-22'!K56</f>
        <v>0</v>
      </c>
      <c r="F14" s="1943"/>
      <c r="G14" s="1969">
        <f>I68</f>
        <v>0</v>
      </c>
      <c r="H14" s="1945">
        <f t="shared" si="0"/>
        <v>0</v>
      </c>
      <c r="I14" s="1944"/>
      <c r="J14" s="1943"/>
      <c r="K14" s="1944"/>
      <c r="L14" s="1945">
        <f t="shared" si="1"/>
        <v>0</v>
      </c>
      <c r="M14" s="838"/>
      <c r="N14" s="1999"/>
    </row>
    <row r="15" spans="1:14" x14ac:dyDescent="0.2">
      <c r="A15" s="2004">
        <v>4</v>
      </c>
      <c r="B15" s="1941" t="s">
        <v>1059</v>
      </c>
      <c r="C15" s="842"/>
      <c r="D15" s="1942">
        <v>2510</v>
      </c>
      <c r="E15" s="1945">
        <f>'Expenditures 15-22'!K59</f>
        <v>118603</v>
      </c>
      <c r="F15" s="1945">
        <f>'Expenditures 15-22'!K122</f>
        <v>0</v>
      </c>
      <c r="G15" s="1969">
        <f>J68</f>
        <v>0</v>
      </c>
      <c r="H15" s="1945">
        <f t="shared" si="0"/>
        <v>118603</v>
      </c>
      <c r="I15" s="1944">
        <v>123111</v>
      </c>
      <c r="J15" s="1944"/>
      <c r="K15" s="1944"/>
      <c r="L15" s="1945">
        <f t="shared" si="1"/>
        <v>123111</v>
      </c>
      <c r="M15" s="838"/>
      <c r="N15" s="1999"/>
    </row>
    <row r="16" spans="1:14" x14ac:dyDescent="0.2">
      <c r="A16" s="2004">
        <v>5</v>
      </c>
      <c r="B16" s="1941" t="s">
        <v>101</v>
      </c>
      <c r="C16" s="842"/>
      <c r="D16" s="1942">
        <v>2570</v>
      </c>
      <c r="E16" s="1945">
        <f>'Expenditures 15-22'!K64</f>
        <v>0</v>
      </c>
      <c r="F16" s="1943"/>
      <c r="G16" s="1969">
        <f>K68</f>
        <v>0</v>
      </c>
      <c r="H16" s="1945">
        <f t="shared" si="0"/>
        <v>0</v>
      </c>
      <c r="I16" s="1944"/>
      <c r="J16" s="1943"/>
      <c r="K16" s="1944"/>
      <c r="L16" s="1945">
        <f t="shared" si="1"/>
        <v>0</v>
      </c>
      <c r="M16" s="838"/>
      <c r="N16" s="1999"/>
    </row>
    <row r="17" spans="1:14" x14ac:dyDescent="0.2">
      <c r="A17" s="2004">
        <v>6</v>
      </c>
      <c r="B17" s="1941" t="s">
        <v>1051</v>
      </c>
      <c r="C17" s="842"/>
      <c r="D17" s="1942">
        <v>2610</v>
      </c>
      <c r="E17" s="1945">
        <f>'Expenditures 15-22'!K67</f>
        <v>0</v>
      </c>
      <c r="F17" s="1943"/>
      <c r="G17" s="1969">
        <f>L68</f>
        <v>0</v>
      </c>
      <c r="H17" s="1945">
        <f t="shared" si="0"/>
        <v>0</v>
      </c>
      <c r="I17" s="1944"/>
      <c r="J17" s="1943"/>
      <c r="K17" s="1944"/>
      <c r="L17" s="1945">
        <f t="shared" si="1"/>
        <v>0</v>
      </c>
      <c r="M17" s="838"/>
      <c r="N17" s="1999"/>
    </row>
    <row r="18" spans="1:14" ht="26.25" customHeight="1" x14ac:dyDescent="0.2">
      <c r="A18" s="2005">
        <v>7</v>
      </c>
      <c r="B18" s="2543" t="s">
        <v>7</v>
      </c>
      <c r="C18" s="2544"/>
      <c r="D18" s="2545"/>
      <c r="E18" s="1947"/>
      <c r="F18" s="1947"/>
      <c r="G18" s="1944"/>
      <c r="H18" s="1948">
        <f t="shared" si="0"/>
        <v>0</v>
      </c>
      <c r="I18" s="1944"/>
      <c r="J18" s="1944"/>
      <c r="K18" s="1944"/>
      <c r="L18" s="1945">
        <f t="shared" si="1"/>
        <v>0</v>
      </c>
      <c r="M18" s="838"/>
      <c r="N18" s="1999"/>
    </row>
    <row r="19" spans="1:14" ht="13.5" thickBot="1" x14ac:dyDescent="0.25">
      <c r="A19" s="2004">
        <v>8</v>
      </c>
      <c r="B19" s="1949" t="s">
        <v>1151</v>
      </c>
      <c r="C19" s="838"/>
      <c r="D19" s="1950"/>
      <c r="E19" s="1951">
        <f t="shared" ref="E19:L19" si="2">SUM(E12:E17)-E18</f>
        <v>283203</v>
      </c>
      <c r="F19" s="1951">
        <f t="shared" si="2"/>
        <v>0</v>
      </c>
      <c r="G19" s="1951">
        <f t="shared" ref="G19" si="3">SUM(G12:G17)-G18</f>
        <v>7466</v>
      </c>
      <c r="H19" s="1951">
        <f t="shared" si="2"/>
        <v>290669</v>
      </c>
      <c r="I19" s="1951">
        <f t="shared" si="2"/>
        <v>295763</v>
      </c>
      <c r="J19" s="1951">
        <f t="shared" si="2"/>
        <v>0</v>
      </c>
      <c r="K19" s="1951">
        <f t="shared" si="2"/>
        <v>6994</v>
      </c>
      <c r="L19" s="1951">
        <f t="shared" si="2"/>
        <v>302757</v>
      </c>
      <c r="M19" s="838"/>
      <c r="N19" s="1999"/>
    </row>
    <row r="20" spans="1:14" ht="13.5" thickTop="1" x14ac:dyDescent="0.2">
      <c r="A20" s="2004">
        <v>9</v>
      </c>
      <c r="B20" s="2546" t="s">
        <v>2018</v>
      </c>
      <c r="C20" s="2546"/>
      <c r="D20" s="2547"/>
      <c r="E20" s="1952"/>
      <c r="F20" s="1952"/>
      <c r="G20" s="1952"/>
      <c r="H20" s="1952"/>
      <c r="I20" s="1952"/>
      <c r="J20" s="1952"/>
      <c r="K20" s="1952"/>
      <c r="L20" s="1953">
        <f>IF(AND(H19&gt;0,L19&gt;0),(((L19-H19)/H19)),"Enter Budget Data")</f>
        <v>4.1586822124134323E-2</v>
      </c>
      <c r="M20" s="838"/>
      <c r="N20" s="1999"/>
    </row>
    <row r="21" spans="1:14" x14ac:dyDescent="0.2">
      <c r="A21" s="2006" t="s">
        <v>194</v>
      </c>
      <c r="B21" s="2007" t="s">
        <v>2043</v>
      </c>
      <c r="C21" s="838"/>
      <c r="D21" s="1954"/>
      <c r="E21" s="1955"/>
      <c r="F21" s="1956"/>
      <c r="G21" s="1956"/>
      <c r="H21" s="1956"/>
      <c r="I21" s="1956"/>
      <c r="J21" s="1956"/>
      <c r="K21" s="1956"/>
      <c r="L21" s="1957"/>
      <c r="M21" s="838"/>
      <c r="N21" s="1999"/>
    </row>
    <row r="22" spans="1:14" x14ac:dyDescent="0.2">
      <c r="A22" s="1998"/>
      <c r="B22" s="2008"/>
      <c r="C22" s="838"/>
      <c r="D22" s="838"/>
      <c r="E22" s="838"/>
      <c r="F22" s="838"/>
      <c r="G22" s="838"/>
      <c r="H22" s="838"/>
      <c r="I22" s="838"/>
      <c r="J22" s="838"/>
      <c r="K22" s="838"/>
      <c r="L22" s="838"/>
      <c r="M22" s="838"/>
      <c r="N22" s="1999"/>
    </row>
    <row r="23" spans="1:14" x14ac:dyDescent="0.2">
      <c r="A23" s="2009" t="s">
        <v>132</v>
      </c>
      <c r="B23" s="2008"/>
      <c r="C23" s="838"/>
      <c r="D23" s="838"/>
      <c r="E23" s="838"/>
      <c r="F23" s="838"/>
      <c r="G23" s="838"/>
      <c r="H23" s="838"/>
      <c r="I23" s="838"/>
      <c r="J23" s="838"/>
      <c r="K23" s="838"/>
      <c r="L23" s="838"/>
      <c r="M23" s="838"/>
      <c r="N23" s="1999"/>
    </row>
    <row r="24" spans="1:14" x14ac:dyDescent="0.2">
      <c r="A24" s="2010" t="s">
        <v>2019</v>
      </c>
      <c r="B24" s="2011"/>
      <c r="C24" s="2012"/>
      <c r="D24" s="2012"/>
      <c r="E24" s="2012"/>
      <c r="F24" s="2012"/>
      <c r="G24" s="2012"/>
      <c r="H24" s="2012"/>
      <c r="I24" s="2012"/>
      <c r="J24" s="2012"/>
      <c r="K24" s="2012"/>
      <c r="L24" s="838"/>
      <c r="M24" s="838"/>
      <c r="N24" s="1999"/>
    </row>
    <row r="25" spans="1:14" x14ac:dyDescent="0.2">
      <c r="A25" s="2010" t="s">
        <v>2020</v>
      </c>
      <c r="B25" s="2011"/>
      <c r="C25" s="2012"/>
      <c r="D25" s="2012"/>
      <c r="E25" s="2012"/>
      <c r="F25" s="2012"/>
      <c r="G25" s="2012"/>
      <c r="H25" s="2012"/>
      <c r="I25" s="2012"/>
      <c r="J25" s="2012"/>
      <c r="K25" s="2012"/>
      <c r="L25" s="838"/>
      <c r="M25" s="838"/>
      <c r="N25" s="1999"/>
    </row>
    <row r="26" spans="1:14" x14ac:dyDescent="0.2">
      <c r="A26" s="2013"/>
      <c r="B26" s="2008"/>
      <c r="C26" s="838"/>
      <c r="D26" s="838"/>
      <c r="E26" s="838"/>
      <c r="F26" s="838"/>
      <c r="G26" s="838"/>
      <c r="H26" s="838"/>
      <c r="I26" s="838"/>
      <c r="J26" s="838"/>
      <c r="K26" s="838"/>
      <c r="L26" s="838"/>
      <c r="M26" s="838"/>
      <c r="N26" s="1999"/>
    </row>
    <row r="27" spans="1:14" x14ac:dyDescent="0.2">
      <c r="A27" s="1998"/>
      <c r="B27" s="2008"/>
      <c r="C27" s="2548"/>
      <c r="D27" s="2548"/>
      <c r="E27" s="843"/>
      <c r="F27" s="2549"/>
      <c r="G27" s="2549"/>
      <c r="H27" s="2549"/>
      <c r="I27" s="838"/>
      <c r="J27" s="838"/>
      <c r="K27" s="838"/>
      <c r="L27" s="838"/>
      <c r="M27" s="838"/>
      <c r="N27" s="1999"/>
    </row>
    <row r="28" spans="1:14" x14ac:dyDescent="0.2">
      <c r="A28" s="1998"/>
      <c r="B28" s="2008"/>
      <c r="C28" s="1958" t="s">
        <v>1026</v>
      </c>
      <c r="D28" s="844"/>
      <c r="E28" s="1959"/>
      <c r="F28" s="2550" t="s">
        <v>1492</v>
      </c>
      <c r="G28" s="2550"/>
      <c r="H28" s="2550"/>
      <c r="I28" s="838"/>
      <c r="J28" s="838"/>
      <c r="K28" s="838"/>
      <c r="L28" s="838"/>
      <c r="M28" s="838"/>
      <c r="N28" s="1999"/>
    </row>
    <row r="29" spans="1:14" x14ac:dyDescent="0.2">
      <c r="A29" s="1998"/>
      <c r="B29" s="2008"/>
      <c r="C29" s="2551"/>
      <c r="D29" s="2551"/>
      <c r="E29" s="845"/>
      <c r="F29" s="2551"/>
      <c r="G29" s="2551"/>
      <c r="H29" s="2551"/>
      <c r="I29" s="838"/>
      <c r="J29" s="838"/>
      <c r="K29" s="838"/>
      <c r="L29" s="838"/>
      <c r="M29" s="838"/>
      <c r="N29" s="1999"/>
    </row>
    <row r="30" spans="1:14" x14ac:dyDescent="0.2">
      <c r="A30" s="1998"/>
      <c r="B30" s="2008"/>
      <c r="C30" s="1961" t="s">
        <v>1544</v>
      </c>
      <c r="D30" s="838"/>
      <c r="E30" s="1960"/>
      <c r="F30" s="2535" t="s">
        <v>1493</v>
      </c>
      <c r="G30" s="2535"/>
      <c r="H30" s="2535"/>
      <c r="I30" s="838"/>
      <c r="J30" s="838"/>
      <c r="K30" s="838"/>
      <c r="L30" s="838"/>
      <c r="M30" s="838"/>
      <c r="N30" s="1999"/>
    </row>
    <row r="31" spans="1:14" x14ac:dyDescent="0.2">
      <c r="A31" s="1998"/>
      <c r="B31" s="2008"/>
      <c r="C31" s="2014"/>
      <c r="D31" s="838"/>
      <c r="E31" s="1954"/>
      <c r="F31" s="1955"/>
      <c r="G31" s="1955"/>
      <c r="H31" s="1955"/>
      <c r="I31" s="838"/>
      <c r="J31" s="838"/>
      <c r="K31" s="838"/>
      <c r="L31" s="838"/>
      <c r="M31" s="838"/>
      <c r="N31" s="1999"/>
    </row>
    <row r="32" spans="1:14" x14ac:dyDescent="0.2">
      <c r="A32" s="1998"/>
      <c r="B32" s="2015" t="s">
        <v>1027</v>
      </c>
      <c r="C32" s="838"/>
      <c r="D32" s="838"/>
      <c r="E32" s="838"/>
      <c r="F32" s="838"/>
      <c r="G32" s="838"/>
      <c r="H32" s="838"/>
      <c r="I32" s="838"/>
      <c r="J32" s="838"/>
      <c r="K32" s="838"/>
      <c r="L32" s="838"/>
      <c r="M32" s="838"/>
      <c r="N32" s="1999"/>
    </row>
    <row r="33" spans="1:14" x14ac:dyDescent="0.2">
      <c r="A33" s="1998"/>
      <c r="B33" s="2016"/>
      <c r="C33" s="838"/>
      <c r="D33" s="838"/>
      <c r="E33" s="838"/>
      <c r="F33" s="838"/>
      <c r="G33" s="838"/>
      <c r="H33" s="838"/>
      <c r="I33" s="838"/>
      <c r="J33" s="838"/>
      <c r="K33" s="838"/>
      <c r="L33" s="838"/>
      <c r="M33" s="838"/>
      <c r="N33" s="1999"/>
    </row>
    <row r="34" spans="1:14" x14ac:dyDescent="0.2">
      <c r="A34" s="1998"/>
      <c r="B34" s="846"/>
      <c r="C34" s="2512" t="s">
        <v>2021</v>
      </c>
      <c r="D34" s="2513"/>
      <c r="E34" s="2513"/>
      <c r="F34" s="2513"/>
      <c r="G34" s="2513"/>
      <c r="H34" s="2513"/>
      <c r="I34" s="2513"/>
      <c r="J34" s="2513"/>
      <c r="K34" s="2017"/>
      <c r="L34" s="838"/>
      <c r="M34" s="838"/>
      <c r="N34" s="1999"/>
    </row>
    <row r="35" spans="1:14" x14ac:dyDescent="0.2">
      <c r="A35" s="1998"/>
      <c r="B35" s="838"/>
      <c r="C35" s="2513"/>
      <c r="D35" s="2513"/>
      <c r="E35" s="2513"/>
      <c r="F35" s="2513"/>
      <c r="G35" s="2513"/>
      <c r="H35" s="2513"/>
      <c r="I35" s="2513"/>
      <c r="J35" s="2513"/>
      <c r="K35" s="2017"/>
      <c r="L35" s="838"/>
      <c r="M35" s="838"/>
      <c r="N35" s="1999"/>
    </row>
    <row r="36" spans="1:14" x14ac:dyDescent="0.2">
      <c r="A36" s="1998"/>
      <c r="B36" s="838"/>
      <c r="C36" s="2018"/>
      <c r="D36" s="838"/>
      <c r="E36" s="838"/>
      <c r="F36" s="838"/>
      <c r="G36" s="838"/>
      <c r="H36" s="838"/>
      <c r="I36" s="838"/>
      <c r="J36" s="838"/>
      <c r="K36" s="838"/>
      <c r="L36" s="838"/>
      <c r="M36" s="838"/>
      <c r="N36" s="1999"/>
    </row>
    <row r="37" spans="1:14" x14ac:dyDescent="0.2">
      <c r="A37" s="1998"/>
      <c r="B37" s="846"/>
      <c r="C37" s="2512" t="s">
        <v>2022</v>
      </c>
      <c r="D37" s="2513"/>
      <c r="E37" s="2513"/>
      <c r="F37" s="2513"/>
      <c r="G37" s="2513"/>
      <c r="H37" s="2513"/>
      <c r="I37" s="2513"/>
      <c r="J37" s="2513"/>
      <c r="K37" s="2017"/>
      <c r="L37" s="2019"/>
      <c r="M37" s="838"/>
      <c r="N37" s="1999"/>
    </row>
    <row r="38" spans="1:14" x14ac:dyDescent="0.2">
      <c r="A38" s="1998"/>
      <c r="B38" s="838"/>
      <c r="C38" s="2513"/>
      <c r="D38" s="2513"/>
      <c r="E38" s="2513"/>
      <c r="F38" s="2513"/>
      <c r="G38" s="2513"/>
      <c r="H38" s="2513"/>
      <c r="I38" s="2513"/>
      <c r="J38" s="2513"/>
      <c r="K38" s="2017"/>
      <c r="L38" s="2019"/>
      <c r="M38" s="838"/>
      <c r="N38" s="1999"/>
    </row>
    <row r="39" spans="1:14" x14ac:dyDescent="0.2">
      <c r="A39" s="1998"/>
      <c r="B39" s="838"/>
      <c r="C39" s="2018"/>
      <c r="D39" s="838"/>
      <c r="E39" s="1962"/>
      <c r="F39" s="1963"/>
      <c r="G39" s="1963"/>
      <c r="H39" s="1962"/>
      <c r="I39" s="838"/>
      <c r="J39" s="838"/>
      <c r="K39" s="838"/>
      <c r="L39" s="838"/>
      <c r="M39" s="838"/>
      <c r="N39" s="1999"/>
    </row>
    <row r="40" spans="1:14" x14ac:dyDescent="0.2">
      <c r="A40" s="1998"/>
      <c r="B40" s="846"/>
      <c r="C40" s="2514" t="s">
        <v>2023</v>
      </c>
      <c r="D40" s="2515"/>
      <c r="E40" s="2515"/>
      <c r="F40" s="2515"/>
      <c r="G40" s="2515"/>
      <c r="H40" s="2515"/>
      <c r="I40" s="2515"/>
      <c r="J40" s="2515"/>
      <c r="K40" s="1964"/>
      <c r="L40" s="838"/>
      <c r="M40" s="838"/>
      <c r="N40" s="1999"/>
    </row>
    <row r="41" spans="1:14" x14ac:dyDescent="0.2">
      <c r="A41" s="1998"/>
      <c r="B41" s="838"/>
      <c r="C41" s="2020"/>
      <c r="D41" s="2020"/>
      <c r="E41" s="2020"/>
      <c r="F41" s="2020"/>
      <c r="G41" s="2020"/>
      <c r="H41" s="2020"/>
      <c r="I41" s="2020"/>
      <c r="J41" s="2020"/>
      <c r="K41" s="2020"/>
      <c r="L41" s="838"/>
      <c r="M41" s="838"/>
      <c r="N41" s="1999"/>
    </row>
    <row r="42" spans="1:14" ht="13.5" thickBot="1" x14ac:dyDescent="0.25">
      <c r="A42" s="2021"/>
      <c r="B42" s="2022"/>
      <c r="C42" s="2022"/>
      <c r="D42" s="2022"/>
      <c r="E42" s="2022"/>
      <c r="F42" s="2022"/>
      <c r="G42" s="2022"/>
      <c r="H42" s="2022"/>
      <c r="I42" s="2022"/>
      <c r="J42" s="2022"/>
      <c r="K42" s="2022"/>
      <c r="L42" s="2022"/>
      <c r="M42" s="2022"/>
      <c r="N42" s="2023"/>
    </row>
    <row r="43" spans="1:14" ht="27" thickBot="1" x14ac:dyDescent="0.45">
      <c r="A43" s="2516" t="s">
        <v>2024</v>
      </c>
      <c r="B43" s="2517"/>
      <c r="C43" s="2517"/>
      <c r="D43" s="2517"/>
      <c r="E43" s="2517"/>
      <c r="F43" s="2517"/>
      <c r="G43" s="2517"/>
      <c r="H43" s="2517"/>
      <c r="I43" s="2517"/>
      <c r="J43" s="2517"/>
      <c r="K43" s="2517"/>
      <c r="L43" s="2517"/>
      <c r="M43" s="2517"/>
      <c r="N43" s="2518"/>
    </row>
    <row r="44" spans="1:14" x14ac:dyDescent="0.2">
      <c r="A44" s="1983"/>
      <c r="B44" s="1984"/>
      <c r="C44" s="1984"/>
      <c r="D44" s="1984"/>
      <c r="E44" s="1984"/>
      <c r="F44" s="1984"/>
      <c r="G44" s="1984"/>
      <c r="H44" s="1984"/>
      <c r="I44" s="1984"/>
      <c r="J44" s="1984"/>
      <c r="K44" s="1984"/>
      <c r="L44" s="1984"/>
      <c r="M44" s="1984"/>
      <c r="N44" s="1985"/>
    </row>
    <row r="45" spans="1:14" x14ac:dyDescent="0.2">
      <c r="A45" s="1983" t="s">
        <v>2025</v>
      </c>
      <c r="B45" s="1984"/>
      <c r="C45" s="1984"/>
      <c r="D45" s="1984"/>
      <c r="E45" s="1984"/>
      <c r="F45" s="1984"/>
      <c r="G45" s="1984"/>
      <c r="H45" s="1984"/>
      <c r="I45" s="1984"/>
      <c r="J45" s="1984"/>
      <c r="K45" s="1984"/>
      <c r="L45" s="1984"/>
      <c r="M45" s="1984"/>
      <c r="N45" s="1985"/>
    </row>
    <row r="46" spans="1:14" x14ac:dyDescent="0.2">
      <c r="A46" s="2519" t="s">
        <v>2026</v>
      </c>
      <c r="B46" s="2520"/>
      <c r="C46" s="2520"/>
      <c r="D46" s="2520"/>
      <c r="E46" s="2520"/>
      <c r="F46" s="2520"/>
      <c r="G46" s="2520"/>
      <c r="H46" s="2520"/>
      <c r="I46" s="2520"/>
      <c r="J46" s="2520"/>
      <c r="K46" s="2520"/>
      <c r="L46" s="2520"/>
      <c r="M46" s="2520"/>
      <c r="N46" s="2521"/>
    </row>
    <row r="47" spans="1:14" x14ac:dyDescent="0.2">
      <c r="A47" s="2519"/>
      <c r="B47" s="2520"/>
      <c r="C47" s="2520"/>
      <c r="D47" s="2520"/>
      <c r="E47" s="2520"/>
      <c r="F47" s="2520"/>
      <c r="G47" s="2520"/>
      <c r="H47" s="2520"/>
      <c r="I47" s="2520"/>
      <c r="J47" s="2520"/>
      <c r="K47" s="2520"/>
      <c r="L47" s="2520"/>
      <c r="M47" s="2520"/>
      <c r="N47" s="2521"/>
    </row>
    <row r="48" spans="1:14" x14ac:dyDescent="0.2">
      <c r="A48" s="1986"/>
      <c r="B48" s="1984"/>
      <c r="C48" s="1984"/>
      <c r="D48" s="1987"/>
      <c r="E48" s="1987"/>
      <c r="F48" s="1987"/>
      <c r="G48" s="1987"/>
      <c r="H48" s="1987"/>
      <c r="I48" s="1987"/>
      <c r="J48" s="1987"/>
      <c r="K48" s="1987"/>
      <c r="L48" s="1987"/>
      <c r="M48" s="1987"/>
      <c r="N48" s="1988"/>
    </row>
    <row r="49" spans="1:14" s="2028" customFormat="1" ht="15.75" x14ac:dyDescent="0.25">
      <c r="A49" s="2029" t="s">
        <v>2042</v>
      </c>
      <c r="B49" s="2025"/>
      <c r="C49" s="2025"/>
      <c r="D49" s="2026"/>
      <c r="E49" s="2026"/>
      <c r="F49" s="2026"/>
      <c r="G49" s="2026"/>
      <c r="H49" s="2026"/>
      <c r="I49" s="2026"/>
      <c r="J49" s="2026"/>
      <c r="K49" s="2026"/>
      <c r="L49" s="2026"/>
      <c r="M49" s="2026"/>
      <c r="N49" s="2027"/>
    </row>
    <row r="50" spans="1:14" ht="15" x14ac:dyDescent="0.25">
      <c r="A50" s="2029" t="s">
        <v>2041</v>
      </c>
      <c r="B50" s="1984"/>
      <c r="C50" s="1984"/>
      <c r="D50" s="1984"/>
      <c r="E50" s="1984"/>
      <c r="F50" s="1984"/>
      <c r="G50" s="1984"/>
      <c r="H50" s="1984"/>
      <c r="I50" s="1984"/>
      <c r="J50" s="1984"/>
      <c r="K50" s="1984"/>
      <c r="L50" s="1984"/>
      <c r="M50" s="1984"/>
      <c r="N50" s="1985"/>
    </row>
    <row r="51" spans="1:14" x14ac:dyDescent="0.2">
      <c r="A51" s="1983"/>
      <c r="B51" s="1984"/>
      <c r="C51" s="1984"/>
      <c r="D51" s="1984"/>
      <c r="E51" s="1984"/>
      <c r="F51" s="1984"/>
      <c r="G51" s="1984"/>
      <c r="H51" s="1984"/>
      <c r="I51" s="1984"/>
      <c r="J51" s="1984"/>
      <c r="K51" s="1984"/>
      <c r="L51" s="1984"/>
      <c r="M51" s="1984"/>
      <c r="N51" s="1985"/>
    </row>
    <row r="52" spans="1:14" x14ac:dyDescent="0.2">
      <c r="A52" s="1983"/>
      <c r="B52" s="1984"/>
      <c r="C52" s="1984"/>
      <c r="D52" s="1984"/>
      <c r="E52" s="1984"/>
      <c r="F52" s="1984"/>
      <c r="G52" s="1984"/>
      <c r="H52" s="1984"/>
      <c r="I52" s="1984"/>
      <c r="J52" s="1984"/>
      <c r="K52" s="1925" t="s">
        <v>1021</v>
      </c>
      <c r="L52" s="2522" t="str">
        <f>J6</f>
        <v>Community Unit School District No. 140</v>
      </c>
      <c r="M52" s="2522"/>
      <c r="N52" s="2523"/>
    </row>
    <row r="53" spans="1:14" x14ac:dyDescent="0.2">
      <c r="A53" s="1983"/>
      <c r="B53" s="1984"/>
      <c r="C53" s="1984"/>
      <c r="D53" s="1984"/>
      <c r="E53" s="1984"/>
      <c r="F53" s="1984"/>
      <c r="G53" s="1984"/>
      <c r="H53" s="1984"/>
      <c r="I53" s="1984"/>
      <c r="J53" s="1984"/>
      <c r="K53" s="1925" t="s">
        <v>369</v>
      </c>
      <c r="L53" s="2524" t="str">
        <f>J7</f>
        <v>53-102-1400-26</v>
      </c>
      <c r="M53" s="2524"/>
      <c r="N53" s="2525"/>
    </row>
    <row r="54" spans="1:14" ht="13.5" thickBot="1" x14ac:dyDescent="0.25">
      <c r="A54" s="1983"/>
      <c r="B54" s="1984"/>
      <c r="C54" s="1984"/>
      <c r="D54" s="1984"/>
      <c r="E54" s="1984"/>
      <c r="F54" s="1984"/>
      <c r="G54" s="1984"/>
      <c r="H54" s="1984"/>
      <c r="I54" s="1984"/>
      <c r="J54" s="1984"/>
      <c r="K54" s="1984"/>
      <c r="L54" s="1984"/>
      <c r="M54" s="1984"/>
      <c r="N54" s="1985"/>
    </row>
    <row r="55" spans="1:14" x14ac:dyDescent="0.2">
      <c r="A55" s="2526"/>
      <c r="B55" s="2527"/>
      <c r="C55" s="2527"/>
      <c r="D55" s="1971"/>
      <c r="E55" s="1971"/>
      <c r="F55" s="1971"/>
      <c r="G55" s="2528" t="s">
        <v>2027</v>
      </c>
      <c r="H55" s="2528"/>
      <c r="I55" s="2528"/>
      <c r="J55" s="2528"/>
      <c r="K55" s="2528"/>
      <c r="L55" s="2528"/>
      <c r="M55" s="2528"/>
      <c r="N55" s="2529"/>
    </row>
    <row r="56" spans="1:14" ht="63.75" x14ac:dyDescent="0.2">
      <c r="A56" s="2530" t="s">
        <v>2028</v>
      </c>
      <c r="B56" s="2531"/>
      <c r="C56" s="2532"/>
      <c r="D56" s="1965" t="s">
        <v>2029</v>
      </c>
      <c r="E56" s="1965" t="s">
        <v>2030</v>
      </c>
      <c r="F56" s="1972"/>
      <c r="G56" s="1965" t="s">
        <v>2031</v>
      </c>
      <c r="H56" s="1965" t="s">
        <v>2032</v>
      </c>
      <c r="I56" s="1965" t="s">
        <v>2033</v>
      </c>
      <c r="J56" s="1965" t="s">
        <v>2034</v>
      </c>
      <c r="K56" s="1965" t="s">
        <v>2035</v>
      </c>
      <c r="L56" s="1965" t="s">
        <v>2036</v>
      </c>
      <c r="M56" s="1965" t="s">
        <v>2037</v>
      </c>
      <c r="N56" s="1966" t="s">
        <v>2044</v>
      </c>
    </row>
    <row r="57" spans="1:14" ht="24.75" customHeight="1" x14ac:dyDescent="0.2">
      <c r="A57" s="2533" t="s">
        <v>296</v>
      </c>
      <c r="B57" s="2534"/>
      <c r="C57" s="2534"/>
      <c r="D57" s="1967">
        <v>2361</v>
      </c>
      <c r="E57" s="1977">
        <f>'Expenditures 15-22'!K319</f>
        <v>0</v>
      </c>
      <c r="F57" s="1973"/>
      <c r="G57" s="2030"/>
      <c r="H57" s="2031"/>
      <c r="I57" s="2031"/>
      <c r="J57" s="2031"/>
      <c r="K57" s="2031"/>
      <c r="L57" s="2031"/>
      <c r="M57" s="2031">
        <v>0</v>
      </c>
      <c r="N57" s="1976">
        <f>IF((SUM(G57:M57))=E57,SUM(G57:M57),"Column N does not agree with Column E")</f>
        <v>0</v>
      </c>
    </row>
    <row r="58" spans="1:14" ht="24" customHeight="1" x14ac:dyDescent="0.2">
      <c r="A58" s="2510" t="s">
        <v>2038</v>
      </c>
      <c r="B58" s="2511"/>
      <c r="C58" s="2511"/>
      <c r="D58" s="1968">
        <v>2362</v>
      </c>
      <c r="E58" s="1978">
        <f>'Expenditures 15-22'!K320</f>
        <v>82588</v>
      </c>
      <c r="F58" s="1973"/>
      <c r="G58" s="2032"/>
      <c r="H58" s="2033"/>
      <c r="I58" s="2033"/>
      <c r="J58" s="2033"/>
      <c r="K58" s="2033"/>
      <c r="L58" s="2033"/>
      <c r="M58" s="2033">
        <v>82588</v>
      </c>
      <c r="N58" s="1976">
        <f>IF((SUM(G58:M58))=E58,SUM(G58:M58),"Column N does not agree with Column E")</f>
        <v>82588</v>
      </c>
    </row>
    <row r="59" spans="1:14" ht="24.75" customHeight="1" x14ac:dyDescent="0.2">
      <c r="A59" s="2504" t="s">
        <v>297</v>
      </c>
      <c r="B59" s="2505"/>
      <c r="C59" s="2505"/>
      <c r="D59" s="1968">
        <v>2363</v>
      </c>
      <c r="E59" s="1978">
        <f>'Expenditures 15-22'!K321</f>
        <v>0</v>
      </c>
      <c r="F59" s="1973"/>
      <c r="G59" s="2032"/>
      <c r="H59" s="2033"/>
      <c r="I59" s="2033"/>
      <c r="J59" s="2033"/>
      <c r="K59" s="2033"/>
      <c r="L59" s="2033"/>
      <c r="M59" s="2033">
        <v>0</v>
      </c>
      <c r="N59" s="1976">
        <f>IF((SUM(G59:M59))=E59,SUM(G59:M59),"Column N does not agree with Column E")</f>
        <v>0</v>
      </c>
    </row>
    <row r="60" spans="1:14" ht="24" customHeight="1" x14ac:dyDescent="0.2">
      <c r="A60" s="2504" t="s">
        <v>236</v>
      </c>
      <c r="B60" s="2505"/>
      <c r="C60" s="2505"/>
      <c r="D60" s="1968">
        <v>2364</v>
      </c>
      <c r="E60" s="1978">
        <f>'Expenditures 15-22'!K322</f>
        <v>900</v>
      </c>
      <c r="F60" s="1973"/>
      <c r="G60" s="2032"/>
      <c r="H60" s="2033"/>
      <c r="I60" s="2033"/>
      <c r="J60" s="2033"/>
      <c r="K60" s="2033"/>
      <c r="L60" s="2033"/>
      <c r="M60" s="2033">
        <v>900</v>
      </c>
      <c r="N60" s="1976">
        <f t="shared" ref="N60:N67" si="4">IF((SUM(G60:M60))=E60,SUM(G60:M60),"Column N does not agree with Column E")</f>
        <v>900</v>
      </c>
    </row>
    <row r="61" spans="1:14" ht="24.75" customHeight="1" x14ac:dyDescent="0.2">
      <c r="A61" s="2504" t="s">
        <v>697</v>
      </c>
      <c r="B61" s="2505"/>
      <c r="C61" s="2505"/>
      <c r="D61" s="1968">
        <v>2365</v>
      </c>
      <c r="E61" s="1978">
        <f>'Expenditures 15-22'!K323</f>
        <v>130870</v>
      </c>
      <c r="F61" s="1973"/>
      <c r="G61" s="2032">
        <v>7466</v>
      </c>
      <c r="H61" s="2033"/>
      <c r="I61" s="2033"/>
      <c r="J61" s="2033"/>
      <c r="K61" s="2033"/>
      <c r="L61" s="2033"/>
      <c r="M61" s="2033">
        <f>130870-7466</f>
        <v>123404</v>
      </c>
      <c r="N61" s="1976">
        <f t="shared" si="4"/>
        <v>130870</v>
      </c>
    </row>
    <row r="62" spans="1:14" ht="24" customHeight="1" x14ac:dyDescent="0.2">
      <c r="A62" s="2504" t="s">
        <v>237</v>
      </c>
      <c r="B62" s="2505"/>
      <c r="C62" s="2505"/>
      <c r="D62" s="1968">
        <v>2366</v>
      </c>
      <c r="E62" s="1978">
        <f>'Expenditures 15-22'!K324</f>
        <v>0</v>
      </c>
      <c r="F62" s="1973"/>
      <c r="G62" s="2032"/>
      <c r="H62" s="2033"/>
      <c r="I62" s="2033"/>
      <c r="J62" s="2033"/>
      <c r="K62" s="2033"/>
      <c r="L62" s="2033"/>
      <c r="M62" s="2033">
        <v>0</v>
      </c>
      <c r="N62" s="1976">
        <f t="shared" si="4"/>
        <v>0</v>
      </c>
    </row>
    <row r="63" spans="1:14" ht="24" customHeight="1" x14ac:dyDescent="0.2">
      <c r="A63" s="2510" t="s">
        <v>1022</v>
      </c>
      <c r="B63" s="2511"/>
      <c r="C63" s="2511"/>
      <c r="D63" s="1968">
        <v>2367</v>
      </c>
      <c r="E63" s="1978">
        <f>'Expenditures 15-22'!K325</f>
        <v>52454</v>
      </c>
      <c r="F63" s="1973"/>
      <c r="G63" s="2032"/>
      <c r="H63" s="2033"/>
      <c r="I63" s="2033"/>
      <c r="J63" s="2033"/>
      <c r="K63" s="2033"/>
      <c r="L63" s="2033"/>
      <c r="M63" s="2033">
        <v>52454</v>
      </c>
      <c r="N63" s="1976">
        <f t="shared" si="4"/>
        <v>52454</v>
      </c>
    </row>
    <row r="64" spans="1:14" ht="24" customHeight="1" x14ac:dyDescent="0.2">
      <c r="A64" s="2504" t="s">
        <v>1023</v>
      </c>
      <c r="B64" s="2505"/>
      <c r="C64" s="2505"/>
      <c r="D64" s="1968">
        <v>2368</v>
      </c>
      <c r="E64" s="1978">
        <f>'Expenditures 15-22'!K326</f>
        <v>0</v>
      </c>
      <c r="F64" s="1973"/>
      <c r="G64" s="2032"/>
      <c r="H64" s="2033"/>
      <c r="I64" s="2033"/>
      <c r="J64" s="2033"/>
      <c r="K64" s="2033"/>
      <c r="L64" s="2033"/>
      <c r="M64" s="2033">
        <v>0</v>
      </c>
      <c r="N64" s="1976">
        <f t="shared" si="4"/>
        <v>0</v>
      </c>
    </row>
    <row r="65" spans="1:14" ht="24" customHeight="1" x14ac:dyDescent="0.2">
      <c r="A65" s="2504" t="s">
        <v>965</v>
      </c>
      <c r="B65" s="2505"/>
      <c r="C65" s="2505"/>
      <c r="D65" s="1968">
        <v>2369</v>
      </c>
      <c r="E65" s="1978">
        <f>'Expenditures 15-22'!K327</f>
        <v>6498</v>
      </c>
      <c r="F65" s="1973"/>
      <c r="G65" s="2032"/>
      <c r="H65" s="2033"/>
      <c r="I65" s="2033"/>
      <c r="J65" s="2033"/>
      <c r="K65" s="2033"/>
      <c r="L65" s="2033"/>
      <c r="M65" s="2033">
        <v>6498</v>
      </c>
      <c r="N65" s="1976">
        <f t="shared" si="4"/>
        <v>6498</v>
      </c>
    </row>
    <row r="66" spans="1:14" ht="24" customHeight="1" x14ac:dyDescent="0.2">
      <c r="A66" s="2504" t="s">
        <v>469</v>
      </c>
      <c r="B66" s="2505"/>
      <c r="C66" s="2505"/>
      <c r="D66" s="1968">
        <v>2371</v>
      </c>
      <c r="E66" s="1978">
        <f>'Expenditures 15-22'!K328</f>
        <v>100673</v>
      </c>
      <c r="F66" s="1973"/>
      <c r="G66" s="2032"/>
      <c r="H66" s="2033"/>
      <c r="I66" s="2033"/>
      <c r="J66" s="2033"/>
      <c r="K66" s="2033"/>
      <c r="L66" s="2033"/>
      <c r="M66" s="2033">
        <v>100673</v>
      </c>
      <c r="N66" s="1976">
        <f t="shared" si="4"/>
        <v>100673</v>
      </c>
    </row>
    <row r="67" spans="1:14" ht="24.75" customHeight="1" x14ac:dyDescent="0.2">
      <c r="A67" s="2506" t="s">
        <v>2039</v>
      </c>
      <c r="B67" s="2507"/>
      <c r="C67" s="2507"/>
      <c r="D67" s="1970">
        <v>2372</v>
      </c>
      <c r="E67" s="1979">
        <f>'Expenditures 15-22'!K329</f>
        <v>74713</v>
      </c>
      <c r="F67" s="1973"/>
      <c r="G67" s="2034"/>
      <c r="H67" s="2035"/>
      <c r="I67" s="2035"/>
      <c r="J67" s="2035"/>
      <c r="K67" s="2035"/>
      <c r="L67" s="2035"/>
      <c r="M67" s="2035">
        <v>74713</v>
      </c>
      <c r="N67" s="1976">
        <f t="shared" si="4"/>
        <v>74713</v>
      </c>
    </row>
    <row r="68" spans="1:14" x14ac:dyDescent="0.2">
      <c r="A68" s="2508" t="s">
        <v>1151</v>
      </c>
      <c r="B68" s="2509"/>
      <c r="C68" s="2509"/>
      <c r="D68" s="1971"/>
      <c r="E68" s="1975">
        <f>SUM(E57:E67)</f>
        <v>448696</v>
      </c>
      <c r="F68" s="1974"/>
      <c r="G68" s="1975">
        <f t="shared" ref="G68:N68" si="5">SUM(G57:G67)</f>
        <v>7466</v>
      </c>
      <c r="H68" s="1975">
        <f t="shared" si="5"/>
        <v>0</v>
      </c>
      <c r="I68" s="1975">
        <f t="shared" si="5"/>
        <v>0</v>
      </c>
      <c r="J68" s="1975">
        <f t="shared" si="5"/>
        <v>0</v>
      </c>
      <c r="K68" s="1975">
        <f t="shared" si="5"/>
        <v>0</v>
      </c>
      <c r="L68" s="1975">
        <f t="shared" si="5"/>
        <v>0</v>
      </c>
      <c r="M68" s="1975">
        <f t="shared" si="5"/>
        <v>441230</v>
      </c>
      <c r="N68" s="1989">
        <f t="shared" si="5"/>
        <v>448696</v>
      </c>
    </row>
    <row r="69" spans="1:14" x14ac:dyDescent="0.2">
      <c r="A69" s="1990"/>
      <c r="B69" s="1991"/>
      <c r="C69" s="1991"/>
      <c r="D69" s="1991"/>
      <c r="E69" s="1991"/>
      <c r="F69" s="1991"/>
      <c r="G69" s="1991"/>
      <c r="H69" s="1991"/>
      <c r="I69" s="1991"/>
      <c r="J69" s="1991"/>
      <c r="K69" s="1991"/>
      <c r="L69" s="1991"/>
      <c r="M69" s="1991"/>
      <c r="N69" s="1992"/>
    </row>
    <row r="70" spans="1:14" ht="15.75" x14ac:dyDescent="0.25">
      <c r="A70" s="2024" t="s">
        <v>2040</v>
      </c>
      <c r="B70" s="1991"/>
      <c r="C70" s="1991"/>
      <c r="D70" s="1991"/>
      <c r="E70" s="1991"/>
      <c r="F70" s="1991"/>
      <c r="G70" s="1991"/>
      <c r="H70" s="1991"/>
      <c r="I70" s="1991"/>
      <c r="J70" s="1991"/>
      <c r="K70" s="1991"/>
      <c r="L70" s="1991"/>
      <c r="M70" s="1991"/>
      <c r="N70" s="1992"/>
    </row>
    <row r="71" spans="1:14" x14ac:dyDescent="0.2">
      <c r="A71" s="1990"/>
      <c r="B71" s="1991"/>
      <c r="C71" s="1991"/>
      <c r="D71" s="1991"/>
      <c r="E71" s="1991"/>
      <c r="F71" s="1991"/>
      <c r="G71" s="1991"/>
      <c r="H71" s="1991"/>
      <c r="I71" s="1991"/>
      <c r="J71" s="1991"/>
      <c r="K71" s="1991"/>
      <c r="L71" s="1991"/>
      <c r="M71" s="1991"/>
      <c r="N71" s="1992"/>
    </row>
    <row r="72" spans="1:14" x14ac:dyDescent="0.2">
      <c r="A72" s="1990"/>
      <c r="B72" s="1991"/>
      <c r="C72" s="1991"/>
      <c r="D72" s="1991"/>
      <c r="E72" s="1991"/>
      <c r="F72" s="1991"/>
      <c r="G72" s="1991"/>
      <c r="H72" s="1991"/>
      <c r="I72" s="1991"/>
      <c r="J72" s="1991"/>
      <c r="K72" s="1991"/>
      <c r="L72" s="1991"/>
      <c r="M72" s="1991"/>
      <c r="N72" s="1992"/>
    </row>
    <row r="73" spans="1:14" x14ac:dyDescent="0.2">
      <c r="A73" s="1990"/>
      <c r="B73" s="1991"/>
      <c r="C73" s="1991"/>
      <c r="D73" s="1991"/>
      <c r="E73" s="1991"/>
      <c r="F73" s="1991"/>
      <c r="G73" s="1991"/>
      <c r="H73" s="1991"/>
      <c r="I73" s="1991"/>
      <c r="J73" s="1991"/>
      <c r="K73" s="1991"/>
      <c r="L73" s="1991"/>
      <c r="M73" s="1991"/>
      <c r="N73" s="1992"/>
    </row>
    <row r="74" spans="1:14" x14ac:dyDescent="0.2">
      <c r="A74" s="1990"/>
      <c r="B74" s="1991"/>
      <c r="C74" s="1991"/>
      <c r="D74" s="1991"/>
      <c r="E74" s="1991"/>
      <c r="F74" s="1991"/>
      <c r="G74" s="1991"/>
      <c r="H74" s="1991"/>
      <c r="I74" s="1991"/>
      <c r="J74" s="1991"/>
      <c r="K74" s="1991"/>
      <c r="L74" s="1991"/>
      <c r="M74" s="1991"/>
      <c r="N74" s="1992"/>
    </row>
    <row r="75" spans="1:14" x14ac:dyDescent="0.2">
      <c r="A75" s="1990"/>
      <c r="B75" s="1991"/>
      <c r="C75" s="1991"/>
      <c r="D75" s="1991"/>
      <c r="E75" s="1991"/>
      <c r="F75" s="1991"/>
      <c r="G75" s="1991"/>
      <c r="H75" s="1991"/>
      <c r="I75" s="1991"/>
      <c r="J75" s="1991"/>
      <c r="K75" s="1991"/>
      <c r="L75" s="1991"/>
      <c r="M75" s="1991"/>
      <c r="N75" s="1992"/>
    </row>
    <row r="76" spans="1:14" x14ac:dyDescent="0.2">
      <c r="A76" s="1990"/>
      <c r="B76" s="1991"/>
      <c r="C76" s="1991"/>
      <c r="D76" s="1991"/>
      <c r="E76" s="1991"/>
      <c r="F76" s="1991"/>
      <c r="G76" s="1991"/>
      <c r="H76" s="1991"/>
      <c r="I76" s="1991"/>
      <c r="J76" s="1991"/>
      <c r="K76" s="1991"/>
      <c r="L76" s="1991"/>
      <c r="M76" s="1991"/>
      <c r="N76" s="1992"/>
    </row>
    <row r="77" spans="1:14" x14ac:dyDescent="0.2">
      <c r="A77" s="1990"/>
      <c r="B77" s="1991"/>
      <c r="C77" s="1991"/>
      <c r="D77" s="1991"/>
      <c r="E77" s="1991"/>
      <c r="F77" s="1991"/>
      <c r="G77" s="1991"/>
      <c r="H77" s="1991"/>
      <c r="I77" s="1991"/>
      <c r="J77" s="1991"/>
      <c r="K77" s="1991"/>
      <c r="L77" s="1991"/>
      <c r="M77" s="1991"/>
      <c r="N77" s="1992"/>
    </row>
    <row r="78" spans="1:14" x14ac:dyDescent="0.2">
      <c r="A78" s="1990"/>
      <c r="B78" s="1991"/>
      <c r="C78" s="1991"/>
      <c r="D78" s="1991"/>
      <c r="E78" s="1991"/>
      <c r="F78" s="1991"/>
      <c r="G78" s="1991"/>
      <c r="H78" s="1991"/>
      <c r="I78" s="1991"/>
      <c r="J78" s="1991"/>
      <c r="K78" s="1991"/>
      <c r="L78" s="1991"/>
      <c r="M78" s="1991"/>
      <c r="N78" s="1992"/>
    </row>
    <row r="79" spans="1:14" x14ac:dyDescent="0.2">
      <c r="A79" s="1990"/>
      <c r="B79" s="1991"/>
      <c r="C79" s="1991"/>
      <c r="D79" s="1991"/>
      <c r="E79" s="1991"/>
      <c r="F79" s="1991"/>
      <c r="G79" s="1991"/>
      <c r="H79" s="1991"/>
      <c r="I79" s="1991"/>
      <c r="J79" s="1991"/>
      <c r="K79" s="1991"/>
      <c r="L79" s="1991"/>
      <c r="M79" s="1991"/>
      <c r="N79" s="1992"/>
    </row>
    <row r="80" spans="1:14" x14ac:dyDescent="0.2">
      <c r="A80" s="1990"/>
      <c r="B80" s="1991"/>
      <c r="C80" s="1991"/>
      <c r="D80" s="1991"/>
      <c r="E80" s="1991"/>
      <c r="F80" s="1991"/>
      <c r="G80" s="1991"/>
      <c r="H80" s="1991"/>
      <c r="I80" s="1991"/>
      <c r="J80" s="1991"/>
      <c r="K80" s="1991"/>
      <c r="L80" s="1991"/>
      <c r="M80" s="1991"/>
      <c r="N80" s="1992"/>
    </row>
    <row r="81" spans="1:14" x14ac:dyDescent="0.2">
      <c r="A81" s="1990"/>
      <c r="B81" s="1991"/>
      <c r="C81" s="1991"/>
      <c r="D81" s="1991"/>
      <c r="E81" s="1991"/>
      <c r="F81" s="1991"/>
      <c r="G81" s="1991"/>
      <c r="H81" s="1991"/>
      <c r="I81" s="1991"/>
      <c r="J81" s="1991"/>
      <c r="K81" s="1991"/>
      <c r="L81" s="1991"/>
      <c r="M81" s="1991"/>
      <c r="N81" s="1992"/>
    </row>
    <row r="82" spans="1:14" x14ac:dyDescent="0.2">
      <c r="A82" s="1990"/>
      <c r="B82" s="1991"/>
      <c r="C82" s="1991"/>
      <c r="D82" s="1991"/>
      <c r="E82" s="1991"/>
      <c r="F82" s="1991"/>
      <c r="G82" s="1991"/>
      <c r="H82" s="1991"/>
      <c r="I82" s="1991"/>
      <c r="J82" s="1991"/>
      <c r="K82" s="1991"/>
      <c r="L82" s="1991"/>
      <c r="M82" s="1991"/>
      <c r="N82" s="1992"/>
    </row>
    <row r="83" spans="1:14" ht="13.5" thickBot="1" x14ac:dyDescent="0.25">
      <c r="A83" s="1993"/>
      <c r="B83" s="1994"/>
      <c r="C83" s="1994"/>
      <c r="D83" s="1994"/>
      <c r="E83" s="1994"/>
      <c r="F83" s="1994"/>
      <c r="G83" s="1994"/>
      <c r="H83" s="1994"/>
      <c r="I83" s="1994"/>
      <c r="J83" s="1994"/>
      <c r="K83" s="1994"/>
      <c r="L83" s="1994"/>
      <c r="M83" s="1994"/>
      <c r="N83" s="1995"/>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2"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2167</v>
      </c>
    </row>
    <row r="6" spans="1:2" x14ac:dyDescent="0.2">
      <c r="A6" s="847">
        <v>2</v>
      </c>
      <c r="B6" s="307" t="s">
        <v>2168</v>
      </c>
    </row>
    <row r="7" spans="1:2" x14ac:dyDescent="0.2">
      <c r="A7" s="847">
        <v>3</v>
      </c>
      <c r="B7" s="307" t="s">
        <v>2169</v>
      </c>
    </row>
    <row r="8" spans="1:2" x14ac:dyDescent="0.2">
      <c r="A8" s="847">
        <v>4</v>
      </c>
      <c r="B8" s="307" t="s">
        <v>2170</v>
      </c>
    </row>
    <row r="9" spans="1:2" x14ac:dyDescent="0.2">
      <c r="A9" s="847">
        <v>5</v>
      </c>
      <c r="B9" s="307" t="s">
        <v>2171</v>
      </c>
    </row>
    <row r="10" spans="1:2" x14ac:dyDescent="0.2">
      <c r="A10" s="847">
        <v>6</v>
      </c>
      <c r="B10" s="307" t="s">
        <v>2172</v>
      </c>
    </row>
    <row r="11" spans="1:2" x14ac:dyDescent="0.2">
      <c r="A11" s="847">
        <v>7</v>
      </c>
      <c r="B11" s="307" t="s">
        <v>2173</v>
      </c>
    </row>
    <row r="12" spans="1:2" x14ac:dyDescent="0.2">
      <c r="A12" s="847">
        <v>8</v>
      </c>
      <c r="B12" s="307" t="s">
        <v>2174</v>
      </c>
    </row>
    <row r="13" spans="1:2" x14ac:dyDescent="0.2">
      <c r="A13" s="847">
        <v>9</v>
      </c>
      <c r="B13" s="307" t="s">
        <v>2175</v>
      </c>
    </row>
    <row r="14" spans="1:2" x14ac:dyDescent="0.2">
      <c r="A14" s="847">
        <v>10</v>
      </c>
      <c r="B14" s="307" t="s">
        <v>2178</v>
      </c>
    </row>
    <row r="15" spans="1:2" x14ac:dyDescent="0.2">
      <c r="A15" s="847">
        <v>11</v>
      </c>
      <c r="B15" s="307" t="s">
        <v>2176</v>
      </c>
    </row>
    <row r="16" spans="1:2" x14ac:dyDescent="0.2">
      <c r="A16" s="847">
        <v>12</v>
      </c>
      <c r="B16" s="307" t="s">
        <v>2177</v>
      </c>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Community Unit School District No. 140</v>
      </c>
    </row>
    <row r="65" spans="2:2" x14ac:dyDescent="0.2">
      <c r="B65" s="849" t="str">
        <f>COVER!A13</f>
        <v>53-102-1400-26</v>
      </c>
    </row>
  </sheetData>
  <phoneticPr fontId="16"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Normal="100" workbookViewId="0"/>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1827</v>
      </c>
      <c r="C4" s="157" t="s">
        <v>1159</v>
      </c>
      <c r="D4" s="164" t="s">
        <v>10</v>
      </c>
      <c r="E4" s="165" t="s">
        <v>22</v>
      </c>
    </row>
    <row r="5" spans="1:5" x14ac:dyDescent="0.2">
      <c r="A5" s="163" t="s">
        <v>1829</v>
      </c>
      <c r="C5" s="157" t="s">
        <v>1159</v>
      </c>
      <c r="D5" s="164" t="s">
        <v>10</v>
      </c>
      <c r="E5" s="165" t="s">
        <v>22</v>
      </c>
    </row>
    <row r="6" spans="1:5" x14ac:dyDescent="0.2">
      <c r="A6" s="163" t="s">
        <v>1828</v>
      </c>
      <c r="C6" s="157" t="s">
        <v>1159</v>
      </c>
      <c r="D6" s="162" t="s">
        <v>11</v>
      </c>
      <c r="E6" s="165" t="s">
        <v>935</v>
      </c>
    </row>
    <row r="7" spans="1:5" x14ac:dyDescent="0.2">
      <c r="A7" s="163" t="s">
        <v>1830</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1831</v>
      </c>
      <c r="C11" s="157" t="s">
        <v>1159</v>
      </c>
      <c r="D11" s="164" t="s">
        <v>14</v>
      </c>
      <c r="E11" s="165" t="s">
        <v>1146</v>
      </c>
    </row>
    <row r="12" spans="1:5" x14ac:dyDescent="0.2">
      <c r="B12" s="164" t="s">
        <v>1832</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1833</v>
      </c>
      <c r="C15" s="157" t="s">
        <v>1159</v>
      </c>
      <c r="D15" s="164" t="s">
        <v>17</v>
      </c>
      <c r="E15" s="165" t="s">
        <v>631</v>
      </c>
    </row>
    <row r="16" spans="1:5" x14ac:dyDescent="0.2">
      <c r="A16" s="167"/>
      <c r="B16" s="157" t="s">
        <v>1834</v>
      </c>
      <c r="C16" s="157" t="s">
        <v>1159</v>
      </c>
      <c r="D16" s="164" t="s">
        <v>676</v>
      </c>
      <c r="E16" s="165" t="s">
        <v>1033</v>
      </c>
    </row>
    <row r="17" spans="1:5" x14ac:dyDescent="0.2">
      <c r="B17" s="162" t="s">
        <v>981</v>
      </c>
      <c r="C17" s="157" t="s">
        <v>1159</v>
      </c>
    </row>
    <row r="18" spans="1:5" x14ac:dyDescent="0.2">
      <c r="B18" s="162" t="s">
        <v>1840</v>
      </c>
      <c r="D18" s="164" t="s">
        <v>18</v>
      </c>
      <c r="E18" s="165" t="s">
        <v>1034</v>
      </c>
    </row>
    <row r="19" spans="1:5" x14ac:dyDescent="0.2">
      <c r="A19" s="163" t="s">
        <v>1090</v>
      </c>
      <c r="C19" s="157" t="s">
        <v>1159</v>
      </c>
      <c r="D19" s="164"/>
      <c r="E19" s="166"/>
    </row>
    <row r="20" spans="1:5" x14ac:dyDescent="0.2">
      <c r="B20" s="162" t="s">
        <v>1835</v>
      </c>
      <c r="C20" s="157" t="s">
        <v>1159</v>
      </c>
      <c r="D20" s="164" t="s">
        <v>19</v>
      </c>
      <c r="E20" s="165" t="s">
        <v>51</v>
      </c>
    </row>
    <row r="21" spans="1:5" x14ac:dyDescent="0.2">
      <c r="B21" s="162" t="s">
        <v>1836</v>
      </c>
      <c r="C21" s="157" t="s">
        <v>1159</v>
      </c>
      <c r="D21" s="164" t="s">
        <v>20</v>
      </c>
      <c r="E21" s="165" t="s">
        <v>1593</v>
      </c>
    </row>
    <row r="22" spans="1:5" x14ac:dyDescent="0.2">
      <c r="A22" s="163"/>
      <c r="B22" s="157" t="s">
        <v>1824</v>
      </c>
      <c r="C22" s="157" t="s">
        <v>1159</v>
      </c>
      <c r="D22" s="162" t="s">
        <v>1826</v>
      </c>
      <c r="E22" s="1470" t="s">
        <v>1594</v>
      </c>
    </row>
    <row r="23" spans="1:5" x14ac:dyDescent="0.2">
      <c r="A23" s="163"/>
      <c r="B23" s="157" t="s">
        <v>1825</v>
      </c>
      <c r="D23" s="162" t="s">
        <v>632</v>
      </c>
      <c r="E23" s="1470" t="s">
        <v>953</v>
      </c>
    </row>
    <row r="24" spans="1:5" x14ac:dyDescent="0.2">
      <c r="A24" s="163" t="s">
        <v>1592</v>
      </c>
      <c r="C24" s="157" t="s">
        <v>1159</v>
      </c>
      <c r="D24" s="162" t="s">
        <v>1377</v>
      </c>
      <c r="E24" s="165" t="s">
        <v>954</v>
      </c>
    </row>
    <row r="25" spans="1:5" x14ac:dyDescent="0.2">
      <c r="A25" s="163" t="s">
        <v>1837</v>
      </c>
      <c r="C25" s="157" t="s">
        <v>1159</v>
      </c>
      <c r="D25" s="164" t="s">
        <v>21</v>
      </c>
      <c r="E25" s="1470" t="s">
        <v>2045</v>
      </c>
    </row>
    <row r="26" spans="1:5" x14ac:dyDescent="0.2">
      <c r="A26" s="163" t="s">
        <v>1838</v>
      </c>
      <c r="C26" s="157" t="s">
        <v>1159</v>
      </c>
      <c r="D26" s="164" t="s">
        <v>559</v>
      </c>
      <c r="E26" s="1470" t="s">
        <v>678</v>
      </c>
    </row>
    <row r="27" spans="1:5" x14ac:dyDescent="0.2">
      <c r="A27" s="163" t="s">
        <v>1839</v>
      </c>
      <c r="C27" s="157" t="s">
        <v>1159</v>
      </c>
      <c r="D27" s="164" t="s">
        <v>553</v>
      </c>
      <c r="E27" s="1470" t="s">
        <v>1350</v>
      </c>
    </row>
    <row r="28" spans="1:5" x14ac:dyDescent="0.2">
      <c r="A28" s="163" t="s">
        <v>1841</v>
      </c>
      <c r="D28" s="164" t="s">
        <v>679</v>
      </c>
      <c r="E28" s="1470" t="s">
        <v>1359</v>
      </c>
    </row>
    <row r="29" spans="1:5" x14ac:dyDescent="0.2">
      <c r="A29" s="163" t="s">
        <v>1842</v>
      </c>
      <c r="D29" s="164" t="s">
        <v>1378</v>
      </c>
      <c r="E29" s="1470" t="s">
        <v>2046</v>
      </c>
    </row>
    <row r="30" spans="1:5" x14ac:dyDescent="0.2">
      <c r="A30" s="168" t="s">
        <v>1843</v>
      </c>
      <c r="C30" s="157" t="s">
        <v>1159</v>
      </c>
      <c r="D30" s="164" t="s">
        <v>40</v>
      </c>
      <c r="E30" s="165" t="s">
        <v>975</v>
      </c>
    </row>
    <row r="31" spans="1:5" x14ac:dyDescent="0.2">
      <c r="A31" s="163" t="s">
        <v>1504</v>
      </c>
      <c r="C31" s="157" t="s">
        <v>1159</v>
      </c>
      <c r="D31" s="162"/>
      <c r="E31" s="166"/>
    </row>
    <row r="32" spans="1:5" x14ac:dyDescent="0.2">
      <c r="B32" s="162" t="s">
        <v>1844</v>
      </c>
      <c r="C32" s="157" t="s">
        <v>1159</v>
      </c>
      <c r="D32" s="164" t="s">
        <v>1505</v>
      </c>
      <c r="E32" s="165" t="s">
        <v>2047</v>
      </c>
    </row>
    <row r="33" spans="1:5" x14ac:dyDescent="0.2">
      <c r="A33" s="167"/>
      <c r="D33" s="164"/>
      <c r="E33" s="166"/>
    </row>
    <row r="34" spans="1:5" x14ac:dyDescent="0.2">
      <c r="A34" s="167"/>
      <c r="D34" s="164"/>
      <c r="E34" s="166"/>
    </row>
    <row r="35" spans="1:5" ht="15.75" customHeight="1" thickBot="1" x14ac:dyDescent="0.25">
      <c r="A35" s="2238" t="s">
        <v>1056</v>
      </c>
      <c r="B35" s="2238"/>
      <c r="C35" s="2238"/>
      <c r="D35" s="2238"/>
      <c r="E35" s="2238"/>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235" t="s">
        <v>686</v>
      </c>
      <c r="B40" s="2235"/>
      <c r="C40" s="2235"/>
      <c r="D40" s="2235"/>
      <c r="E40" s="2235"/>
    </row>
    <row r="41" spans="1:5" x14ac:dyDescent="0.2">
      <c r="A41" s="2236" t="s">
        <v>1591</v>
      </c>
      <c r="B41" s="2236"/>
      <c r="C41" s="2236"/>
      <c r="D41" s="2236"/>
      <c r="E41" s="2236"/>
    </row>
    <row r="42" spans="1:5" ht="12.75" customHeight="1" x14ac:dyDescent="0.2">
      <c r="A42" s="2237" t="s">
        <v>1015</v>
      </c>
      <c r="B42" s="2237"/>
      <c r="C42" s="2237"/>
      <c r="D42" s="2237"/>
      <c r="E42" s="2237"/>
    </row>
    <row r="43" spans="1:5" ht="6.75" customHeight="1" x14ac:dyDescent="0.2">
      <c r="A43" s="162"/>
      <c r="B43" s="171"/>
    </row>
    <row r="44" spans="1:5" x14ac:dyDescent="0.2">
      <c r="A44" s="180" t="s">
        <v>976</v>
      </c>
      <c r="B44" s="181" t="s">
        <v>1867</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1745</v>
      </c>
    </row>
    <row r="52" spans="1:3" x14ac:dyDescent="0.2">
      <c r="A52" s="185"/>
      <c r="B52" s="183" t="s">
        <v>1765</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1746</v>
      </c>
    </row>
    <row r="57" spans="1:3" x14ac:dyDescent="0.2">
      <c r="A57" s="188"/>
      <c r="B57" s="185" t="s">
        <v>1748</v>
      </c>
    </row>
    <row r="58" spans="1:3" x14ac:dyDescent="0.2">
      <c r="A58" s="189"/>
      <c r="B58" s="185" t="s">
        <v>1749</v>
      </c>
    </row>
    <row r="59" spans="1:3" x14ac:dyDescent="0.2">
      <c r="A59" s="190"/>
      <c r="B59" s="1256" t="s">
        <v>1750</v>
      </c>
    </row>
    <row r="60" spans="1:3" x14ac:dyDescent="0.2">
      <c r="A60" s="191"/>
      <c r="B60" s="1256" t="s">
        <v>1751</v>
      </c>
    </row>
    <row r="61" spans="1:3" ht="6" customHeight="1" x14ac:dyDescent="0.2">
      <c r="A61" s="192"/>
      <c r="B61" s="184"/>
    </row>
    <row r="62" spans="1:3" x14ac:dyDescent="0.2">
      <c r="A62" s="164" t="s">
        <v>1599</v>
      </c>
      <c r="B62" s="193" t="s">
        <v>1747</v>
      </c>
    </row>
    <row r="63" spans="1:3" x14ac:dyDescent="0.2">
      <c r="A63" s="183"/>
      <c r="B63" s="164" t="s">
        <v>1762</v>
      </c>
    </row>
    <row r="64" spans="1:3" x14ac:dyDescent="0.2">
      <c r="A64" s="190"/>
      <c r="B64" s="1258" t="s">
        <v>1752</v>
      </c>
    </row>
    <row r="65" spans="1:9" x14ac:dyDescent="0.2">
      <c r="A65" s="183"/>
      <c r="B65" s="164" t="s">
        <v>1763</v>
      </c>
    </row>
    <row r="66" spans="1:9" x14ac:dyDescent="0.2">
      <c r="A66" s="185"/>
      <c r="B66" s="185" t="s">
        <v>1753</v>
      </c>
    </row>
    <row r="67" spans="1:9" ht="12" customHeight="1" x14ac:dyDescent="0.2">
      <c r="A67" s="183"/>
      <c r="B67" s="164" t="s">
        <v>1764</v>
      </c>
    </row>
    <row r="68" spans="1:9" x14ac:dyDescent="0.2">
      <c r="A68" s="184"/>
      <c r="B68" s="185" t="s">
        <v>1754</v>
      </c>
    </row>
    <row r="69" spans="1:9" x14ac:dyDescent="0.2">
      <c r="A69" s="185"/>
      <c r="B69" s="183" t="s">
        <v>1755</v>
      </c>
    </row>
    <row r="70" spans="1:9" ht="13.5" customHeight="1" x14ac:dyDescent="0.2">
      <c r="A70" s="185"/>
      <c r="B70" s="183" t="s">
        <v>1756</v>
      </c>
    </row>
    <row r="71" spans="1:9" ht="12" customHeight="1" x14ac:dyDescent="0.2">
      <c r="A71" s="187"/>
      <c r="B71" s="1257" t="s">
        <v>1602</v>
      </c>
    </row>
    <row r="72" spans="1:9" ht="9" customHeight="1" x14ac:dyDescent="0.2">
      <c r="A72" s="187"/>
      <c r="B72" s="194"/>
    </row>
    <row r="73" spans="1:9" x14ac:dyDescent="0.2">
      <c r="A73" s="184" t="s">
        <v>1603</v>
      </c>
      <c r="B73" s="164" t="s">
        <v>1758</v>
      </c>
    </row>
    <row r="74" spans="1:9" x14ac:dyDescent="0.2">
      <c r="A74" s="184"/>
      <c r="B74" s="164" t="s">
        <v>1757</v>
      </c>
    </row>
    <row r="75" spans="1:9" ht="8.25" customHeight="1" x14ac:dyDescent="0.2">
      <c r="A75" s="184"/>
      <c r="B75" s="184"/>
    </row>
    <row r="76" spans="1:9" ht="12.2" customHeight="1" x14ac:dyDescent="0.2">
      <c r="A76" s="184" t="s">
        <v>1604</v>
      </c>
      <c r="B76" s="193" t="s">
        <v>1759</v>
      </c>
    </row>
    <row r="77" spans="1:9" ht="12.2" customHeight="1" x14ac:dyDescent="0.2">
      <c r="A77" s="185"/>
      <c r="B77" s="164" t="s">
        <v>1605</v>
      </c>
      <c r="C77" s="174"/>
      <c r="D77" s="175"/>
      <c r="E77" s="176"/>
      <c r="F77" s="176"/>
      <c r="G77" s="176"/>
      <c r="H77" s="176"/>
      <c r="I77" s="176"/>
    </row>
    <row r="78" spans="1:9" ht="11.25" customHeight="1" x14ac:dyDescent="0.2">
      <c r="A78" s="185"/>
      <c r="B78" s="185" t="s">
        <v>1761</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1760</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2"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1970</v>
      </c>
    </row>
    <row r="17" spans="1:2" ht="6" customHeight="1" x14ac:dyDescent="0.2"/>
    <row r="18" spans="1:2" ht="24.75" customHeight="1" x14ac:dyDescent="0.2">
      <c r="A18" s="2552" t="s">
        <v>1665</v>
      </c>
      <c r="B18" s="2552"/>
    </row>
  </sheetData>
  <sheetProtection selectLockedCells="1"/>
  <mergeCells count="1">
    <mergeCell ref="A18:B18"/>
  </mergeCells>
  <phoneticPr fontId="16"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5632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56321" r:id="rId4"/>
      </mc:Fallback>
    </mc:AlternateContent>
    <mc:AlternateContent xmlns:mc="http://schemas.openxmlformats.org/markup-compatibility/2006">
      <mc:Choice Requires="x14">
        <oleObject progId="Acrobat Document" dvAspect="DVASPECT_ICON" shapeId="56322" r:id="rId6">
          <objectPr defaultSize="0" r:id="rId7">
            <anchor moveWithCells="1">
              <from>
                <xdr:col>2</xdr:col>
                <xdr:colOff>0</xdr:colOff>
                <xdr:row>1</xdr:row>
                <xdr:rowOff>0</xdr:rowOff>
              </from>
              <to>
                <xdr:col>3</xdr:col>
                <xdr:colOff>304800</xdr:colOff>
                <xdr:row>5</xdr:row>
                <xdr:rowOff>38100</xdr:rowOff>
              </to>
            </anchor>
          </objectPr>
        </oleObject>
      </mc:Choice>
      <mc:Fallback>
        <oleObject progId="Acrobat Document" dvAspect="DVASPECT_ICON" shapeId="56322" r:id="rId6"/>
      </mc:Fallback>
    </mc:AlternateContent>
    <mc:AlternateContent xmlns:mc="http://schemas.openxmlformats.org/markup-compatibility/2006">
      <mc:Choice Requires="x14">
        <oleObject progId="Acrobat Document" dvAspect="DVASPECT_ICON" shapeId="56323" r:id="rId8">
          <objectPr defaultSize="0" r:id="rId9">
            <anchor moveWithCells="1">
              <from>
                <xdr:col>4</xdr:col>
                <xdr:colOff>0</xdr:colOff>
                <xdr:row>1</xdr:row>
                <xdr:rowOff>0</xdr:rowOff>
              </from>
              <to>
                <xdr:col>5</xdr:col>
                <xdr:colOff>304800</xdr:colOff>
                <xdr:row>5</xdr:row>
                <xdr:rowOff>38100</xdr:rowOff>
              </to>
            </anchor>
          </objectPr>
        </oleObject>
      </mc:Choice>
      <mc:Fallback>
        <oleObject progId="Acrobat Document" dvAspect="DVASPECT_ICON" shapeId="5632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553" t="s">
        <v>1669</v>
      </c>
      <c r="B1" s="2554"/>
      <c r="C1" s="2554"/>
      <c r="D1" s="2554"/>
      <c r="E1" s="2554"/>
      <c r="F1" s="2555"/>
    </row>
    <row r="2" spans="1:8" ht="45" customHeight="1" x14ac:dyDescent="0.2">
      <c r="A2" s="2563"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64"/>
      <c r="C2" s="2564"/>
      <c r="D2" s="2564"/>
      <c r="E2" s="2564"/>
      <c r="F2" s="2565"/>
      <c r="G2" s="853"/>
      <c r="H2" s="853"/>
    </row>
    <row r="3" spans="1:8" ht="57" customHeight="1" x14ac:dyDescent="0.2">
      <c r="A3" s="2566" t="s">
        <v>1969</v>
      </c>
      <c r="B3" s="2567"/>
      <c r="C3" s="2567"/>
      <c r="D3" s="2567"/>
      <c r="E3" s="2567"/>
      <c r="F3" s="2568"/>
      <c r="G3" s="853"/>
      <c r="H3" s="853"/>
    </row>
    <row r="4" spans="1:8" ht="14.25" customHeight="1" x14ac:dyDescent="0.2">
      <c r="A4" s="2572"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73"/>
      <c r="C4" s="2573"/>
      <c r="D4" s="2573"/>
      <c r="E4" s="2573"/>
      <c r="F4" s="2574"/>
      <c r="G4" s="853"/>
      <c r="H4" s="853"/>
    </row>
    <row r="5" spans="1:8" ht="14.25" customHeight="1" x14ac:dyDescent="0.2">
      <c r="A5" s="2575"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76"/>
      <c r="C5" s="2576"/>
      <c r="D5" s="2576"/>
      <c r="E5" s="2576"/>
      <c r="F5" s="2577"/>
      <c r="G5" s="853"/>
      <c r="H5" s="853"/>
    </row>
    <row r="6" spans="1:8" s="854" customFormat="1" ht="41.25" customHeight="1" x14ac:dyDescent="0.2">
      <c r="A6" s="2569" t="s">
        <v>1670</v>
      </c>
      <c r="B6" s="2570"/>
      <c r="C6" s="2570"/>
      <c r="D6" s="2570"/>
      <c r="E6" s="2570"/>
      <c r="F6" s="2571"/>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13131915</v>
      </c>
      <c r="C8" s="1813">
        <f>'Acct Summary 7-8'!D8</f>
        <v>1278606</v>
      </c>
      <c r="D8" s="1813">
        <f>'Acct Summary 7-8'!F8</f>
        <v>750395</v>
      </c>
      <c r="E8" s="1813">
        <f>'Acct Summary 7-8'!I8</f>
        <v>156425</v>
      </c>
      <c r="F8" s="1813">
        <f>SUM(B8:E8)</f>
        <v>15317341</v>
      </c>
    </row>
    <row r="9" spans="1:8" s="858" customFormat="1" ht="14.25" customHeight="1" thickBot="1" x14ac:dyDescent="0.25">
      <c r="A9" s="857" t="s">
        <v>1353</v>
      </c>
      <c r="B9" s="1814">
        <f>'Acct Summary 7-8'!C17</f>
        <v>13038338</v>
      </c>
      <c r="C9" s="1814">
        <f>'Acct Summary 7-8'!D17</f>
        <v>949848</v>
      </c>
      <c r="D9" s="1814">
        <f>'Acct Summary 7-8'!F17</f>
        <v>652459</v>
      </c>
      <c r="E9" s="1813"/>
      <c r="F9" s="1813">
        <f>SUM(B9:E9)</f>
        <v>14640645</v>
      </c>
    </row>
    <row r="10" spans="1:8" s="858" customFormat="1" ht="14.25" thickTop="1" thickBot="1" x14ac:dyDescent="0.25">
      <c r="A10" s="859" t="s">
        <v>1354</v>
      </c>
      <c r="B10" s="1815">
        <f>(B8-B9)</f>
        <v>93577</v>
      </c>
      <c r="C10" s="1815">
        <f>(C8-C9)</f>
        <v>328758</v>
      </c>
      <c r="D10" s="1815">
        <f>(D8-D9)</f>
        <v>97936</v>
      </c>
      <c r="E10" s="1814">
        <f>(E8-E9)</f>
        <v>156425</v>
      </c>
      <c r="F10" s="1816">
        <f>SUM(F8-F9)</f>
        <v>676696</v>
      </c>
    </row>
    <row r="11" spans="1:8" s="858" customFormat="1" ht="14.25" thickTop="1" thickBot="1" x14ac:dyDescent="0.25">
      <c r="A11" s="860" t="s">
        <v>1900</v>
      </c>
      <c r="B11" s="1817">
        <f>'Acct Summary 7-8'!C81</f>
        <v>3500688</v>
      </c>
      <c r="C11" s="1817">
        <f>'Acct Summary 7-8'!D81</f>
        <v>2956429</v>
      </c>
      <c r="D11" s="1817">
        <f>'Acct Summary 7-8'!F81</f>
        <v>1431337</v>
      </c>
      <c r="E11" s="1817">
        <f>'Acct Summary 7-8'!I81</f>
        <v>1127962</v>
      </c>
      <c r="F11" s="1818">
        <f>SUM(B11:E11)</f>
        <v>9016416</v>
      </c>
    </row>
    <row r="12" spans="1:8" ht="16.5" customHeight="1" thickTop="1" x14ac:dyDescent="0.2">
      <c r="A12" s="861"/>
      <c r="B12" s="862"/>
      <c r="C12" s="2557" t="str">
        <f>IF(AND(F10&lt;0,F11&gt;=0,ABS(F10*3)&gt;ABS(F11)),A16,IF(AND(F10&lt;0,F11&gt;0,ABS(F10*3)&lt;=ABS(F11)),A17,IF(AND(F10&lt;0,F11&lt;0),A16,IF(F11=0,A19,A18))))</f>
        <v>Balanced - no deficit reduction plan is required.</v>
      </c>
      <c r="D12" s="2558"/>
      <c r="E12" s="2558"/>
      <c r="F12" s="2559"/>
    </row>
    <row r="13" spans="1:8" ht="19.5" customHeight="1" x14ac:dyDescent="0.2">
      <c r="A13" s="863"/>
      <c r="B13" s="864"/>
      <c r="C13" s="2557"/>
      <c r="D13" s="2558"/>
      <c r="E13" s="2558"/>
      <c r="F13" s="2559"/>
      <c r="H13" s="853"/>
    </row>
    <row r="14" spans="1:8" ht="19.5" customHeight="1" x14ac:dyDescent="0.2">
      <c r="A14" s="863"/>
      <c r="B14" s="864"/>
      <c r="C14" s="2557"/>
      <c r="D14" s="2558"/>
      <c r="E14" s="2558"/>
      <c r="F14" s="2559"/>
      <c r="H14" s="853"/>
    </row>
    <row r="15" spans="1:8" ht="17.25" customHeight="1" x14ac:dyDescent="0.2">
      <c r="A15" s="863"/>
      <c r="B15" s="864"/>
      <c r="C15" s="2560"/>
      <c r="D15" s="2561"/>
      <c r="E15" s="2561"/>
      <c r="F15" s="2562"/>
      <c r="H15" s="853"/>
    </row>
    <row r="16" spans="1:8" s="288" customFormat="1" ht="51.75" hidden="1" customHeight="1" x14ac:dyDescent="0.2">
      <c r="A16" s="2556" t="s">
        <v>1666</v>
      </c>
      <c r="B16" s="2556"/>
      <c r="C16" s="2556"/>
      <c r="D16" s="2556"/>
      <c r="E16" s="2556"/>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50" colorId="8" zoomScale="110" zoomScaleNormal="110" workbookViewId="0"/>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578" t="s">
        <v>660</v>
      </c>
      <c r="B3" s="2579"/>
      <c r="C3" s="2579"/>
      <c r="D3" s="2580"/>
    </row>
    <row r="4" spans="1:4" x14ac:dyDescent="0.2">
      <c r="A4" s="931" t="s">
        <v>1671</v>
      </c>
      <c r="B4" s="932"/>
      <c r="C4" s="933"/>
      <c r="D4" s="934"/>
    </row>
    <row r="5" spans="1:4" ht="21" customHeight="1" x14ac:dyDescent="0.2">
      <c r="A5" s="927"/>
      <c r="B5" s="928">
        <v>1</v>
      </c>
      <c r="C5" s="929" t="s">
        <v>1971</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89" t="s">
        <v>1487</v>
      </c>
      <c r="D7" s="2590"/>
    </row>
    <row r="8" spans="1:4" s="542" customFormat="1" ht="12.75" x14ac:dyDescent="0.2">
      <c r="A8" s="917"/>
      <c r="B8" s="872"/>
      <c r="C8" s="875" t="s">
        <v>1486</v>
      </c>
      <c r="D8" s="876"/>
    </row>
    <row r="9" spans="1:4" s="542" customFormat="1" ht="14.25" customHeight="1" x14ac:dyDescent="0.2">
      <c r="A9" s="917"/>
      <c r="B9" s="872">
        <f>B7+1</f>
        <v>4</v>
      </c>
      <c r="C9" s="873" t="s">
        <v>1876</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581" t="s">
        <v>1001</v>
      </c>
      <c r="B15" s="2582"/>
      <c r="C15" s="2582"/>
      <c r="D15" s="2583"/>
    </row>
    <row r="16" spans="1:4" s="542" customFormat="1" ht="24" customHeight="1" x14ac:dyDescent="0.2">
      <c r="A16" s="2584" t="s">
        <v>658</v>
      </c>
      <c r="B16" s="2585"/>
      <c r="C16" s="2585"/>
      <c r="D16" s="2586"/>
    </row>
    <row r="17" spans="1:10" s="542" customFormat="1" ht="12.75" customHeight="1" x14ac:dyDescent="0.2">
      <c r="A17" s="935" t="s">
        <v>1672</v>
      </c>
      <c r="B17" s="936"/>
      <c r="C17" s="937"/>
      <c r="D17" s="938"/>
    </row>
    <row r="18" spans="1:10" s="542" customFormat="1" ht="12.75" customHeight="1" x14ac:dyDescent="0.2">
      <c r="A18" s="939" t="s">
        <v>1972</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593" t="s">
        <v>311</v>
      </c>
      <c r="D21" s="2594"/>
    </row>
    <row r="22" spans="1:10" ht="12.75" x14ac:dyDescent="0.2">
      <c r="A22" s="918"/>
      <c r="B22" s="919">
        <v>2</v>
      </c>
      <c r="C22" s="2591" t="s">
        <v>1507</v>
      </c>
      <c r="D22" s="2592"/>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NO FINDINGS WERE ISSUED</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95" t="s">
        <v>533</v>
      </c>
      <c r="D43" s="2596"/>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587" t="s">
        <v>779</v>
      </c>
      <c r="D56" s="2588"/>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1877</v>
      </c>
      <c r="D66" s="904"/>
    </row>
    <row r="67" spans="1:4" x14ac:dyDescent="0.2">
      <c r="A67" s="898"/>
      <c r="B67" s="919"/>
      <c r="C67" s="926" t="s">
        <v>1014</v>
      </c>
      <c r="D67" s="904"/>
    </row>
    <row r="68" spans="1:4" x14ac:dyDescent="0.2">
      <c r="A68" s="879"/>
      <c r="B68" s="889"/>
      <c r="C68" s="881" t="s">
        <v>1878</v>
      </c>
      <c r="D68" s="903" t="str">
        <f>IF('Short-Term Long-Term Debt 24'!F49=SUM(,'Acct Summary 7-8'!C33:K33),"OK","ERROR!")</f>
        <v>OK</v>
      </c>
    </row>
    <row r="69" spans="1:4" x14ac:dyDescent="0.2">
      <c r="A69" s="879"/>
      <c r="B69" s="889"/>
      <c r="C69" s="881" t="s">
        <v>1879</v>
      </c>
      <c r="D69" s="903" t="str">
        <f>IF('Expenditures 15-22'!H170&lt;&gt;'Short-Term Long-Term Debt 24'!H49,"ERROR!","OK")</f>
        <v>OK</v>
      </c>
    </row>
    <row r="70" spans="1:4" x14ac:dyDescent="0.2">
      <c r="A70" s="877"/>
      <c r="B70" s="899">
        <f>B66+1</f>
        <v>9</v>
      </c>
      <c r="C70" s="2587" t="s">
        <v>1674</v>
      </c>
      <c r="D70" s="2588"/>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1880</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1985</v>
      </c>
      <c r="D78" s="903" t="str">
        <f>IF(ISNUMBER('Acct Summary 7-8'!C9),"OK","ENTRY IS REQUIRED!")</f>
        <v>OK</v>
      </c>
    </row>
    <row r="79" spans="1:4" x14ac:dyDescent="0.2">
      <c r="A79" s="898"/>
      <c r="B79" s="899">
        <f>B74+1+1</f>
        <v>12</v>
      </c>
      <c r="C79" s="909" t="s">
        <v>1868</v>
      </c>
      <c r="D79" s="910" t="str">
        <f>IF(OR(COVER!$B$6="X",'PCTC-OEPP 27-28'!F79&gt;0),"OK","PLEASE ENTER 9 MO ADA.")</f>
        <v>OK</v>
      </c>
    </row>
    <row r="80" spans="1:4" x14ac:dyDescent="0.2">
      <c r="A80" s="877"/>
      <c r="B80" s="899">
        <v>13</v>
      </c>
      <c r="C80" s="909" t="s">
        <v>1973</v>
      </c>
      <c r="D80" s="910" t="str">
        <f>IF(OR(COVER!$B$6="X",ISNUMBER('PCTC-OEPP 27-28'!F172)),"OK","PLEASE ENTER AMOUNT or 0.")</f>
        <v>OK</v>
      </c>
    </row>
    <row r="81" spans="1:4" x14ac:dyDescent="0.2">
      <c r="A81" s="877"/>
      <c r="B81" s="899">
        <v>14</v>
      </c>
      <c r="C81" s="909" t="s">
        <v>1974</v>
      </c>
      <c r="D81" s="910" t="str">
        <f>IF(OR(COVER!$B$6="X",ISNUMBER('PCTC-OEPP 27-28'!F173)),"OK","PLEASE ENTER AMOUNT or 0.")</f>
        <v>OK</v>
      </c>
    </row>
    <row r="82" spans="1:4" ht="22.5" x14ac:dyDescent="0.2">
      <c r="A82" s="877"/>
      <c r="B82" s="899">
        <v>15</v>
      </c>
      <c r="C82" s="909" t="s">
        <v>1881</v>
      </c>
      <c r="D82" s="1901" t="str">
        <f>IF('Contracts Paid in CY 29'!$D$142&gt;0,"OK","PLEASE ENTER CONTRACTS PAID IN CURRENT YEAR.  IF NONE, STATE NO CONTRACTS ON PAGE 29.")</f>
        <v>PLEASE ENTER CONTRACTS PAID IN CURRENT YEAR.  IF NONE, STATE NO CONTRACTS ON PAGE 29.</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1964</v>
      </c>
      <c r="F1" s="1543" t="s">
        <v>1965</v>
      </c>
      <c r="G1" s="1900" t="s">
        <v>1975</v>
      </c>
    </row>
    <row r="2" spans="1:7" ht="15.75" x14ac:dyDescent="0.25">
      <c r="A2" t="s">
        <v>260</v>
      </c>
      <c r="B2" s="135" t="str">
        <f>COVER!A13</f>
        <v>53-102-1400-26</v>
      </c>
      <c r="E2" s="1542">
        <v>2020</v>
      </c>
      <c r="F2" s="1542">
        <v>1</v>
      </c>
      <c r="G2" s="1899">
        <v>101000300</v>
      </c>
    </row>
    <row r="3" spans="1:7" ht="15" x14ac:dyDescent="0.25">
      <c r="A3" t="s">
        <v>950</v>
      </c>
      <c r="B3" s="135" t="str">
        <f>COVER!A15</f>
        <v>Tazewell</v>
      </c>
      <c r="E3" s="1830" t="s">
        <v>1968</v>
      </c>
      <c r="F3" s="1830" t="s">
        <v>1967</v>
      </c>
      <c r="G3" s="1899">
        <v>101000400</v>
      </c>
    </row>
    <row r="4" spans="1:7" ht="15" x14ac:dyDescent="0.25">
      <c r="A4" t="s">
        <v>1000</v>
      </c>
      <c r="B4" s="135" t="str">
        <f>COVER!A17</f>
        <v>Community Unit School District No. 140</v>
      </c>
      <c r="E4" s="1828">
        <v>44119</v>
      </c>
      <c r="F4" s="1829">
        <v>44151</v>
      </c>
      <c r="G4" s="1899">
        <v>101000600</v>
      </c>
    </row>
    <row r="5" spans="1:7" ht="15" x14ac:dyDescent="0.25">
      <c r="A5" t="s">
        <v>699</v>
      </c>
      <c r="B5" s="135" t="str">
        <f>COVER!A38</f>
        <v>Robert Bardwell</v>
      </c>
      <c r="G5" s="1899">
        <v>101000800</v>
      </c>
    </row>
    <row r="6" spans="1:7" ht="15" x14ac:dyDescent="0.25">
      <c r="A6" t="s">
        <v>704</v>
      </c>
      <c r="B6" s="135">
        <f>COVER!P35</f>
        <v>0</v>
      </c>
      <c r="G6" s="1899">
        <v>102100300</v>
      </c>
    </row>
    <row r="7" spans="1:7" ht="15" x14ac:dyDescent="0.25">
      <c r="A7" t="s">
        <v>700</v>
      </c>
      <c r="B7" s="135">
        <f>COVER!I38</f>
        <v>0</v>
      </c>
      <c r="G7" s="1899">
        <v>102100400</v>
      </c>
    </row>
    <row r="8" spans="1:7" ht="15" x14ac:dyDescent="0.25">
      <c r="A8" t="s">
        <v>701</v>
      </c>
      <c r="B8" s="135">
        <f>COVER!T38</f>
        <v>0</v>
      </c>
      <c r="G8" s="1899">
        <v>102100600</v>
      </c>
    </row>
    <row r="9" spans="1:7" ht="15" x14ac:dyDescent="0.25">
      <c r="A9" s="3" t="s">
        <v>951</v>
      </c>
      <c r="B9" s="153" t="str">
        <f>AUDITCHECK!D23</f>
        <v>CASH</v>
      </c>
      <c r="G9" s="1899">
        <v>102100800</v>
      </c>
    </row>
    <row r="10" spans="1:7" ht="15" x14ac:dyDescent="0.25">
      <c r="A10" t="s">
        <v>970</v>
      </c>
      <c r="B10" s="135" t="str">
        <f>COVER!B5</f>
        <v>X</v>
      </c>
      <c r="G10" s="1899">
        <v>202100300</v>
      </c>
    </row>
    <row r="11" spans="1:7" ht="15" x14ac:dyDescent="0.25">
      <c r="A11" t="s">
        <v>971</v>
      </c>
      <c r="B11" s="135">
        <f>COVER!B6</f>
        <v>0</v>
      </c>
      <c r="G11" s="1899">
        <v>202100400</v>
      </c>
    </row>
    <row r="12" spans="1:7" ht="15" x14ac:dyDescent="0.25">
      <c r="A12" s="1" t="s">
        <v>1526</v>
      </c>
      <c r="B12" s="135" t="str">
        <f>IF(COVER!J29="x","Yes",IF(COVER!L29="X","No",0))</f>
        <v>Yes</v>
      </c>
      <c r="G12" s="1899">
        <v>202100600</v>
      </c>
    </row>
    <row r="13" spans="1:7" ht="15" x14ac:dyDescent="0.25">
      <c r="A13" s="1" t="s">
        <v>1527</v>
      </c>
      <c r="B13" s="135" t="str">
        <f>IF(COVER!J30="x","Yes",IF(COVER!L30="x","No",0))</f>
        <v>Yes</v>
      </c>
      <c r="G13" s="1899">
        <v>202100800</v>
      </c>
    </row>
    <row r="14" spans="1:7" ht="15" x14ac:dyDescent="0.25">
      <c r="A14" t="s">
        <v>473</v>
      </c>
      <c r="B14" s="135" t="str">
        <f>IF(COVER!J31="x","Yes",IF(COVER!L31="x","No",0))</f>
        <v>No</v>
      </c>
      <c r="G14" s="1899">
        <v>402100300</v>
      </c>
    </row>
    <row r="15" spans="1:7" ht="15" x14ac:dyDescent="0.25">
      <c r="A15" t="s">
        <v>573</v>
      </c>
      <c r="B15" s="135" t="str">
        <f>COVER!T23</f>
        <v>066-005027</v>
      </c>
      <c r="G15" s="1899">
        <v>402100400</v>
      </c>
    </row>
    <row r="16" spans="1:7" ht="15" x14ac:dyDescent="0.25">
      <c r="A16" t="s">
        <v>419</v>
      </c>
      <c r="B16" s="135" t="str">
        <f>COVER!T13</f>
        <v>Gorenz and Associates, Ltd.</v>
      </c>
      <c r="G16" s="1899">
        <v>402100600</v>
      </c>
    </row>
    <row r="17" spans="1:7" ht="15" x14ac:dyDescent="0.25">
      <c r="A17" t="s">
        <v>878</v>
      </c>
      <c r="B17" s="135" t="str">
        <f>COVER!T15</f>
        <v>Tim C. Custis, CPA</v>
      </c>
      <c r="G17" s="1899">
        <v>402100800</v>
      </c>
    </row>
    <row r="18" spans="1:7" ht="15" x14ac:dyDescent="0.25">
      <c r="A18" t="s">
        <v>1140</v>
      </c>
      <c r="B18" s="135" t="str">
        <f>COVER!T17</f>
        <v>4200 N Knoxville Ave.</v>
      </c>
      <c r="G18" s="1899">
        <v>102200300</v>
      </c>
    </row>
    <row r="19" spans="1:7" ht="15" x14ac:dyDescent="0.25">
      <c r="A19" t="s">
        <v>880</v>
      </c>
      <c r="B19" s="135" t="str">
        <f>COVER!T25</f>
        <v>tcustis@gorenzcpa.com</v>
      </c>
      <c r="G19" s="1899">
        <v>102200400</v>
      </c>
    </row>
    <row r="20" spans="1:7" ht="15" x14ac:dyDescent="0.25">
      <c r="A20" t="s">
        <v>881</v>
      </c>
      <c r="B20" s="135" t="str">
        <f>COVER!T19</f>
        <v>Peoria</v>
      </c>
      <c r="G20" s="1899">
        <v>102200600</v>
      </c>
    </row>
    <row r="21" spans="1:7" ht="15" x14ac:dyDescent="0.25">
      <c r="A21" t="s">
        <v>476</v>
      </c>
      <c r="B21" s="135" t="str">
        <f>COVER!X19</f>
        <v>IL</v>
      </c>
      <c r="G21" s="1899">
        <v>102200800</v>
      </c>
    </row>
    <row r="22" spans="1:7" ht="15" x14ac:dyDescent="0.25">
      <c r="A22" t="s">
        <v>882</v>
      </c>
      <c r="B22" s="135">
        <f>COVER!Z19</f>
        <v>61614</v>
      </c>
      <c r="G22" s="1899">
        <v>102300300</v>
      </c>
    </row>
    <row r="23" spans="1:7" ht="15" x14ac:dyDescent="0.25">
      <c r="A23" t="s">
        <v>1142</v>
      </c>
      <c r="B23" s="135" t="str">
        <f>COVER!T21</f>
        <v>309-685-7621</v>
      </c>
      <c r="G23" s="1899">
        <v>102300400</v>
      </c>
    </row>
    <row r="24" spans="1:7" ht="15" x14ac:dyDescent="0.25">
      <c r="A24" t="s">
        <v>1141</v>
      </c>
      <c r="B24" s="135">
        <f>COVER!Y21</f>
        <v>0</v>
      </c>
      <c r="G24" s="1899">
        <v>102300600</v>
      </c>
    </row>
    <row r="25" spans="1:7" ht="15" x14ac:dyDescent="0.25">
      <c r="A25" t="s">
        <v>756</v>
      </c>
      <c r="B25" s="135">
        <f>COVER!B34</f>
        <v>0</v>
      </c>
      <c r="G25" s="1899">
        <v>102300800</v>
      </c>
    </row>
    <row r="26" spans="1:7" ht="15" x14ac:dyDescent="0.25">
      <c r="A26" t="s">
        <v>1143</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0</v>
      </c>
      <c r="G28" s="1899">
        <v>802300600</v>
      </c>
    </row>
    <row r="29" spans="1:7" ht="15" x14ac:dyDescent="0.25">
      <c r="A29" t="s">
        <v>314</v>
      </c>
      <c r="B29" s="135" t="str">
        <f>IF('Aud Quest 2'!B11="x","Yes",IF('Aud Quest 2'!B11&lt;&gt;"x","0"))</f>
        <v>0</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755</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0</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0</v>
      </c>
      <c r="G47" s="1899">
        <v>102540400</v>
      </c>
    </row>
    <row r="48" spans="1:7" ht="15" x14ac:dyDescent="0.25">
      <c r="A48" t="s">
        <v>480</v>
      </c>
      <c r="B48" s="135" t="str">
        <f>IF('Aud Quest 2'!B51="x","Yes",IF('Aud Quest 2'!B51&lt;&gt;"x","0"))</f>
        <v>0</v>
      </c>
      <c r="G48" s="1899">
        <v>102540600</v>
      </c>
    </row>
    <row r="49" spans="1:7" ht="15" x14ac:dyDescent="0.25">
      <c r="A49" s="1" t="s">
        <v>1464</v>
      </c>
      <c r="B49" s="135" t="str">
        <f>IF('Aud Quest 2'!B53="x","Yes",IF('Aud Quest 2'!B53&lt;&gt;"x","0"))</f>
        <v>0</v>
      </c>
      <c r="G49" s="1899">
        <v>102540800</v>
      </c>
    </row>
    <row r="50" spans="1:7" ht="15" x14ac:dyDescent="0.25">
      <c r="A50" s="1" t="s">
        <v>1463</v>
      </c>
      <c r="B50" s="146">
        <f>'Aud Quest 2'!H53</f>
        <v>0</v>
      </c>
      <c r="G50" s="1899">
        <v>202540300</v>
      </c>
    </row>
    <row r="51" spans="1:7" ht="15" x14ac:dyDescent="0.25">
      <c r="A51" s="1" t="s">
        <v>1465</v>
      </c>
      <c r="B51" s="135" t="str">
        <f>IF('Aud Quest 2'!B54="x","Yes",IF('Aud Quest 2'!B54&lt;&gt;"x","0"))</f>
        <v>0</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0</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3500688</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0</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0</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0</v>
      </c>
      <c r="C91" s="2" t="s">
        <v>569</v>
      </c>
      <c r="D91" s="2" t="str">
        <f t="shared" si="0"/>
        <v>Error?</v>
      </c>
      <c r="G91" s="1899">
        <v>102640400</v>
      </c>
    </row>
    <row r="92" spans="1:7" ht="15" x14ac:dyDescent="0.25">
      <c r="A92" s="5">
        <v>31</v>
      </c>
      <c r="B92" s="1832">
        <f>'Assets-Liab 5-6'!C39</f>
        <v>3500688</v>
      </c>
      <c r="D92" s="2" t="str">
        <f t="shared" si="0"/>
        <v>Error?</v>
      </c>
      <c r="G92" s="1899">
        <v>102640600</v>
      </c>
    </row>
    <row r="93" spans="1:7" ht="15" x14ac:dyDescent="0.25">
      <c r="A93" s="5">
        <v>32</v>
      </c>
      <c r="B93" s="1832">
        <f>'Assets-Liab 5-6'!C41</f>
        <v>3500688</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0</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2956429</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0</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0</v>
      </c>
      <c r="C122" s="2" t="s">
        <v>569</v>
      </c>
      <c r="D122" s="2" t="str">
        <f t="shared" si="0"/>
        <v>Error?</v>
      </c>
      <c r="G122" s="1899">
        <v>203000300</v>
      </c>
    </row>
    <row r="123" spans="1:7" ht="15" x14ac:dyDescent="0.25">
      <c r="A123" s="5">
        <v>62</v>
      </c>
      <c r="B123" s="1832">
        <f>'Assets-Liab 5-6'!D39</f>
        <v>2906429</v>
      </c>
      <c r="D123" s="2" t="str">
        <f t="shared" si="0"/>
        <v>Error?</v>
      </c>
      <c r="G123" s="1899">
        <v>203000400</v>
      </c>
    </row>
    <row r="124" spans="1:7" ht="15" x14ac:dyDescent="0.25">
      <c r="A124" s="5">
        <v>63</v>
      </c>
      <c r="B124" s="1832">
        <f>'Assets-Liab 5-6'!D41</f>
        <v>2956429</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0</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63291</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63291</v>
      </c>
      <c r="D140" s="2" t="str">
        <f t="shared" si="1"/>
        <v>Error?</v>
      </c>
    </row>
    <row r="141" spans="1:7" x14ac:dyDescent="0.2">
      <c r="A141" s="5">
        <v>80</v>
      </c>
      <c r="B141" s="1832">
        <f>'Assets-Liab 5-6'!E41</f>
        <v>63291</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1431337</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1431337</v>
      </c>
      <c r="D170" s="2" t="str">
        <f t="shared" si="1"/>
        <v>Error?</v>
      </c>
    </row>
    <row r="171" spans="1:4" x14ac:dyDescent="0.2">
      <c r="A171" s="5">
        <v>110</v>
      </c>
      <c r="B171" s="1832">
        <f>'Assets-Liab 5-6'!F41</f>
        <v>1431337</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615867</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305581</v>
      </c>
      <c r="D189" s="2" t="str">
        <f t="shared" si="1"/>
        <v>Error?</v>
      </c>
    </row>
    <row r="190" spans="1:4" x14ac:dyDescent="0.2">
      <c r="A190" s="5">
        <v>129</v>
      </c>
      <c r="B190" s="1832">
        <f>'Assets-Liab 5-6'!G41</f>
        <v>615867</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1761055</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0</v>
      </c>
      <c r="D212" s="2" t="str">
        <f t="shared" si="2"/>
        <v>Error?</v>
      </c>
    </row>
    <row r="213" spans="1:4" x14ac:dyDescent="0.2">
      <c r="A213" s="12">
        <v>152</v>
      </c>
      <c r="B213" s="1832">
        <f>'Assets-Liab 5-6'!H41</f>
        <v>1761055</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486404</v>
      </c>
      <c r="D273" s="2" t="str">
        <f t="shared" si="3"/>
        <v>Error?</v>
      </c>
    </row>
    <row r="274" spans="1:4" x14ac:dyDescent="0.2">
      <c r="A274" s="5">
        <v>213</v>
      </c>
      <c r="B274" s="1832">
        <f>'Assets-Liab 5-6'!M17</f>
        <v>19536112</v>
      </c>
      <c r="D274" s="2" t="str">
        <f t="shared" si="3"/>
        <v>Error?</v>
      </c>
    </row>
    <row r="275" spans="1:4" x14ac:dyDescent="0.2">
      <c r="A275" s="5">
        <v>214</v>
      </c>
      <c r="B275" s="1832">
        <f>'Assets-Liab 5-6'!M18</f>
        <v>4413669</v>
      </c>
      <c r="D275" s="2" t="str">
        <f t="shared" si="3"/>
        <v>Error?</v>
      </c>
    </row>
    <row r="276" spans="1:4" x14ac:dyDescent="0.2">
      <c r="A276" s="5">
        <v>215</v>
      </c>
      <c r="B276" s="1832">
        <f>'Assets-Liab 5-6'!M19</f>
        <v>4465961</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31902146</v>
      </c>
      <c r="C279" s="2" t="s">
        <v>569</v>
      </c>
      <c r="D279" s="2" t="str">
        <f t="shared" si="3"/>
        <v>Error?</v>
      </c>
    </row>
    <row r="280" spans="1:4" x14ac:dyDescent="0.2">
      <c r="A280" s="5">
        <v>219</v>
      </c>
      <c r="B280" s="1832">
        <f>'Assets-Liab 5-6'!M40</f>
        <v>31902146</v>
      </c>
      <c r="D280" s="2" t="str">
        <f t="shared" si="3"/>
        <v>Error?</v>
      </c>
    </row>
    <row r="281" spans="1:4" x14ac:dyDescent="0.2">
      <c r="A281" s="5">
        <v>220</v>
      </c>
      <c r="B281" s="1832">
        <f>'Assets-Liab 5-6'!M41</f>
        <v>31902146</v>
      </c>
      <c r="C281" s="2" t="s">
        <v>569</v>
      </c>
      <c r="D281" s="2" t="str">
        <f t="shared" si="3"/>
        <v>Error?</v>
      </c>
    </row>
    <row r="282" spans="1:4" x14ac:dyDescent="0.2">
      <c r="A282" s="5">
        <v>221</v>
      </c>
      <c r="B282" s="1832">
        <f>'Assets-Liab 5-6'!N21</f>
        <v>63291</v>
      </c>
      <c r="D282" s="2" t="str">
        <f t="shared" si="3"/>
        <v>Error?</v>
      </c>
    </row>
    <row r="283" spans="1:4" x14ac:dyDescent="0.2">
      <c r="A283" s="5">
        <v>222</v>
      </c>
      <c r="B283" s="1832">
        <f>'Assets-Liab 5-6'!N22</f>
        <v>5040184</v>
      </c>
      <c r="D283" s="2" t="str">
        <f t="shared" si="3"/>
        <v>Error?</v>
      </c>
    </row>
    <row r="284" spans="1:4" x14ac:dyDescent="0.2">
      <c r="A284" s="5">
        <v>223</v>
      </c>
      <c r="B284" s="1832">
        <f>'Assets-Liab 5-6'!N23</f>
        <v>5103475</v>
      </c>
      <c r="C284" s="2" t="s">
        <v>569</v>
      </c>
      <c r="D284" s="2" t="str">
        <f t="shared" si="3"/>
        <v>Error?</v>
      </c>
    </row>
    <row r="285" spans="1:4" x14ac:dyDescent="0.2">
      <c r="A285" s="5">
        <v>224</v>
      </c>
      <c r="B285" s="1832">
        <f>'Assets-Liab 5-6'!N36</f>
        <v>5103475</v>
      </c>
      <c r="D285" s="2" t="str">
        <f t="shared" si="3"/>
        <v>Error?</v>
      </c>
    </row>
    <row r="286" spans="1:4" x14ac:dyDescent="0.2">
      <c r="A286" s="10">
        <v>225</v>
      </c>
      <c r="B286" s="1832"/>
      <c r="D286" s="2" t="str">
        <f t="shared" si="3"/>
        <v>OK</v>
      </c>
    </row>
    <row r="287" spans="1:4" x14ac:dyDescent="0.2">
      <c r="A287" s="5">
        <v>226</v>
      </c>
      <c r="B287" s="1832">
        <f>'Assets-Liab 5-6'!N37</f>
        <v>5103475</v>
      </c>
      <c r="C287" s="2" t="s">
        <v>569</v>
      </c>
      <c r="D287" s="2" t="str">
        <f t="shared" si="3"/>
        <v>Error?</v>
      </c>
    </row>
    <row r="288" spans="1:4" x14ac:dyDescent="0.2">
      <c r="A288" s="5">
        <v>227</v>
      </c>
      <c r="B288" s="1832">
        <f>'Assets-Liab 5-6'!N41</f>
        <v>5103475</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4984861</v>
      </c>
      <c r="D705" s="2" t="str">
        <f t="shared" si="10"/>
        <v>Error?</v>
      </c>
    </row>
    <row r="706" spans="1:4" x14ac:dyDescent="0.2">
      <c r="A706" s="5">
        <v>645</v>
      </c>
      <c r="B706" s="1832">
        <f>'Expenditures 15-22'!C16</f>
        <v>355</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189947</v>
      </c>
      <c r="D717" s="2" t="str">
        <f t="shared" si="10"/>
        <v>Error?</v>
      </c>
    </row>
    <row r="718" spans="1:4" x14ac:dyDescent="0.2">
      <c r="A718" s="5">
        <v>657</v>
      </c>
      <c r="B718" s="1832">
        <f>'Expenditures 15-22'!C14</f>
        <v>518419</v>
      </c>
      <c r="D718" s="2" t="str">
        <f t="shared" si="10"/>
        <v>Error?</v>
      </c>
    </row>
    <row r="719" spans="1:4" x14ac:dyDescent="0.2">
      <c r="A719" s="5">
        <v>658</v>
      </c>
      <c r="B719" s="1832">
        <f>'Expenditures 15-22'!C15</f>
        <v>1287</v>
      </c>
      <c r="D719" s="2" t="str">
        <f t="shared" si="10"/>
        <v>Error?</v>
      </c>
    </row>
    <row r="720" spans="1:4" x14ac:dyDescent="0.2">
      <c r="A720" s="5">
        <v>659</v>
      </c>
      <c r="B720" s="1832">
        <f>'Expenditures 15-22'!C33</f>
        <v>6997724</v>
      </c>
      <c r="C720" s="2" t="s">
        <v>569</v>
      </c>
      <c r="D720" s="2" t="str">
        <f t="shared" si="10"/>
        <v>Error?</v>
      </c>
    </row>
    <row r="721" spans="1:4" x14ac:dyDescent="0.2">
      <c r="A721" s="5">
        <v>660</v>
      </c>
      <c r="B721" s="1832">
        <f>'Expenditures 15-22'!C36</f>
        <v>70469</v>
      </c>
      <c r="D721" s="2" t="str">
        <f t="shared" si="10"/>
        <v>Error?</v>
      </c>
    </row>
    <row r="722" spans="1:4" x14ac:dyDescent="0.2">
      <c r="A722" s="5">
        <v>661</v>
      </c>
      <c r="B722" s="1832">
        <f>'Expenditures 15-22'!C37</f>
        <v>140571</v>
      </c>
      <c r="D722" s="2" t="str">
        <f t="shared" si="10"/>
        <v>Error?</v>
      </c>
    </row>
    <row r="723" spans="1:4" x14ac:dyDescent="0.2">
      <c r="A723" s="5">
        <v>662</v>
      </c>
      <c r="B723" s="1832">
        <f>'Expenditures 15-22'!C38</f>
        <v>0</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39115</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250155</v>
      </c>
      <c r="C727" s="2" t="s">
        <v>569</v>
      </c>
      <c r="D727" s="2" t="str">
        <f t="shared" si="10"/>
        <v>Error?</v>
      </c>
    </row>
    <row r="728" spans="1:4" x14ac:dyDescent="0.2">
      <c r="A728" s="5">
        <v>667</v>
      </c>
      <c r="B728" s="1832">
        <f>'Expenditures 15-22'!C44</f>
        <v>59349</v>
      </c>
      <c r="D728" s="2" t="str">
        <f t="shared" si="10"/>
        <v>Error?</v>
      </c>
    </row>
    <row r="729" spans="1:4" x14ac:dyDescent="0.2">
      <c r="A729" s="5">
        <v>668</v>
      </c>
      <c r="B729" s="1832">
        <f>'Expenditures 15-22'!C45</f>
        <v>231281</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290630</v>
      </c>
      <c r="C731" s="2" t="s">
        <v>569</v>
      </c>
      <c r="D731" s="2" t="str">
        <f t="shared" si="10"/>
        <v>Error?</v>
      </c>
    </row>
    <row r="732" spans="1:4" x14ac:dyDescent="0.2">
      <c r="A732" s="5">
        <v>671</v>
      </c>
      <c r="B732" s="1832">
        <f>'Expenditures 15-22'!C49</f>
        <v>41597</v>
      </c>
      <c r="D732" s="2" t="str">
        <f t="shared" si="10"/>
        <v>Error?</v>
      </c>
    </row>
    <row r="733" spans="1:4" x14ac:dyDescent="0.2">
      <c r="A733" s="5">
        <v>672</v>
      </c>
      <c r="B733" s="1832">
        <f>'Expenditures 15-22'!C50</f>
        <v>133280</v>
      </c>
      <c r="D733" s="2" t="str">
        <f t="shared" si="10"/>
        <v>Error?</v>
      </c>
    </row>
    <row r="734" spans="1:4" x14ac:dyDescent="0.2">
      <c r="A734" s="5">
        <v>673</v>
      </c>
      <c r="B734" s="1832">
        <f>'Expenditures 15-22'!C53</f>
        <v>176170</v>
      </c>
      <c r="C734" s="2" t="s">
        <v>569</v>
      </c>
      <c r="D734" s="2" t="str">
        <f t="shared" si="10"/>
        <v>Error?</v>
      </c>
    </row>
    <row r="735" spans="1:4" x14ac:dyDescent="0.2">
      <c r="A735" s="5">
        <v>674</v>
      </c>
      <c r="B735" s="1832">
        <f>'Expenditures 15-22'!C55</f>
        <v>708648</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708648</v>
      </c>
      <c r="C737" s="2" t="s">
        <v>569</v>
      </c>
      <c r="D737" s="2" t="str">
        <f t="shared" si="10"/>
        <v>Error?</v>
      </c>
    </row>
    <row r="738" spans="1:4" x14ac:dyDescent="0.2">
      <c r="A738" s="5">
        <v>677</v>
      </c>
      <c r="B738" s="1832">
        <f>'Expenditures 15-22'!C59</f>
        <v>98901</v>
      </c>
      <c r="D738" s="2" t="str">
        <f t="shared" si="10"/>
        <v>Error?</v>
      </c>
    </row>
    <row r="739" spans="1:4" x14ac:dyDescent="0.2">
      <c r="A739" s="5">
        <v>678</v>
      </c>
      <c r="B739" s="1832">
        <f>'Expenditures 15-22'!C60</f>
        <v>34298</v>
      </c>
      <c r="D739" s="2" t="str">
        <f t="shared" si="10"/>
        <v>Error?</v>
      </c>
    </row>
    <row r="740" spans="1:4" x14ac:dyDescent="0.2">
      <c r="A740" s="5">
        <v>679</v>
      </c>
      <c r="B740" s="1832">
        <f>'Expenditures 15-22'!C61</f>
        <v>518784</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213147</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865130</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0</v>
      </c>
      <c r="D751" s="2" t="str">
        <f t="shared" si="10"/>
        <v>Error?</v>
      </c>
    </row>
    <row r="752" spans="1:4" x14ac:dyDescent="0.2">
      <c r="A752" s="10">
        <v>691</v>
      </c>
      <c r="B752" s="1832"/>
      <c r="D752" s="2" t="str">
        <f t="shared" si="10"/>
        <v>OK</v>
      </c>
    </row>
    <row r="753" spans="1:4" x14ac:dyDescent="0.2">
      <c r="A753" s="5">
        <v>692</v>
      </c>
      <c r="B753" s="1832">
        <f>'Expenditures 15-22'!C72</f>
        <v>0</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2290733</v>
      </c>
      <c r="C755" s="2" t="s">
        <v>569</v>
      </c>
      <c r="D755" s="2" t="str">
        <f t="shared" si="10"/>
        <v>Error?</v>
      </c>
    </row>
    <row r="756" spans="1:4" x14ac:dyDescent="0.2">
      <c r="A756" s="5">
        <v>695</v>
      </c>
      <c r="B756" s="1832">
        <f>'Expenditures 15-22'!C75</f>
        <v>2336</v>
      </c>
      <c r="D756" s="2" t="str">
        <f t="shared" si="10"/>
        <v>Error?</v>
      </c>
    </row>
    <row r="757" spans="1:4" x14ac:dyDescent="0.2">
      <c r="A757" s="5">
        <v>696</v>
      </c>
      <c r="B757" s="1832">
        <f>'Expenditures 15-22'!C114</f>
        <v>9290793</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804684</v>
      </c>
      <c r="D763" s="2" t="str">
        <f t="shared" si="10"/>
        <v>Error?</v>
      </c>
    </row>
    <row r="764" spans="1:4" x14ac:dyDescent="0.2">
      <c r="A764" s="5">
        <v>703</v>
      </c>
      <c r="B764" s="1832">
        <f>'Expenditures 15-22'!D16</f>
        <v>53</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19615</v>
      </c>
      <c r="D775" s="2" t="str">
        <f t="shared" si="11"/>
        <v>Error?</v>
      </c>
    </row>
    <row r="776" spans="1:4" x14ac:dyDescent="0.2">
      <c r="A776" s="5">
        <v>715</v>
      </c>
      <c r="B776" s="1832">
        <f>'Expenditures 15-22'!D14</f>
        <v>49888</v>
      </c>
      <c r="D776" s="2" t="str">
        <f t="shared" si="11"/>
        <v>Error?</v>
      </c>
    </row>
    <row r="777" spans="1:4" x14ac:dyDescent="0.2">
      <c r="A777" s="5">
        <v>716</v>
      </c>
      <c r="B777" s="1832">
        <f>'Expenditures 15-22'!D15</f>
        <v>0</v>
      </c>
      <c r="D777" s="2" t="str">
        <f t="shared" si="11"/>
        <v>Error?</v>
      </c>
    </row>
    <row r="778" spans="1:4" x14ac:dyDescent="0.2">
      <c r="A778" s="5">
        <v>717</v>
      </c>
      <c r="B778" s="1832">
        <f>'Expenditures 15-22'!D33</f>
        <v>1102263</v>
      </c>
      <c r="C778" s="2" t="s">
        <v>569</v>
      </c>
      <c r="D778" s="2" t="str">
        <f t="shared" si="11"/>
        <v>Error?</v>
      </c>
    </row>
    <row r="779" spans="1:4" x14ac:dyDescent="0.2">
      <c r="A779" s="5">
        <v>718</v>
      </c>
      <c r="B779" s="1832">
        <f>'Expenditures 15-22'!D36</f>
        <v>7145</v>
      </c>
      <c r="D779" s="2" t="str">
        <f t="shared" si="11"/>
        <v>Error?</v>
      </c>
    </row>
    <row r="780" spans="1:4" x14ac:dyDescent="0.2">
      <c r="A780" s="5">
        <v>719</v>
      </c>
      <c r="B780" s="1832">
        <f>'Expenditures 15-22'!D37</f>
        <v>29240</v>
      </c>
      <c r="D780" s="2" t="str">
        <f t="shared" si="11"/>
        <v>Error?</v>
      </c>
    </row>
    <row r="781" spans="1:4" x14ac:dyDescent="0.2">
      <c r="A781" s="5">
        <v>720</v>
      </c>
      <c r="B781" s="1832">
        <f>'Expenditures 15-22'!D38</f>
        <v>0</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8890</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45275</v>
      </c>
      <c r="C785" s="2" t="s">
        <v>569</v>
      </c>
      <c r="D785" s="2" t="str">
        <f t="shared" si="11"/>
        <v>Error?</v>
      </c>
    </row>
    <row r="786" spans="1:4" x14ac:dyDescent="0.2">
      <c r="A786" s="5">
        <v>725</v>
      </c>
      <c r="B786" s="1832">
        <f>'Expenditures 15-22'!D44</f>
        <v>10724</v>
      </c>
      <c r="D786" s="2" t="str">
        <f t="shared" si="11"/>
        <v>Error?</v>
      </c>
    </row>
    <row r="787" spans="1:4" x14ac:dyDescent="0.2">
      <c r="A787" s="5">
        <v>726</v>
      </c>
      <c r="B787" s="1832">
        <f>'Expenditures 15-22'!D45</f>
        <v>53656</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64380</v>
      </c>
      <c r="C789" s="2" t="s">
        <v>569</v>
      </c>
      <c r="D789" s="2" t="str">
        <f t="shared" si="11"/>
        <v>Error?</v>
      </c>
    </row>
    <row r="790" spans="1:4" x14ac:dyDescent="0.2">
      <c r="A790" s="5">
        <v>729</v>
      </c>
      <c r="B790" s="1832">
        <f>'Expenditures 15-22'!D49</f>
        <v>22259</v>
      </c>
      <c r="D790" s="2" t="str">
        <f t="shared" si="11"/>
        <v>Error?</v>
      </c>
    </row>
    <row r="791" spans="1:4" x14ac:dyDescent="0.2">
      <c r="A791" s="5">
        <v>730</v>
      </c>
      <c r="B791" s="1832">
        <f>'Expenditures 15-22'!D50</f>
        <v>25307</v>
      </c>
      <c r="D791" s="2" t="str">
        <f t="shared" si="11"/>
        <v>Error?</v>
      </c>
    </row>
    <row r="792" spans="1:4" x14ac:dyDescent="0.2">
      <c r="A792" s="5">
        <v>731</v>
      </c>
      <c r="B792" s="1832">
        <f>'Expenditures 15-22'!D53</f>
        <v>47566</v>
      </c>
      <c r="C792" s="2" t="s">
        <v>569</v>
      </c>
      <c r="D792" s="2" t="str">
        <f t="shared" si="11"/>
        <v>Error?</v>
      </c>
    </row>
    <row r="793" spans="1:4" x14ac:dyDescent="0.2">
      <c r="A793" s="5">
        <v>732</v>
      </c>
      <c r="B793" s="1832">
        <f>'Expenditures 15-22'!D55</f>
        <v>153992</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153992</v>
      </c>
      <c r="C795" s="2" t="s">
        <v>569</v>
      </c>
      <c r="D795" s="2" t="str">
        <f t="shared" si="11"/>
        <v>Error?</v>
      </c>
    </row>
    <row r="796" spans="1:4" x14ac:dyDescent="0.2">
      <c r="A796" s="5">
        <v>735</v>
      </c>
      <c r="B796" s="1832">
        <f>'Expenditures 15-22'!D59</f>
        <v>17787</v>
      </c>
      <c r="D796" s="2" t="str">
        <f t="shared" si="11"/>
        <v>Error?</v>
      </c>
    </row>
    <row r="797" spans="1:4" x14ac:dyDescent="0.2">
      <c r="A797" s="5">
        <v>736</v>
      </c>
      <c r="B797" s="1832">
        <f>'Expenditures 15-22'!D60</f>
        <v>4117</v>
      </c>
      <c r="D797" s="2" t="str">
        <f t="shared" si="11"/>
        <v>Error?</v>
      </c>
    </row>
    <row r="798" spans="1:4" x14ac:dyDescent="0.2">
      <c r="A798" s="5">
        <v>737</v>
      </c>
      <c r="B798" s="1832">
        <f>'Expenditures 15-22'!D61</f>
        <v>67433</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59856</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149193</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0</v>
      </c>
      <c r="D809" s="2" t="str">
        <f t="shared" si="11"/>
        <v>Error?</v>
      </c>
    </row>
    <row r="810" spans="1:4" x14ac:dyDescent="0.2">
      <c r="A810" s="10">
        <v>749</v>
      </c>
      <c r="B810" s="1832"/>
      <c r="D810" s="2" t="str">
        <f t="shared" si="11"/>
        <v>OK</v>
      </c>
    </row>
    <row r="811" spans="1:4" x14ac:dyDescent="0.2">
      <c r="A811" s="5">
        <v>750</v>
      </c>
      <c r="B811" s="1832">
        <f>'Expenditures 15-22'!D72</f>
        <v>0</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460406</v>
      </c>
      <c r="C813" s="2" t="s">
        <v>569</v>
      </c>
      <c r="D813" s="2" t="str">
        <f t="shared" si="11"/>
        <v>Error?</v>
      </c>
    </row>
    <row r="814" spans="1:4" x14ac:dyDescent="0.2">
      <c r="A814" s="5">
        <v>753</v>
      </c>
      <c r="B814" s="1832">
        <f>'Expenditures 15-22'!D75</f>
        <v>419</v>
      </c>
      <c r="D814" s="2" t="str">
        <f t="shared" si="11"/>
        <v>Error?</v>
      </c>
    </row>
    <row r="815" spans="1:4" x14ac:dyDescent="0.2">
      <c r="A815" s="5">
        <v>754</v>
      </c>
      <c r="B815" s="1832">
        <f>'Expenditures 15-22'!D114</f>
        <v>1563088</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20456</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0</v>
      </c>
      <c r="D833" s="2" t="str">
        <f t="shared" si="12"/>
        <v>Error?</v>
      </c>
    </row>
    <row r="834" spans="1:4" x14ac:dyDescent="0.2">
      <c r="A834" s="5">
        <v>773</v>
      </c>
      <c r="B834" s="1832">
        <f>'Expenditures 15-22'!E14</f>
        <v>48909</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69848</v>
      </c>
      <c r="C836" s="2" t="s">
        <v>569</v>
      </c>
      <c r="D836" s="2" t="str">
        <f t="shared" si="12"/>
        <v>Error?</v>
      </c>
    </row>
    <row r="837" spans="1:4" x14ac:dyDescent="0.2">
      <c r="A837" s="5">
        <v>776</v>
      </c>
      <c r="B837" s="1832">
        <f>'Expenditures 15-22'!E36</f>
        <v>517</v>
      </c>
      <c r="D837" s="2" t="str">
        <f t="shared" si="12"/>
        <v>Error?</v>
      </c>
    </row>
    <row r="838" spans="1:4" x14ac:dyDescent="0.2">
      <c r="A838" s="5">
        <v>777</v>
      </c>
      <c r="B838" s="1832">
        <f>'Expenditures 15-22'!E37</f>
        <v>0</v>
      </c>
      <c r="D838" s="2" t="str">
        <f t="shared" si="12"/>
        <v>Error?</v>
      </c>
    </row>
    <row r="839" spans="1:4" x14ac:dyDescent="0.2">
      <c r="A839" s="5">
        <v>778</v>
      </c>
      <c r="B839" s="1832">
        <f>'Expenditures 15-22'!E38</f>
        <v>0</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2399</v>
      </c>
      <c r="D841" s="2" t="str">
        <f t="shared" si="12"/>
        <v>Error?</v>
      </c>
    </row>
    <row r="842" spans="1:4" x14ac:dyDescent="0.2">
      <c r="A842" s="5">
        <v>781</v>
      </c>
      <c r="B842" s="1832">
        <f>'Expenditures 15-22'!E41</f>
        <v>386</v>
      </c>
      <c r="D842" s="2" t="str">
        <f t="shared" si="12"/>
        <v>Error?</v>
      </c>
    </row>
    <row r="843" spans="1:4" x14ac:dyDescent="0.2">
      <c r="A843" s="5">
        <v>782</v>
      </c>
      <c r="B843" s="1832">
        <f>'Expenditures 15-22'!E42</f>
        <v>3302</v>
      </c>
      <c r="C843" s="2" t="s">
        <v>569</v>
      </c>
      <c r="D843" s="2" t="str">
        <f t="shared" si="12"/>
        <v>Error?</v>
      </c>
    </row>
    <row r="844" spans="1:4" x14ac:dyDescent="0.2">
      <c r="A844" s="5">
        <v>783</v>
      </c>
      <c r="B844" s="1832">
        <f>'Expenditures 15-22'!E44</f>
        <v>34503</v>
      </c>
      <c r="D844" s="2" t="str">
        <f t="shared" si="12"/>
        <v>Error?</v>
      </c>
    </row>
    <row r="845" spans="1:4" x14ac:dyDescent="0.2">
      <c r="A845" s="5">
        <v>784</v>
      </c>
      <c r="B845" s="1832">
        <f>'Expenditures 15-22'!E45</f>
        <v>2819</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37322</v>
      </c>
      <c r="C847" s="2" t="s">
        <v>569</v>
      </c>
      <c r="D847" s="2" t="str">
        <f t="shared" si="12"/>
        <v>Error?</v>
      </c>
    </row>
    <row r="848" spans="1:4" x14ac:dyDescent="0.2">
      <c r="A848" s="5">
        <v>787</v>
      </c>
      <c r="B848" s="1832">
        <f>'Expenditures 15-22'!E49</f>
        <v>60488</v>
      </c>
      <c r="D848" s="2" t="str">
        <f t="shared" si="12"/>
        <v>Error?</v>
      </c>
    </row>
    <row r="849" spans="1:4" x14ac:dyDescent="0.2">
      <c r="A849" s="5">
        <v>788</v>
      </c>
      <c r="B849" s="1832">
        <f>'Expenditures 15-22'!E50</f>
        <v>1565</v>
      </c>
      <c r="D849" s="2" t="str">
        <f t="shared" si="12"/>
        <v>Error?</v>
      </c>
    </row>
    <row r="850" spans="1:4" x14ac:dyDescent="0.2">
      <c r="A850" s="5">
        <v>789</v>
      </c>
      <c r="B850" s="1832">
        <f>'Expenditures 15-22'!E53</f>
        <v>62053</v>
      </c>
      <c r="C850" s="2" t="s">
        <v>569</v>
      </c>
      <c r="D850" s="2" t="str">
        <f t="shared" si="12"/>
        <v>Error?</v>
      </c>
    </row>
    <row r="851" spans="1:4" x14ac:dyDescent="0.2">
      <c r="A851" s="5">
        <v>790</v>
      </c>
      <c r="B851" s="1832">
        <f>'Expenditures 15-22'!E55</f>
        <v>20046</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20046</v>
      </c>
      <c r="C853" s="2" t="s">
        <v>569</v>
      </c>
      <c r="D853" s="2" t="str">
        <f t="shared" si="12"/>
        <v>Error?</v>
      </c>
    </row>
    <row r="854" spans="1:4" x14ac:dyDescent="0.2">
      <c r="A854" s="5">
        <v>793</v>
      </c>
      <c r="B854" s="1832">
        <f>'Expenditures 15-22'!E59</f>
        <v>692</v>
      </c>
      <c r="D854" s="2" t="str">
        <f t="shared" si="12"/>
        <v>Error?</v>
      </c>
    </row>
    <row r="855" spans="1:4" x14ac:dyDescent="0.2">
      <c r="A855" s="5">
        <v>794</v>
      </c>
      <c r="B855" s="1832">
        <f>'Expenditures 15-22'!E60</f>
        <v>0</v>
      </c>
      <c r="D855" s="2" t="str">
        <f t="shared" si="12"/>
        <v>Error?</v>
      </c>
    </row>
    <row r="856" spans="1:4" x14ac:dyDescent="0.2">
      <c r="A856" s="5">
        <v>795</v>
      </c>
      <c r="B856" s="1832">
        <f>'Expenditures 15-22'!E61</f>
        <v>0</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3960</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4652</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0</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0</v>
      </c>
      <c r="D867" s="2" t="str">
        <f t="shared" si="12"/>
        <v>Error?</v>
      </c>
    </row>
    <row r="868" spans="1:4" x14ac:dyDescent="0.2">
      <c r="A868" s="10">
        <v>807</v>
      </c>
      <c r="B868" s="1832"/>
      <c r="D868" s="2" t="str">
        <f t="shared" si="12"/>
        <v>OK</v>
      </c>
    </row>
    <row r="869" spans="1:4" x14ac:dyDescent="0.2">
      <c r="A869" s="5">
        <v>808</v>
      </c>
      <c r="B869" s="1832">
        <f>'Expenditures 15-22'!E72</f>
        <v>0</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127375</v>
      </c>
      <c r="C871" s="2" t="s">
        <v>569</v>
      </c>
      <c r="D871" s="2" t="str">
        <f t="shared" si="12"/>
        <v>Error?</v>
      </c>
    </row>
    <row r="872" spans="1:4" x14ac:dyDescent="0.2">
      <c r="A872" s="5">
        <v>811</v>
      </c>
      <c r="B872" s="1832">
        <f>'Expenditures 15-22'!E75</f>
        <v>0</v>
      </c>
      <c r="D872" s="2" t="str">
        <f t="shared" si="12"/>
        <v>Error?</v>
      </c>
    </row>
    <row r="873" spans="1:4" x14ac:dyDescent="0.2">
      <c r="A873" s="5">
        <v>812</v>
      </c>
      <c r="B873" s="1832">
        <f>'Expenditures 15-22'!E114</f>
        <v>690926</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300562</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25746</v>
      </c>
      <c r="D891" s="2" t="str">
        <f t="shared" si="12"/>
        <v>Error?</v>
      </c>
    </row>
    <row r="892" spans="1:4" x14ac:dyDescent="0.2">
      <c r="A892" s="5">
        <v>831</v>
      </c>
      <c r="B892" s="1832">
        <f>'Expenditures 15-22'!F14</f>
        <v>59769</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393752</v>
      </c>
      <c r="C894" s="2" t="s">
        <v>569</v>
      </c>
      <c r="D894" s="2" t="str">
        <f t="shared" si="12"/>
        <v>Error?</v>
      </c>
    </row>
    <row r="895" spans="1:4" x14ac:dyDescent="0.2">
      <c r="A895" s="5">
        <v>834</v>
      </c>
      <c r="B895" s="1832">
        <f>'Expenditures 15-22'!F36</f>
        <v>0</v>
      </c>
      <c r="D895" s="2" t="str">
        <f t="shared" ref="D895:D958" si="13">IF(ISBLANK(B895),"OK",IF(A895-B895=0,"OK","Error?"))</f>
        <v>Error?</v>
      </c>
    </row>
    <row r="896" spans="1:4" x14ac:dyDescent="0.2">
      <c r="A896" s="5">
        <v>835</v>
      </c>
      <c r="B896" s="1832">
        <f>'Expenditures 15-22'!F37</f>
        <v>75</v>
      </c>
      <c r="D896" s="2" t="str">
        <f t="shared" si="13"/>
        <v>Error?</v>
      </c>
    </row>
    <row r="897" spans="1:4" x14ac:dyDescent="0.2">
      <c r="A897" s="5">
        <v>836</v>
      </c>
      <c r="B897" s="1832">
        <f>'Expenditures 15-22'!F38</f>
        <v>3210</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604</v>
      </c>
      <c r="D899" s="2" t="str">
        <f t="shared" si="13"/>
        <v>Error?</v>
      </c>
    </row>
    <row r="900" spans="1:4" x14ac:dyDescent="0.2">
      <c r="A900" s="5">
        <v>839</v>
      </c>
      <c r="B900" s="1832">
        <f>'Expenditures 15-22'!F41</f>
        <v>6663</v>
      </c>
      <c r="D900" s="2" t="str">
        <f t="shared" si="13"/>
        <v>Error?</v>
      </c>
    </row>
    <row r="901" spans="1:4" x14ac:dyDescent="0.2">
      <c r="A901" s="5">
        <v>840</v>
      </c>
      <c r="B901" s="1832">
        <f>'Expenditures 15-22'!F42</f>
        <v>10552</v>
      </c>
      <c r="C901" s="2" t="s">
        <v>569</v>
      </c>
      <c r="D901" s="2" t="str">
        <f t="shared" si="13"/>
        <v>Error?</v>
      </c>
    </row>
    <row r="902" spans="1:4" x14ac:dyDescent="0.2">
      <c r="A902" s="5">
        <v>841</v>
      </c>
      <c r="B902" s="1832">
        <f>'Expenditures 15-22'!F44</f>
        <v>97</v>
      </c>
      <c r="D902" s="2" t="str">
        <f t="shared" si="13"/>
        <v>Error?</v>
      </c>
    </row>
    <row r="903" spans="1:4" x14ac:dyDescent="0.2">
      <c r="A903" s="5">
        <v>842</v>
      </c>
      <c r="B903" s="1832">
        <f>'Expenditures 15-22'!F45</f>
        <v>124239</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124336</v>
      </c>
      <c r="C905" s="2" t="s">
        <v>569</v>
      </c>
      <c r="D905" s="2" t="str">
        <f t="shared" si="13"/>
        <v>Error?</v>
      </c>
    </row>
    <row r="906" spans="1:4" x14ac:dyDescent="0.2">
      <c r="A906" s="5">
        <v>845</v>
      </c>
      <c r="B906" s="1832">
        <f>'Expenditures 15-22'!F49</f>
        <v>5860</v>
      </c>
      <c r="D906" s="2" t="str">
        <f t="shared" si="13"/>
        <v>Error?</v>
      </c>
    </row>
    <row r="907" spans="1:4" x14ac:dyDescent="0.2">
      <c r="A907" s="5">
        <v>846</v>
      </c>
      <c r="B907" s="1832">
        <f>'Expenditures 15-22'!F50</f>
        <v>2078</v>
      </c>
      <c r="D907" s="2" t="str">
        <f t="shared" si="13"/>
        <v>Error?</v>
      </c>
    </row>
    <row r="908" spans="1:4" x14ac:dyDescent="0.2">
      <c r="A908" s="5">
        <v>847</v>
      </c>
      <c r="B908" s="1832">
        <f>'Expenditures 15-22'!F53</f>
        <v>7938</v>
      </c>
      <c r="C908" s="2" t="s">
        <v>569</v>
      </c>
      <c r="D908" s="2" t="str">
        <f t="shared" si="13"/>
        <v>Error?</v>
      </c>
    </row>
    <row r="909" spans="1:4" x14ac:dyDescent="0.2">
      <c r="A909" s="5">
        <v>848</v>
      </c>
      <c r="B909" s="1832">
        <f>'Expenditures 15-22'!F55</f>
        <v>30636</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30636</v>
      </c>
      <c r="C911" s="2" t="s">
        <v>569</v>
      </c>
      <c r="D911" s="2" t="str">
        <f t="shared" si="13"/>
        <v>Error?</v>
      </c>
    </row>
    <row r="912" spans="1:4" x14ac:dyDescent="0.2">
      <c r="A912" s="5">
        <v>851</v>
      </c>
      <c r="B912" s="1832">
        <f>'Expenditures 15-22'!F59</f>
        <v>121</v>
      </c>
      <c r="D912" s="2" t="str">
        <f t="shared" si="13"/>
        <v>Error?</v>
      </c>
    </row>
    <row r="913" spans="1:4" x14ac:dyDescent="0.2">
      <c r="A913" s="5">
        <v>852</v>
      </c>
      <c r="B913" s="1832">
        <f>'Expenditures 15-22'!F60</f>
        <v>0</v>
      </c>
      <c r="D913" s="2" t="str">
        <f t="shared" si="13"/>
        <v>Error?</v>
      </c>
    </row>
    <row r="914" spans="1:4" x14ac:dyDescent="0.2">
      <c r="A914" s="5">
        <v>853</v>
      </c>
      <c r="B914" s="1832">
        <f>'Expenditures 15-22'!F61</f>
        <v>0</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238370</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238491</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0</v>
      </c>
      <c r="D925" s="2" t="str">
        <f t="shared" si="13"/>
        <v>Error?</v>
      </c>
    </row>
    <row r="926" spans="1:4" x14ac:dyDescent="0.2">
      <c r="A926" s="10">
        <v>865</v>
      </c>
      <c r="B926" s="1832"/>
      <c r="D926" s="2" t="str">
        <f t="shared" si="13"/>
        <v>OK</v>
      </c>
    </row>
    <row r="927" spans="1:4" x14ac:dyDescent="0.2">
      <c r="A927" s="5">
        <v>866</v>
      </c>
      <c r="B927" s="1832">
        <f>'Expenditures 15-22'!F72</f>
        <v>0</v>
      </c>
      <c r="C927" s="2" t="s">
        <v>569</v>
      </c>
      <c r="D927" s="2" t="str">
        <f t="shared" si="13"/>
        <v>Error?</v>
      </c>
    </row>
    <row r="928" spans="1:4" x14ac:dyDescent="0.2">
      <c r="A928" s="5">
        <v>867</v>
      </c>
      <c r="B928" s="1832">
        <f>'Expenditures 15-22'!F73</f>
        <v>0</v>
      </c>
      <c r="D928" s="2" t="str">
        <f t="shared" si="13"/>
        <v>Error?</v>
      </c>
    </row>
    <row r="929" spans="1:4" x14ac:dyDescent="0.2">
      <c r="A929" s="5">
        <v>868</v>
      </c>
      <c r="B929" s="1832">
        <f>'Expenditures 15-22'!F74</f>
        <v>411953</v>
      </c>
      <c r="C929" s="2" t="s">
        <v>569</v>
      </c>
      <c r="D929" s="2" t="str">
        <f t="shared" si="13"/>
        <v>Error?</v>
      </c>
    </row>
    <row r="930" spans="1:4" x14ac:dyDescent="0.2">
      <c r="A930" s="5">
        <v>869</v>
      </c>
      <c r="B930" s="1832">
        <f>'Expenditures 15-22'!F75</f>
        <v>119</v>
      </c>
      <c r="D930" s="2" t="str">
        <f t="shared" si="13"/>
        <v>Error?</v>
      </c>
    </row>
    <row r="931" spans="1:4" x14ac:dyDescent="0.2">
      <c r="A931" s="5">
        <v>870</v>
      </c>
      <c r="B931" s="1832">
        <f>'Expenditures 15-22'!F114</f>
        <v>805824</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148831</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3893</v>
      </c>
      <c r="D949" s="2" t="str">
        <f t="shared" si="13"/>
        <v>Error?</v>
      </c>
    </row>
    <row r="950" spans="1:4" x14ac:dyDescent="0.2">
      <c r="A950" s="5">
        <v>889</v>
      </c>
      <c r="B950" s="1832">
        <f>'Expenditures 15-22'!G14</f>
        <v>6366</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159090</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538</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538</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29007</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29007</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949</v>
      </c>
      <c r="D965" s="2" t="str">
        <f t="shared" si="14"/>
        <v>Error?</v>
      </c>
    </row>
    <row r="966" spans="1:4" x14ac:dyDescent="0.2">
      <c r="A966" s="5">
        <v>905</v>
      </c>
      <c r="B966" s="1832">
        <f>'Expenditures 15-22'!G53</f>
        <v>949</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762</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1839</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2601</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0</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33095</v>
      </c>
      <c r="C987" s="2" t="s">
        <v>569</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192185</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0</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2185</v>
      </c>
      <c r="D1007" s="2" t="str">
        <f t="shared" si="14"/>
        <v>Error?</v>
      </c>
    </row>
    <row r="1008" spans="1:4" x14ac:dyDescent="0.2">
      <c r="A1008" s="5">
        <v>947</v>
      </c>
      <c r="B1008" s="1832">
        <f>'Expenditures 15-22'!H14</f>
        <v>19778</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114990</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224</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2639</v>
      </c>
      <c r="D1016" s="2" t="str">
        <f t="shared" si="14"/>
        <v>Error?</v>
      </c>
    </row>
    <row r="1017" spans="1:4" x14ac:dyDescent="0.2">
      <c r="A1017" s="5">
        <v>956</v>
      </c>
      <c r="B1017" s="1832">
        <f>'Expenditures 15-22'!H42</f>
        <v>2863</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2852</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2852</v>
      </c>
      <c r="C1021" s="2" t="s">
        <v>569</v>
      </c>
      <c r="D1021" s="2" t="str">
        <f t="shared" si="14"/>
        <v>Error?</v>
      </c>
    </row>
    <row r="1022" spans="1:4" x14ac:dyDescent="0.2">
      <c r="A1022" s="5">
        <v>961</v>
      </c>
      <c r="B1022" s="1832">
        <f>'Expenditures 15-22'!H49</f>
        <v>4656</v>
      </c>
      <c r="D1022" s="2" t="str">
        <f t="shared" si="14"/>
        <v>Error?</v>
      </c>
    </row>
    <row r="1023" spans="1:4" x14ac:dyDescent="0.2">
      <c r="A1023" s="5">
        <v>962</v>
      </c>
      <c r="B1023" s="1832">
        <f>'Expenditures 15-22'!H50</f>
        <v>1421</v>
      </c>
      <c r="D1023" s="2" t="str">
        <f t="shared" ref="D1023:D1086" si="15">IF(ISBLANK(B1023),"OK",IF(A1023-B1023=0,"OK","Error?"))</f>
        <v>Error?</v>
      </c>
    </row>
    <row r="1024" spans="1:4" x14ac:dyDescent="0.2">
      <c r="A1024" s="5">
        <v>963</v>
      </c>
      <c r="B1024" s="1832">
        <f>'Expenditures 15-22'!H53</f>
        <v>6077</v>
      </c>
      <c r="C1024" s="2" t="s">
        <v>569</v>
      </c>
      <c r="D1024" s="2" t="str">
        <f t="shared" si="15"/>
        <v>Error?</v>
      </c>
    </row>
    <row r="1025" spans="1:4" x14ac:dyDescent="0.2">
      <c r="A1025" s="5">
        <v>964</v>
      </c>
      <c r="B1025" s="1832">
        <f>'Expenditures 15-22'!H55</f>
        <v>2942</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2942</v>
      </c>
      <c r="C1027" s="2" t="s">
        <v>569</v>
      </c>
      <c r="D1027" s="2" t="str">
        <f t="shared" si="15"/>
        <v>Error?</v>
      </c>
    </row>
    <row r="1028" spans="1:4" x14ac:dyDescent="0.2">
      <c r="A1028" s="5">
        <v>967</v>
      </c>
      <c r="B1028" s="1832">
        <f>'Expenditures 15-22'!H59</f>
        <v>340</v>
      </c>
      <c r="D1028" s="2" t="str">
        <f t="shared" si="15"/>
        <v>Error?</v>
      </c>
    </row>
    <row r="1029" spans="1:4" x14ac:dyDescent="0.2">
      <c r="A1029" s="5">
        <v>968</v>
      </c>
      <c r="B1029" s="1832">
        <f>'Expenditures 15-22'!H60</f>
        <v>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159</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499</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15233</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365299</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495522</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1994</v>
      </c>
      <c r="E1056" s="4" t="s">
        <v>1993</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6259394</v>
      </c>
      <c r="C1093" s="2" t="s">
        <v>569</v>
      </c>
      <c r="D1093" s="2" t="str">
        <f t="shared" si="16"/>
        <v>Error?</v>
      </c>
    </row>
    <row r="1094" spans="1:4" x14ac:dyDescent="0.2">
      <c r="A1094" s="5">
        <v>1033</v>
      </c>
      <c r="B1094" s="1832">
        <f>'Expenditures 15-22'!K16</f>
        <v>408</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241386</v>
      </c>
      <c r="C1105" s="2" t="s">
        <v>569</v>
      </c>
      <c r="D1105" s="2" t="str">
        <f t="shared" si="16"/>
        <v>Error?</v>
      </c>
    </row>
    <row r="1106" spans="1:4" x14ac:dyDescent="0.2">
      <c r="A1106" s="5">
        <v>1045</v>
      </c>
      <c r="B1106" s="1832">
        <f>'Expenditures 15-22'!K14</f>
        <v>703129</v>
      </c>
      <c r="C1106" s="2" t="s">
        <v>569</v>
      </c>
      <c r="D1106" s="2" t="str">
        <f t="shared" si="16"/>
        <v>Error?</v>
      </c>
    </row>
    <row r="1107" spans="1:4" x14ac:dyDescent="0.2">
      <c r="A1107" s="5">
        <v>1046</v>
      </c>
      <c r="B1107" s="1832">
        <f>'Expenditures 15-22'!K15</f>
        <v>1287</v>
      </c>
      <c r="C1107" s="2" t="s">
        <v>569</v>
      </c>
      <c r="D1107" s="2" t="str">
        <f t="shared" si="16"/>
        <v>Error?</v>
      </c>
    </row>
    <row r="1108" spans="1:4" x14ac:dyDescent="0.2">
      <c r="A1108" s="5">
        <v>1047</v>
      </c>
      <c r="B1108" s="1832">
        <f>'Expenditures 15-22'!K33</f>
        <v>8837667</v>
      </c>
      <c r="C1108" s="2" t="s">
        <v>569</v>
      </c>
      <c r="D1108" s="2" t="str">
        <f t="shared" si="16"/>
        <v>Error?</v>
      </c>
    </row>
    <row r="1109" spans="1:4" x14ac:dyDescent="0.2">
      <c r="A1109" s="5">
        <v>1048</v>
      </c>
      <c r="B1109" s="1832">
        <f>'Expenditures 15-22'!K36</f>
        <v>78131</v>
      </c>
      <c r="C1109" s="2" t="s">
        <v>569</v>
      </c>
      <c r="D1109" s="2" t="str">
        <f t="shared" si="16"/>
        <v>Error?</v>
      </c>
    </row>
    <row r="1110" spans="1:4" x14ac:dyDescent="0.2">
      <c r="A1110" s="5">
        <v>1049</v>
      </c>
      <c r="B1110" s="1832">
        <f>'Expenditures 15-22'!K37</f>
        <v>170110</v>
      </c>
      <c r="C1110" s="2" t="s">
        <v>569</v>
      </c>
      <c r="D1110" s="2" t="str">
        <f t="shared" si="16"/>
        <v>Error?</v>
      </c>
    </row>
    <row r="1111" spans="1:4" x14ac:dyDescent="0.2">
      <c r="A1111" s="5">
        <v>1050</v>
      </c>
      <c r="B1111" s="1832">
        <f>'Expenditures 15-22'!K38</f>
        <v>3210</v>
      </c>
      <c r="C1111" s="2" t="s">
        <v>569</v>
      </c>
      <c r="D1111" s="2" t="str">
        <f t="shared" si="16"/>
        <v>Error?</v>
      </c>
    </row>
    <row r="1112" spans="1:4" x14ac:dyDescent="0.2">
      <c r="A1112" s="5">
        <v>1051</v>
      </c>
      <c r="B1112" s="1832">
        <f>'Expenditures 15-22'!K39</f>
        <v>0</v>
      </c>
      <c r="C1112" s="2" t="s">
        <v>569</v>
      </c>
      <c r="D1112" s="2" t="str">
        <f t="shared" si="16"/>
        <v>Error?</v>
      </c>
    </row>
    <row r="1113" spans="1:4" x14ac:dyDescent="0.2">
      <c r="A1113" s="5">
        <v>1052</v>
      </c>
      <c r="B1113" s="1832">
        <f>'Expenditures 15-22'!K40</f>
        <v>51546</v>
      </c>
      <c r="C1113" s="2" t="s">
        <v>569</v>
      </c>
      <c r="D1113" s="2" t="str">
        <f t="shared" si="16"/>
        <v>Error?</v>
      </c>
    </row>
    <row r="1114" spans="1:4" x14ac:dyDescent="0.2">
      <c r="A1114" s="5">
        <v>1053</v>
      </c>
      <c r="B1114" s="1832">
        <f>'Expenditures 15-22'!K41</f>
        <v>9688</v>
      </c>
      <c r="C1114" s="2" t="s">
        <v>569</v>
      </c>
      <c r="D1114" s="2" t="str">
        <f t="shared" si="16"/>
        <v>Error?</v>
      </c>
    </row>
    <row r="1115" spans="1:4" x14ac:dyDescent="0.2">
      <c r="A1115" s="5">
        <v>1054</v>
      </c>
      <c r="B1115" s="1832">
        <f>'Expenditures 15-22'!K42</f>
        <v>312685</v>
      </c>
      <c r="C1115" s="2" t="s">
        <v>569</v>
      </c>
      <c r="D1115" s="2" t="str">
        <f t="shared" si="16"/>
        <v>Error?</v>
      </c>
    </row>
    <row r="1116" spans="1:4" x14ac:dyDescent="0.2">
      <c r="A1116" s="5">
        <v>1055</v>
      </c>
      <c r="B1116" s="1832">
        <f>'Expenditures 15-22'!K44</f>
        <v>104673</v>
      </c>
      <c r="C1116" s="2" t="s">
        <v>569</v>
      </c>
      <c r="D1116" s="2" t="str">
        <f t="shared" si="16"/>
        <v>Error?</v>
      </c>
    </row>
    <row r="1117" spans="1:4" x14ac:dyDescent="0.2">
      <c r="A1117" s="5">
        <v>1056</v>
      </c>
      <c r="B1117" s="1832">
        <f>'Expenditures 15-22'!K45</f>
        <v>443854</v>
      </c>
      <c r="C1117" s="2" t="s">
        <v>569</v>
      </c>
      <c r="D1117" s="2" t="str">
        <f t="shared" si="16"/>
        <v>Error?</v>
      </c>
    </row>
    <row r="1118" spans="1:4" x14ac:dyDescent="0.2">
      <c r="A1118" s="5">
        <v>1057</v>
      </c>
      <c r="B1118" s="1832">
        <f>'Expenditures 15-22'!K46</f>
        <v>0</v>
      </c>
      <c r="C1118" s="2" t="s">
        <v>569</v>
      </c>
      <c r="D1118" s="2" t="str">
        <f t="shared" si="16"/>
        <v>Error?</v>
      </c>
    </row>
    <row r="1119" spans="1:4" x14ac:dyDescent="0.2">
      <c r="A1119" s="5">
        <v>1058</v>
      </c>
      <c r="B1119" s="1832">
        <f>'Expenditures 15-22'!K47</f>
        <v>548527</v>
      </c>
      <c r="C1119" s="2" t="s">
        <v>569</v>
      </c>
      <c r="D1119" s="2" t="str">
        <f t="shared" si="16"/>
        <v>Error?</v>
      </c>
    </row>
    <row r="1120" spans="1:4" x14ac:dyDescent="0.2">
      <c r="A1120" s="5">
        <v>1059</v>
      </c>
      <c r="B1120" s="1832">
        <f>'Expenditures 15-22'!K49</f>
        <v>134860</v>
      </c>
      <c r="C1120" s="2" t="s">
        <v>569</v>
      </c>
      <c r="D1120" s="2" t="str">
        <f t="shared" si="16"/>
        <v>Error?</v>
      </c>
    </row>
    <row r="1121" spans="1:4" x14ac:dyDescent="0.2">
      <c r="A1121" s="5">
        <v>1060</v>
      </c>
      <c r="B1121" s="1832">
        <f>'Expenditures 15-22'!K50</f>
        <v>164600</v>
      </c>
      <c r="C1121" s="2" t="s">
        <v>569</v>
      </c>
      <c r="D1121" s="2" t="str">
        <f t="shared" si="16"/>
        <v>Error?</v>
      </c>
    </row>
    <row r="1122" spans="1:4" x14ac:dyDescent="0.2">
      <c r="A1122" s="5">
        <v>1061</v>
      </c>
      <c r="B1122" s="1832">
        <f>'Expenditures 15-22'!K53</f>
        <v>300753</v>
      </c>
      <c r="C1122" s="2" t="s">
        <v>569</v>
      </c>
      <c r="D1122" s="2" t="str">
        <f t="shared" si="16"/>
        <v>Error?</v>
      </c>
    </row>
    <row r="1123" spans="1:4" x14ac:dyDescent="0.2">
      <c r="A1123" s="5">
        <v>1062</v>
      </c>
      <c r="B1123" s="1832">
        <f>'Expenditures 15-22'!K55</f>
        <v>916264</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916264</v>
      </c>
      <c r="C1125" s="2" t="s">
        <v>569</v>
      </c>
      <c r="D1125" s="2" t="str">
        <f t="shared" si="16"/>
        <v>Error?</v>
      </c>
    </row>
    <row r="1126" spans="1:4" x14ac:dyDescent="0.2">
      <c r="A1126" s="5">
        <v>1065</v>
      </c>
      <c r="B1126" s="1832">
        <f>'Expenditures 15-22'!K59</f>
        <v>118603</v>
      </c>
      <c r="C1126" s="2" t="s">
        <v>569</v>
      </c>
      <c r="D1126" s="2" t="str">
        <f t="shared" si="16"/>
        <v>Error?</v>
      </c>
    </row>
    <row r="1127" spans="1:4" x14ac:dyDescent="0.2">
      <c r="A1127" s="5">
        <v>1066</v>
      </c>
      <c r="B1127" s="1832">
        <f>'Expenditures 15-22'!K60</f>
        <v>38415</v>
      </c>
      <c r="C1127" s="2" t="s">
        <v>569</v>
      </c>
      <c r="D1127" s="2" t="str">
        <f t="shared" si="16"/>
        <v>Error?</v>
      </c>
    </row>
    <row r="1128" spans="1:4" x14ac:dyDescent="0.2">
      <c r="A1128" s="5">
        <v>1067</v>
      </c>
      <c r="B1128" s="1832">
        <f>'Expenditures 15-22'!K61</f>
        <v>586217</v>
      </c>
      <c r="C1128" s="2" t="s">
        <v>569</v>
      </c>
      <c r="D1128" s="2" t="str">
        <f t="shared" si="16"/>
        <v>Error?</v>
      </c>
    </row>
    <row r="1129" spans="1:4" x14ac:dyDescent="0.2">
      <c r="A1129" s="5">
        <v>1068</v>
      </c>
      <c r="B1129" s="1832">
        <f>'Expenditures 15-22'!K62</f>
        <v>0</v>
      </c>
      <c r="C1129" s="2" t="s">
        <v>569</v>
      </c>
      <c r="D1129" s="2" t="str">
        <f t="shared" si="16"/>
        <v>Error?</v>
      </c>
    </row>
    <row r="1130" spans="1:4" x14ac:dyDescent="0.2">
      <c r="A1130" s="5">
        <v>1069</v>
      </c>
      <c r="B1130" s="1832">
        <f>'Expenditures 15-22'!K63</f>
        <v>517331</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1260566</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0</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0</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0</v>
      </c>
      <c r="C1141" s="2" t="s">
        <v>569</v>
      </c>
      <c r="D1141" s="2" t="str">
        <f t="shared" si="16"/>
        <v>Error?</v>
      </c>
    </row>
    <row r="1142" spans="1:4" x14ac:dyDescent="0.2">
      <c r="A1142" s="5">
        <v>1081</v>
      </c>
      <c r="B1142" s="1832">
        <f>'Expenditures 15-22'!K73</f>
        <v>0</v>
      </c>
      <c r="C1142" s="2" t="s">
        <v>569</v>
      </c>
      <c r="D1142" s="2" t="str">
        <f t="shared" si="16"/>
        <v>Error?</v>
      </c>
    </row>
    <row r="1143" spans="1:4" x14ac:dyDescent="0.2">
      <c r="A1143" s="5">
        <v>1082</v>
      </c>
      <c r="B1143" s="1832">
        <f>'Expenditures 15-22'!K74</f>
        <v>3338795</v>
      </c>
      <c r="C1143" s="2" t="s">
        <v>569</v>
      </c>
      <c r="D1143" s="2" t="str">
        <f t="shared" si="16"/>
        <v>Error?</v>
      </c>
    </row>
    <row r="1144" spans="1:4" x14ac:dyDescent="0.2">
      <c r="A1144" s="5">
        <v>1083</v>
      </c>
      <c r="B1144" s="1832">
        <f>'Expenditures 15-22'!K75</f>
        <v>2874</v>
      </c>
      <c r="C1144" s="2" t="s">
        <v>569</v>
      </c>
      <c r="D1144" s="2" t="str">
        <f t="shared" si="16"/>
        <v>Error?</v>
      </c>
    </row>
    <row r="1145" spans="1:4" x14ac:dyDescent="0.2">
      <c r="A1145" s="5">
        <v>1084</v>
      </c>
      <c r="B1145" s="1832">
        <f>'Expenditures 15-22'!K102</f>
        <v>859002</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13038338</v>
      </c>
      <c r="C1152" s="2" t="s">
        <v>569</v>
      </c>
      <c r="D1152" s="2" t="str">
        <f t="shared" si="17"/>
        <v>Error?</v>
      </c>
    </row>
    <row r="1153" spans="1:4" x14ac:dyDescent="0.2">
      <c r="A1153" s="5">
        <v>1092</v>
      </c>
      <c r="B1153" s="1832">
        <f>'Expenditures 15-22'!K115</f>
        <v>93577</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52479</v>
      </c>
      <c r="D1221" s="2" t="str">
        <f t="shared" si="18"/>
        <v>Error?</v>
      </c>
    </row>
    <row r="1222" spans="1:4" x14ac:dyDescent="0.2">
      <c r="A1222" s="10">
        <v>1161</v>
      </c>
      <c r="B1222" s="1832"/>
      <c r="D1222" s="2" t="str">
        <f t="shared" si="18"/>
        <v>OK</v>
      </c>
    </row>
    <row r="1223" spans="1:4" x14ac:dyDescent="0.2">
      <c r="A1223" s="5">
        <v>1162</v>
      </c>
      <c r="B1223" s="1832">
        <f>'Expenditures 15-22'!C127</f>
        <v>52479</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52479</v>
      </c>
      <c r="C1225" s="2" t="s">
        <v>569</v>
      </c>
      <c r="D1225" s="2" t="str">
        <f t="shared" si="18"/>
        <v>Error?</v>
      </c>
    </row>
    <row r="1226" spans="1:4" x14ac:dyDescent="0.2">
      <c r="A1226" s="5">
        <v>1165</v>
      </c>
      <c r="B1226" s="1832">
        <f>'Expenditures 15-22'!C151</f>
        <v>52479</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11600</v>
      </c>
      <c r="D1229" s="2" t="str">
        <f t="shared" si="18"/>
        <v>Error?</v>
      </c>
    </row>
    <row r="1230" spans="1:4" x14ac:dyDescent="0.2">
      <c r="A1230" s="10">
        <v>1169</v>
      </c>
      <c r="B1230" s="1832"/>
      <c r="D1230" s="2" t="str">
        <f t="shared" si="18"/>
        <v>OK</v>
      </c>
    </row>
    <row r="1231" spans="1:4" x14ac:dyDescent="0.2">
      <c r="A1231" s="5">
        <v>1170</v>
      </c>
      <c r="B1231" s="1832">
        <f>'Expenditures 15-22'!D127</f>
        <v>11600</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11600</v>
      </c>
      <c r="C1233" s="2" t="s">
        <v>569</v>
      </c>
      <c r="D1233" s="2" t="str">
        <f t="shared" si="18"/>
        <v>Error?</v>
      </c>
    </row>
    <row r="1234" spans="1:4" x14ac:dyDescent="0.2">
      <c r="A1234" s="5">
        <v>1173</v>
      </c>
      <c r="B1234" s="1832">
        <f>'Expenditures 15-22'!D151</f>
        <v>11600</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317906</v>
      </c>
      <c r="D1237" s="2" t="str">
        <f t="shared" si="18"/>
        <v>Error?</v>
      </c>
    </row>
    <row r="1238" spans="1:4" x14ac:dyDescent="0.2">
      <c r="A1238" s="10">
        <v>1177</v>
      </c>
      <c r="B1238" s="1832"/>
      <c r="D1238" s="2" t="str">
        <f t="shared" si="18"/>
        <v>OK</v>
      </c>
    </row>
    <row r="1239" spans="1:4" x14ac:dyDescent="0.2">
      <c r="A1239" s="5">
        <v>1178</v>
      </c>
      <c r="B1239" s="1832">
        <f>'Expenditures 15-22'!E127</f>
        <v>317906</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317906</v>
      </c>
      <c r="C1241" s="2" t="s">
        <v>569</v>
      </c>
      <c r="D1241" s="2" t="str">
        <f t="shared" si="18"/>
        <v>Error?</v>
      </c>
    </row>
    <row r="1242" spans="1:4" x14ac:dyDescent="0.2">
      <c r="A1242" s="5">
        <v>1181</v>
      </c>
      <c r="B1242" s="1832">
        <f>'Expenditures 15-22'!E151</f>
        <v>326798</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311742</v>
      </c>
      <c r="D1245" s="2" t="str">
        <f t="shared" si="18"/>
        <v>Error?</v>
      </c>
    </row>
    <row r="1246" spans="1:4" x14ac:dyDescent="0.2">
      <c r="A1246" s="10">
        <v>1185</v>
      </c>
      <c r="B1246" s="1832"/>
      <c r="D1246" s="2" t="str">
        <f t="shared" si="18"/>
        <v>OK</v>
      </c>
    </row>
    <row r="1247" spans="1:4" x14ac:dyDescent="0.2">
      <c r="A1247" s="5">
        <v>1186</v>
      </c>
      <c r="B1247" s="1832">
        <f>'Expenditures 15-22'!F127</f>
        <v>311742</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311742</v>
      </c>
      <c r="C1249" s="2" t="s">
        <v>569</v>
      </c>
      <c r="D1249" s="2" t="str">
        <f t="shared" si="18"/>
        <v>Error?</v>
      </c>
    </row>
    <row r="1250" spans="1:4" x14ac:dyDescent="0.2">
      <c r="A1250" s="5">
        <v>1189</v>
      </c>
      <c r="B1250" s="1832">
        <f>'Expenditures 15-22'!F151</f>
        <v>311742</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247229</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247229</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247229</v>
      </c>
      <c r="C1258" s="2" t="s">
        <v>569</v>
      </c>
      <c r="D1258" s="2" t="str">
        <f t="shared" si="18"/>
        <v>Error?</v>
      </c>
    </row>
    <row r="1259" spans="1:4" x14ac:dyDescent="0.2">
      <c r="A1259" s="5">
        <v>1198</v>
      </c>
      <c r="B1259" s="1832">
        <f>'Expenditures 15-22'!G151</f>
        <v>247229</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940956</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940956</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940956</v>
      </c>
      <c r="C1281" s="2" t="s">
        <v>569</v>
      </c>
      <c r="D1281" s="2" t="str">
        <f t="shared" si="19"/>
        <v>Error?</v>
      </c>
    </row>
    <row r="1282" spans="1:4" x14ac:dyDescent="0.2">
      <c r="A1282" s="5">
        <v>1221</v>
      </c>
      <c r="B1282" s="1832">
        <f>'Expenditures 15-22'!K139</f>
        <v>8892</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949848</v>
      </c>
      <c r="C1288" s="2" t="s">
        <v>569</v>
      </c>
      <c r="D1288" s="2" t="str">
        <f t="shared" si="19"/>
        <v>Error?</v>
      </c>
    </row>
    <row r="1289" spans="1:4" x14ac:dyDescent="0.2">
      <c r="A1289" s="5">
        <v>1228</v>
      </c>
      <c r="B1289" s="1832">
        <f>'Expenditures 15-22'!K152</f>
        <v>328758</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49887</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989620</v>
      </c>
      <c r="D1315" s="2" t="str">
        <f t="shared" si="19"/>
        <v>Error?</v>
      </c>
    </row>
    <row r="1316" spans="1:4" x14ac:dyDescent="0.2">
      <c r="A1316" s="5">
        <v>1255</v>
      </c>
      <c r="B1316" s="1832">
        <f>'Expenditures 15-22'!H171</f>
        <v>0</v>
      </c>
      <c r="D1316" s="2" t="str">
        <f t="shared" si="19"/>
        <v>Error?</v>
      </c>
    </row>
    <row r="1317" spans="1:4" x14ac:dyDescent="0.2">
      <c r="A1317" s="5">
        <v>1256</v>
      </c>
      <c r="B1317" s="1832">
        <f>'Expenditures 15-22'!H172</f>
        <v>1039507</v>
      </c>
      <c r="C1317" s="2" t="s">
        <v>569</v>
      </c>
      <c r="D1317" s="2" t="str">
        <f t="shared" si="19"/>
        <v>Error?</v>
      </c>
    </row>
    <row r="1318" spans="1:4" x14ac:dyDescent="0.2">
      <c r="A1318" s="5">
        <v>1257</v>
      </c>
      <c r="B1318" s="1832">
        <f>'Expenditures 15-22'!H174</f>
        <v>1039507</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49887</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989620</v>
      </c>
      <c r="C1329" s="2" t="s">
        <v>569</v>
      </c>
      <c r="D1329" s="2" t="str">
        <f t="shared" si="19"/>
        <v>Error?</v>
      </c>
    </row>
    <row r="1330" spans="1:4" x14ac:dyDescent="0.2">
      <c r="A1330" s="5">
        <v>1269</v>
      </c>
      <c r="B1330" s="1832">
        <f>'Expenditures 15-22'!K171</f>
        <v>0</v>
      </c>
      <c r="C1330" s="2" t="s">
        <v>569</v>
      </c>
      <c r="D1330" s="2" t="str">
        <f t="shared" si="19"/>
        <v>Error?</v>
      </c>
    </row>
    <row r="1331" spans="1:4" x14ac:dyDescent="0.2">
      <c r="A1331" s="5">
        <v>1270</v>
      </c>
      <c r="B1331" s="1832">
        <f>'Expenditures 15-22'!K172</f>
        <v>1039507</v>
      </c>
      <c r="C1331" s="2" t="s">
        <v>569</v>
      </c>
      <c r="D1331" s="2" t="str">
        <f t="shared" si="19"/>
        <v>Error?</v>
      </c>
    </row>
    <row r="1332" spans="1:4" x14ac:dyDescent="0.2">
      <c r="A1332" s="5">
        <v>1271</v>
      </c>
      <c r="B1332" s="1832">
        <f>'Expenditures 15-22'!K174</f>
        <v>1039507</v>
      </c>
      <c r="C1332" s="2" t="s">
        <v>569</v>
      </c>
      <c r="D1332" s="2" t="str">
        <f t="shared" si="19"/>
        <v>Error?</v>
      </c>
    </row>
    <row r="1333" spans="1:4" x14ac:dyDescent="0.2">
      <c r="A1333" s="5">
        <v>1272</v>
      </c>
      <c r="B1333" s="1832">
        <f>'Expenditures 15-22'!K175</f>
        <v>-139135</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314771</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314771</v>
      </c>
      <c r="C1339" s="2" t="s">
        <v>569</v>
      </c>
      <c r="D1339" s="2" t="str">
        <f t="shared" si="19"/>
        <v>Error?</v>
      </c>
    </row>
    <row r="1340" spans="1:4" x14ac:dyDescent="0.2">
      <c r="A1340" s="5">
        <v>1279</v>
      </c>
      <c r="B1340" s="1832">
        <f>'Expenditures 15-22'!C210</f>
        <v>314771</v>
      </c>
      <c r="C1340" s="2" t="s">
        <v>569</v>
      </c>
      <c r="D1340" s="2" t="str">
        <f t="shared" si="19"/>
        <v>Error?</v>
      </c>
    </row>
    <row r="1341" spans="1:4" x14ac:dyDescent="0.2">
      <c r="A1341" s="5">
        <v>1280</v>
      </c>
      <c r="B1341" s="1832">
        <f>'Expenditures 15-22'!D182</f>
        <v>13929</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13929</v>
      </c>
      <c r="C1345" s="2" t="s">
        <v>569</v>
      </c>
      <c r="D1345" s="2" t="str">
        <f t="shared" si="20"/>
        <v>Error?</v>
      </c>
    </row>
    <row r="1346" spans="1:4" x14ac:dyDescent="0.2">
      <c r="A1346" s="5">
        <v>1285</v>
      </c>
      <c r="B1346" s="1832">
        <f>'Expenditures 15-22'!D210</f>
        <v>13929</v>
      </c>
      <c r="C1346" s="2" t="s">
        <v>569</v>
      </c>
      <c r="D1346" s="2" t="str">
        <f t="shared" si="20"/>
        <v>Error?</v>
      </c>
    </row>
    <row r="1347" spans="1:4" x14ac:dyDescent="0.2">
      <c r="A1347" s="5">
        <v>1286</v>
      </c>
      <c r="B1347" s="1832">
        <f>'Expenditures 15-22'!E182</f>
        <v>54894</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54894</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54894</v>
      </c>
      <c r="C1353" s="2" t="s">
        <v>569</v>
      </c>
      <c r="D1353" s="2" t="str">
        <f t="shared" si="20"/>
        <v>Error?</v>
      </c>
    </row>
    <row r="1354" spans="1:4" x14ac:dyDescent="0.2">
      <c r="A1354" s="5">
        <v>1293</v>
      </c>
      <c r="B1354" s="1832">
        <f>'Expenditures 15-22'!F182</f>
        <v>127304</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127304</v>
      </c>
      <c r="C1358" s="2" t="s">
        <v>569</v>
      </c>
      <c r="D1358" s="2" t="str">
        <f t="shared" si="20"/>
        <v>Error?</v>
      </c>
    </row>
    <row r="1359" spans="1:4" x14ac:dyDescent="0.2">
      <c r="A1359" s="5">
        <v>1298</v>
      </c>
      <c r="B1359" s="1832">
        <f>'Expenditures 15-22'!F210</f>
        <v>127304</v>
      </c>
      <c r="C1359" s="2" t="s">
        <v>569</v>
      </c>
      <c r="D1359" s="2" t="str">
        <f t="shared" si="20"/>
        <v>Error?</v>
      </c>
    </row>
    <row r="1360" spans="1:4" x14ac:dyDescent="0.2">
      <c r="A1360" s="5">
        <v>1299</v>
      </c>
      <c r="B1360" s="1832">
        <f>'Expenditures 15-22'!G182</f>
        <v>141561</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141561</v>
      </c>
      <c r="C1364" s="2" t="s">
        <v>569</v>
      </c>
      <c r="D1364" s="2" t="str">
        <f t="shared" si="20"/>
        <v>Error?</v>
      </c>
    </row>
    <row r="1365" spans="1:4" x14ac:dyDescent="0.2">
      <c r="A1365" s="5">
        <v>1304</v>
      </c>
      <c r="B1365" s="1832">
        <f>'Expenditures 15-22'!G210</f>
        <v>141561</v>
      </c>
      <c r="C1365" s="2" t="s">
        <v>569</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0</v>
      </c>
      <c r="C1376" s="2" t="s">
        <v>569</v>
      </c>
      <c r="D1376" s="2" t="str">
        <f t="shared" si="20"/>
        <v>Error?</v>
      </c>
    </row>
    <row r="1377" spans="1:4" x14ac:dyDescent="0.2">
      <c r="A1377" s="5">
        <v>1316</v>
      </c>
      <c r="B1377" s="1832">
        <f>'Expenditures 15-22'!K182</f>
        <v>652459</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652459</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652459</v>
      </c>
      <c r="C1388" s="2" t="s">
        <v>569</v>
      </c>
      <c r="D1388" s="2" t="str">
        <f t="shared" si="20"/>
        <v>Error?</v>
      </c>
    </row>
    <row r="1389" spans="1:4" x14ac:dyDescent="0.2">
      <c r="A1389" s="5">
        <v>1328</v>
      </c>
      <c r="B1389" s="1832">
        <f>'Expenditures 15-22'!K211</f>
        <v>97936</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43</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2698</v>
      </c>
      <c r="D1407" s="2" t="str">
        <f t="shared" ref="D1407:D1470" si="21">IF(ISBLANK(B1407),"OK",IF(A1407-B1407=0,"OK","Error?"))</f>
        <v>Error?</v>
      </c>
    </row>
    <row r="1408" spans="1:4" x14ac:dyDescent="0.2">
      <c r="A1408" s="5">
        <v>1347</v>
      </c>
      <c r="B1408" s="1832">
        <f>'Expenditures 15-22'!D223</f>
        <v>12064</v>
      </c>
      <c r="D1408" s="2" t="str">
        <f t="shared" si="21"/>
        <v>Error?</v>
      </c>
    </row>
    <row r="1409" spans="1:4" x14ac:dyDescent="0.2">
      <c r="A1409" s="5">
        <v>1348</v>
      </c>
      <c r="B1409" s="1832">
        <f>'Expenditures 15-22'!D224</f>
        <v>34</v>
      </c>
      <c r="D1409" s="2" t="str">
        <f t="shared" si="21"/>
        <v>Error?</v>
      </c>
    </row>
    <row r="1410" spans="1:4" x14ac:dyDescent="0.2">
      <c r="A1410" s="5">
        <v>1349</v>
      </c>
      <c r="B1410" s="1832">
        <f>'Expenditures 15-22'!D229</f>
        <v>177762</v>
      </c>
      <c r="C1410" s="2" t="s">
        <v>569</v>
      </c>
      <c r="D1410" s="2" t="str">
        <f t="shared" si="21"/>
        <v>Error?</v>
      </c>
    </row>
    <row r="1411" spans="1:4" x14ac:dyDescent="0.2">
      <c r="A1411" s="5">
        <v>1350</v>
      </c>
      <c r="B1411" s="1832">
        <f>'Expenditures 15-22'!D232</f>
        <v>987</v>
      </c>
      <c r="D1411" s="2" t="str">
        <f t="shared" si="21"/>
        <v>Error?</v>
      </c>
    </row>
    <row r="1412" spans="1:4" x14ac:dyDescent="0.2">
      <c r="A1412" s="5">
        <v>1351</v>
      </c>
      <c r="B1412" s="1832">
        <f>'Expenditures 15-22'!D233</f>
        <v>4176</v>
      </c>
      <c r="D1412" s="2" t="str">
        <f t="shared" si="21"/>
        <v>Error?</v>
      </c>
    </row>
    <row r="1413" spans="1:4" x14ac:dyDescent="0.2">
      <c r="A1413" s="5">
        <v>1352</v>
      </c>
      <c r="B1413" s="1832">
        <f>'Expenditures 15-22'!D234</f>
        <v>0</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514</v>
      </c>
      <c r="D1415" s="2" t="str">
        <f t="shared" si="21"/>
        <v>Error?</v>
      </c>
    </row>
    <row r="1416" spans="1:4" x14ac:dyDescent="0.2">
      <c r="A1416" s="5">
        <v>1355</v>
      </c>
      <c r="B1416" s="1832">
        <f>'Expenditures 15-22'!D237</f>
        <v>0</v>
      </c>
      <c r="D1416" s="2" t="str">
        <f t="shared" si="21"/>
        <v>Error?</v>
      </c>
    </row>
    <row r="1417" spans="1:4" x14ac:dyDescent="0.2">
      <c r="A1417" s="5">
        <v>1356</v>
      </c>
      <c r="B1417" s="1832">
        <f>'Expenditures 15-22'!D238</f>
        <v>5677</v>
      </c>
      <c r="C1417" s="2" t="s">
        <v>569</v>
      </c>
      <c r="D1417" s="2" t="str">
        <f t="shared" si="21"/>
        <v>Error?</v>
      </c>
    </row>
    <row r="1418" spans="1:4" x14ac:dyDescent="0.2">
      <c r="A1418" s="5">
        <v>1357</v>
      </c>
      <c r="B1418" s="1832">
        <f>'Expenditures 15-22'!D240</f>
        <v>782</v>
      </c>
      <c r="D1418" s="2" t="str">
        <f t="shared" si="21"/>
        <v>Error?</v>
      </c>
    </row>
    <row r="1419" spans="1:4" x14ac:dyDescent="0.2">
      <c r="A1419" s="5">
        <v>1358</v>
      </c>
      <c r="B1419" s="1832">
        <f>'Expenditures 15-22'!D241</f>
        <v>32606</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33388</v>
      </c>
      <c r="C1421" s="2" t="s">
        <v>569</v>
      </c>
      <c r="D1421" s="2" t="str">
        <f t="shared" si="21"/>
        <v>Error?</v>
      </c>
    </row>
    <row r="1422" spans="1:4" x14ac:dyDescent="0.2">
      <c r="A1422" s="5">
        <v>1361</v>
      </c>
      <c r="B1422" s="1832">
        <f>'Expenditures 15-22'!D245</f>
        <v>6831</v>
      </c>
      <c r="D1422" s="2" t="str">
        <f t="shared" si="21"/>
        <v>Error?</v>
      </c>
    </row>
    <row r="1423" spans="1:4" x14ac:dyDescent="0.2">
      <c r="A1423" s="5">
        <v>1362</v>
      </c>
      <c r="B1423" s="1832">
        <f>'Expenditures 15-22'!D246</f>
        <v>1863</v>
      </c>
      <c r="D1423" s="2" t="str">
        <f t="shared" si="21"/>
        <v>Error?</v>
      </c>
    </row>
    <row r="1424" spans="1:4" x14ac:dyDescent="0.2">
      <c r="A1424" s="5">
        <v>1363</v>
      </c>
      <c r="B1424" s="1832">
        <f>'Expenditures 15-22'!D257</f>
        <v>16530</v>
      </c>
      <c r="C1424" s="2" t="s">
        <v>569</v>
      </c>
      <c r="D1424" s="2" t="str">
        <f t="shared" si="21"/>
        <v>Error?</v>
      </c>
    </row>
    <row r="1425" spans="1:4" x14ac:dyDescent="0.2">
      <c r="A1425" s="5">
        <v>1364</v>
      </c>
      <c r="B1425" s="1832">
        <f>'Expenditures 15-22'!D259</f>
        <v>44442</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44442</v>
      </c>
      <c r="C1427" s="2" t="s">
        <v>569</v>
      </c>
      <c r="D1427" s="2" t="str">
        <f t="shared" si="21"/>
        <v>Error?</v>
      </c>
    </row>
    <row r="1428" spans="1:4" x14ac:dyDescent="0.2">
      <c r="A1428" s="5">
        <v>1367</v>
      </c>
      <c r="B1428" s="1832">
        <f>'Expenditures 15-22'!D263</f>
        <v>1410</v>
      </c>
      <c r="D1428" s="2" t="str">
        <f t="shared" si="21"/>
        <v>Error?</v>
      </c>
    </row>
    <row r="1429" spans="1:4" x14ac:dyDescent="0.2">
      <c r="A1429" s="5">
        <v>1368</v>
      </c>
      <c r="B1429" s="1832">
        <f>'Expenditures 15-22'!D264</f>
        <v>4173</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92590</v>
      </c>
      <c r="D1431" s="2" t="str">
        <f t="shared" si="21"/>
        <v>Error?</v>
      </c>
    </row>
    <row r="1432" spans="1:4" x14ac:dyDescent="0.2">
      <c r="A1432" s="5">
        <v>1371</v>
      </c>
      <c r="B1432" s="1832">
        <f>'Expenditures 15-22'!D267</f>
        <v>43908</v>
      </c>
      <c r="D1432" s="2" t="str">
        <f t="shared" si="21"/>
        <v>Error?</v>
      </c>
    </row>
    <row r="1433" spans="1:4" x14ac:dyDescent="0.2">
      <c r="A1433" s="5">
        <v>1372</v>
      </c>
      <c r="B1433" s="1832">
        <f>'Expenditures 15-22'!D268</f>
        <v>33952</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176033</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0</v>
      </c>
      <c r="D1442" s="2" t="str">
        <f t="shared" si="21"/>
        <v>Error?</v>
      </c>
    </row>
    <row r="1443" spans="1:4" x14ac:dyDescent="0.2">
      <c r="A1443" s="10">
        <v>1382</v>
      </c>
      <c r="B1443" s="1832"/>
      <c r="D1443" s="2" t="str">
        <f t="shared" si="21"/>
        <v>OK</v>
      </c>
    </row>
    <row r="1444" spans="1:4" x14ac:dyDescent="0.2">
      <c r="A1444" s="5">
        <v>1383</v>
      </c>
      <c r="B1444" s="1832">
        <f>'Expenditures 15-22'!D277</f>
        <v>0</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276070</v>
      </c>
      <c r="C1446" s="2" t="s">
        <v>569</v>
      </c>
      <c r="D1446" s="2" t="str">
        <f t="shared" si="21"/>
        <v>Error?</v>
      </c>
    </row>
    <row r="1447" spans="1:4" x14ac:dyDescent="0.2">
      <c r="A1447" s="5">
        <v>1386</v>
      </c>
      <c r="B1447" s="1832">
        <f>'Expenditures 15-22'!D280</f>
        <v>15</v>
      </c>
      <c r="D1447" s="2" t="str">
        <f t="shared" si="21"/>
        <v>Error?</v>
      </c>
    </row>
    <row r="1448" spans="1:4" x14ac:dyDescent="0.2">
      <c r="A1448" s="5">
        <v>1387</v>
      </c>
      <c r="B1448" s="1832">
        <f>'Expenditures 15-22'!D295</f>
        <v>453847</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43</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569</v>
      </c>
      <c r="D1470" s="2" t="str">
        <f t="shared" si="21"/>
        <v>Error?</v>
      </c>
    </row>
    <row r="1471" spans="1:4" x14ac:dyDescent="0.2">
      <c r="A1471" s="5">
        <v>1410</v>
      </c>
      <c r="B1471" s="1832">
        <f>'Expenditures 15-22'!K222</f>
        <v>2698</v>
      </c>
      <c r="C1471" s="2" t="s">
        <v>569</v>
      </c>
      <c r="D1471" s="2" t="str">
        <f t="shared" ref="D1471:D1534" si="22">IF(ISBLANK(B1471),"OK",IF(A1471-B1471=0,"OK","Error?"))</f>
        <v>Error?</v>
      </c>
    </row>
    <row r="1472" spans="1:4" x14ac:dyDescent="0.2">
      <c r="A1472" s="5">
        <v>1411</v>
      </c>
      <c r="B1472" s="1832">
        <f>'Expenditures 15-22'!K223</f>
        <v>12064</v>
      </c>
      <c r="C1472" s="2" t="s">
        <v>569</v>
      </c>
      <c r="D1472" s="2" t="str">
        <f t="shared" si="22"/>
        <v>Error?</v>
      </c>
    </row>
    <row r="1473" spans="1:4" x14ac:dyDescent="0.2">
      <c r="A1473" s="5">
        <v>1412</v>
      </c>
      <c r="B1473" s="1832">
        <f>'Expenditures 15-22'!K224</f>
        <v>34</v>
      </c>
      <c r="C1473" s="2" t="s">
        <v>569</v>
      </c>
      <c r="D1473" s="2" t="str">
        <f t="shared" si="22"/>
        <v>Error?</v>
      </c>
    </row>
    <row r="1474" spans="1:4" x14ac:dyDescent="0.2">
      <c r="A1474" s="5">
        <v>1413</v>
      </c>
      <c r="B1474" s="1832">
        <f>'Expenditures 15-22'!K229</f>
        <v>177762</v>
      </c>
      <c r="C1474" s="2" t="s">
        <v>569</v>
      </c>
      <c r="D1474" s="2" t="str">
        <f t="shared" si="22"/>
        <v>Error?</v>
      </c>
    </row>
    <row r="1475" spans="1:4" x14ac:dyDescent="0.2">
      <c r="A1475" s="5">
        <v>1414</v>
      </c>
      <c r="B1475" s="1832">
        <f>'Expenditures 15-22'!K232</f>
        <v>987</v>
      </c>
      <c r="C1475" s="2" t="s">
        <v>569</v>
      </c>
      <c r="D1475" s="2" t="str">
        <f t="shared" si="22"/>
        <v>Error?</v>
      </c>
    </row>
    <row r="1476" spans="1:4" x14ac:dyDescent="0.2">
      <c r="A1476" s="5">
        <v>1415</v>
      </c>
      <c r="B1476" s="1832">
        <f>'Expenditures 15-22'!K233</f>
        <v>4176</v>
      </c>
      <c r="C1476" s="2" t="s">
        <v>569</v>
      </c>
      <c r="D1476" s="2" t="str">
        <f t="shared" si="22"/>
        <v>Error?</v>
      </c>
    </row>
    <row r="1477" spans="1:4" x14ac:dyDescent="0.2">
      <c r="A1477" s="5">
        <v>1416</v>
      </c>
      <c r="B1477" s="1832">
        <f>'Expenditures 15-22'!K234</f>
        <v>0</v>
      </c>
      <c r="C1477" s="2" t="s">
        <v>569</v>
      </c>
      <c r="D1477" s="2" t="str">
        <f t="shared" si="22"/>
        <v>Error?</v>
      </c>
    </row>
    <row r="1478" spans="1:4" x14ac:dyDescent="0.2">
      <c r="A1478" s="5">
        <v>1417</v>
      </c>
      <c r="B1478" s="1832">
        <f>'Expenditures 15-22'!K235</f>
        <v>0</v>
      </c>
      <c r="C1478" s="2" t="s">
        <v>569</v>
      </c>
      <c r="D1478" s="2" t="str">
        <f t="shared" si="22"/>
        <v>Error?</v>
      </c>
    </row>
    <row r="1479" spans="1:4" x14ac:dyDescent="0.2">
      <c r="A1479" s="5">
        <v>1418</v>
      </c>
      <c r="B1479" s="1832">
        <f>'Expenditures 15-22'!K236</f>
        <v>514</v>
      </c>
      <c r="C1479" s="2" t="s">
        <v>569</v>
      </c>
      <c r="D1479" s="2" t="str">
        <f t="shared" si="22"/>
        <v>Error?</v>
      </c>
    </row>
    <row r="1480" spans="1:4" x14ac:dyDescent="0.2">
      <c r="A1480" s="5">
        <v>1419</v>
      </c>
      <c r="B1480" s="1832">
        <f>'Expenditures 15-22'!K237</f>
        <v>0</v>
      </c>
      <c r="C1480" s="2" t="s">
        <v>569</v>
      </c>
      <c r="D1480" s="2" t="str">
        <f t="shared" si="22"/>
        <v>Error?</v>
      </c>
    </row>
    <row r="1481" spans="1:4" x14ac:dyDescent="0.2">
      <c r="A1481" s="5">
        <v>1420</v>
      </c>
      <c r="B1481" s="1832">
        <f>'Expenditures 15-22'!K238</f>
        <v>5677</v>
      </c>
      <c r="C1481" s="2" t="s">
        <v>569</v>
      </c>
      <c r="D1481" s="2" t="str">
        <f t="shared" si="22"/>
        <v>Error?</v>
      </c>
    </row>
    <row r="1482" spans="1:4" x14ac:dyDescent="0.2">
      <c r="A1482" s="5">
        <v>1421</v>
      </c>
      <c r="B1482" s="1832">
        <f>'Expenditures 15-22'!K240</f>
        <v>782</v>
      </c>
      <c r="C1482" s="2" t="s">
        <v>569</v>
      </c>
      <c r="D1482" s="2" t="str">
        <f t="shared" si="22"/>
        <v>Error?</v>
      </c>
    </row>
    <row r="1483" spans="1:4" x14ac:dyDescent="0.2">
      <c r="A1483" s="5">
        <v>1422</v>
      </c>
      <c r="B1483" s="1832">
        <f>'Expenditures 15-22'!K241</f>
        <v>32606</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33388</v>
      </c>
      <c r="C1485" s="2" t="s">
        <v>569</v>
      </c>
      <c r="D1485" s="2" t="str">
        <f t="shared" si="22"/>
        <v>Error?</v>
      </c>
    </row>
    <row r="1486" spans="1:4" x14ac:dyDescent="0.2">
      <c r="A1486" s="5">
        <v>1425</v>
      </c>
      <c r="B1486" s="1832">
        <f>'Expenditures 15-22'!K245</f>
        <v>6831</v>
      </c>
      <c r="C1486" s="2" t="s">
        <v>569</v>
      </c>
      <c r="D1486" s="2" t="str">
        <f t="shared" si="22"/>
        <v>Error?</v>
      </c>
    </row>
    <row r="1487" spans="1:4" x14ac:dyDescent="0.2">
      <c r="A1487" s="5">
        <v>1426</v>
      </c>
      <c r="B1487" s="1832">
        <f>'Expenditures 15-22'!K246</f>
        <v>1863</v>
      </c>
      <c r="C1487" s="2" t="s">
        <v>569</v>
      </c>
      <c r="D1487" s="2" t="str">
        <f t="shared" si="22"/>
        <v>Error?</v>
      </c>
    </row>
    <row r="1488" spans="1:4" x14ac:dyDescent="0.2">
      <c r="A1488" s="5">
        <v>1427</v>
      </c>
      <c r="B1488" s="1832">
        <f>'Expenditures 15-22'!K257</f>
        <v>16530</v>
      </c>
      <c r="C1488" s="2" t="s">
        <v>569</v>
      </c>
      <c r="D1488" s="2" t="str">
        <f t="shared" si="22"/>
        <v>Error?</v>
      </c>
    </row>
    <row r="1489" spans="1:4" x14ac:dyDescent="0.2">
      <c r="A1489" s="5">
        <v>1428</v>
      </c>
      <c r="B1489" s="1832">
        <f>'Expenditures 15-22'!K259</f>
        <v>44442</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44442</v>
      </c>
      <c r="C1491" s="2" t="s">
        <v>569</v>
      </c>
      <c r="D1491" s="2" t="str">
        <f t="shared" si="22"/>
        <v>Error?</v>
      </c>
    </row>
    <row r="1492" spans="1:4" x14ac:dyDescent="0.2">
      <c r="A1492" s="5">
        <v>1431</v>
      </c>
      <c r="B1492" s="1832">
        <f>'Expenditures 15-22'!K263</f>
        <v>1410</v>
      </c>
      <c r="C1492" s="2" t="s">
        <v>569</v>
      </c>
      <c r="D1492" s="2" t="str">
        <f t="shared" si="22"/>
        <v>Error?</v>
      </c>
    </row>
    <row r="1493" spans="1:4" x14ac:dyDescent="0.2">
      <c r="A1493" s="5">
        <v>1432</v>
      </c>
      <c r="B1493" s="1832">
        <f>'Expenditures 15-22'!K264</f>
        <v>4173</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92590</v>
      </c>
      <c r="C1495" s="2" t="s">
        <v>569</v>
      </c>
      <c r="D1495" s="2" t="str">
        <f t="shared" si="22"/>
        <v>Error?</v>
      </c>
    </row>
    <row r="1496" spans="1:4" x14ac:dyDescent="0.2">
      <c r="A1496" s="5">
        <v>1435</v>
      </c>
      <c r="B1496" s="1832">
        <f>'Expenditures 15-22'!K267</f>
        <v>43908</v>
      </c>
      <c r="C1496" s="2" t="s">
        <v>569</v>
      </c>
      <c r="D1496" s="2" t="str">
        <f t="shared" si="22"/>
        <v>Error?</v>
      </c>
    </row>
    <row r="1497" spans="1:4" x14ac:dyDescent="0.2">
      <c r="A1497" s="5">
        <v>1436</v>
      </c>
      <c r="B1497" s="1832">
        <f>'Expenditures 15-22'!K268</f>
        <v>33952</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176033</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0</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0</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276070</v>
      </c>
      <c r="C1510" s="2" t="s">
        <v>569</v>
      </c>
      <c r="D1510" s="2" t="str">
        <f t="shared" si="22"/>
        <v>Error?</v>
      </c>
    </row>
    <row r="1511" spans="1:4" x14ac:dyDescent="0.2">
      <c r="A1511" s="5">
        <v>1450</v>
      </c>
      <c r="B1511" s="1832">
        <f>'Expenditures 15-22'!K280</f>
        <v>15</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453847</v>
      </c>
      <c r="C1517" s="2" t="s">
        <v>569</v>
      </c>
      <c r="D1517" s="2" t="str">
        <f t="shared" si="22"/>
        <v>Error?</v>
      </c>
    </row>
    <row r="1518" spans="1:4" x14ac:dyDescent="0.2">
      <c r="A1518" s="5">
        <v>1457</v>
      </c>
      <c r="B1518" s="1832">
        <f>'Expenditures 15-22'!K296</f>
        <v>101749</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12304</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12304</v>
      </c>
      <c r="C1535" s="2" t="s">
        <v>569</v>
      </c>
      <c r="D1535" s="2" t="str">
        <f t="shared" ref="D1535:D1598" si="23">IF(ISBLANK(B1535),"OK",IF(A1535-B1535=0,"OK","Error?"))</f>
        <v>Error?</v>
      </c>
    </row>
    <row r="1536" spans="1:4" x14ac:dyDescent="0.2">
      <c r="A1536" s="5">
        <v>1475</v>
      </c>
      <c r="B1536" s="1832">
        <f>'Expenditures 15-22'!E312</f>
        <v>12304</v>
      </c>
      <c r="C1536" s="2" t="s">
        <v>569</v>
      </c>
      <c r="D1536" s="2" t="str">
        <f t="shared" si="23"/>
        <v>Error?</v>
      </c>
    </row>
    <row r="1537" spans="1:4" x14ac:dyDescent="0.2">
      <c r="A1537" s="5">
        <v>1476</v>
      </c>
      <c r="B1537" s="1832">
        <f>'Expenditures 15-22'!F301</f>
        <v>75013</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75013</v>
      </c>
      <c r="C1541" s="2" t="s">
        <v>569</v>
      </c>
      <c r="D1541" s="2" t="str">
        <f t="shared" si="23"/>
        <v>Error?</v>
      </c>
    </row>
    <row r="1542" spans="1:4" x14ac:dyDescent="0.2">
      <c r="A1542" s="5">
        <v>1481</v>
      </c>
      <c r="B1542" s="1832">
        <f>'Expenditures 15-22'!F312</f>
        <v>75013</v>
      </c>
      <c r="C1542" s="2" t="s">
        <v>569</v>
      </c>
      <c r="D1542" s="2" t="str">
        <f t="shared" si="23"/>
        <v>Error?</v>
      </c>
    </row>
    <row r="1543" spans="1:4" x14ac:dyDescent="0.2">
      <c r="A1543" s="5">
        <v>1482</v>
      </c>
      <c r="B1543" s="1832">
        <f>'Expenditures 15-22'!G301</f>
        <v>3909825</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3909825</v>
      </c>
      <c r="C1547" s="2" t="s">
        <v>569</v>
      </c>
      <c r="D1547" s="2" t="str">
        <f t="shared" si="23"/>
        <v>Error?</v>
      </c>
    </row>
    <row r="1548" spans="1:4" x14ac:dyDescent="0.2">
      <c r="A1548" s="5">
        <v>1487</v>
      </c>
      <c r="B1548" s="1832">
        <f>'Expenditures 15-22'!G312</f>
        <v>3909825</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3997142</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3997142</v>
      </c>
      <c r="C1559" s="2" t="s">
        <v>569</v>
      </c>
      <c r="D1559" s="2" t="str">
        <f t="shared" si="23"/>
        <v>Error?</v>
      </c>
    </row>
    <row r="1560" spans="1:4" x14ac:dyDescent="0.2">
      <c r="A1560" s="5">
        <v>1499</v>
      </c>
      <c r="B1560" s="1832">
        <f>'Expenditures 15-22'!K312</f>
        <v>3997142</v>
      </c>
      <c r="C1560" s="2" t="s">
        <v>569</v>
      </c>
      <c r="D1560" s="2" t="str">
        <f t="shared" si="23"/>
        <v>Error?</v>
      </c>
    </row>
    <row r="1561" spans="1:4" x14ac:dyDescent="0.2">
      <c r="A1561" s="5">
        <v>1500</v>
      </c>
      <c r="B1561" s="1832">
        <f>'Expenditures 15-22'!K313</f>
        <v>-3551842</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1915842</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3500688</v>
      </c>
      <c r="C1630" s="2" t="s">
        <v>569</v>
      </c>
      <c r="D1630" s="2" t="str">
        <f t="shared" si="24"/>
        <v>Error?</v>
      </c>
    </row>
    <row r="1631" spans="1:4" x14ac:dyDescent="0.2">
      <c r="A1631" s="5">
        <v>1570</v>
      </c>
      <c r="B1631" s="1832">
        <f>'Acct Summary 7-8'!D79</f>
        <v>3227671</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2956429</v>
      </c>
      <c r="C1644" s="2" t="s">
        <v>569</v>
      </c>
      <c r="D1644" s="2" t="str">
        <f t="shared" si="24"/>
        <v>Error?</v>
      </c>
    </row>
    <row r="1645" spans="1:4" x14ac:dyDescent="0.2">
      <c r="A1645" s="5">
        <v>1584</v>
      </c>
      <c r="B1645" s="1832">
        <f>'Acct Summary 7-8'!E79</f>
        <v>55752</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63291</v>
      </c>
      <c r="C1658" s="2" t="s">
        <v>569</v>
      </c>
      <c r="D1658" s="2" t="str">
        <f t="shared" si="24"/>
        <v>Error?</v>
      </c>
    </row>
    <row r="1659" spans="1:4" x14ac:dyDescent="0.2">
      <c r="A1659" s="5">
        <v>1598</v>
      </c>
      <c r="B1659" s="1832">
        <f>'Acct Summary 7-8'!F79</f>
        <v>1333401</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1431337</v>
      </c>
      <c r="C1672" s="2" t="s">
        <v>569</v>
      </c>
      <c r="D1672" s="2" t="str">
        <f t="shared" si="25"/>
        <v>Error?</v>
      </c>
    </row>
    <row r="1673" spans="1:4" x14ac:dyDescent="0.2">
      <c r="A1673" s="5">
        <v>1612</v>
      </c>
      <c r="B1673" s="1832">
        <f>'Acct Summary 7-8'!G79</f>
        <v>514118</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615867</v>
      </c>
      <c r="C1686" s="2" t="s">
        <v>569</v>
      </c>
      <c r="D1686" s="2" t="str">
        <f t="shared" si="25"/>
        <v>Error?</v>
      </c>
    </row>
    <row r="1687" spans="1:4" x14ac:dyDescent="0.2">
      <c r="A1687" s="5">
        <v>1626</v>
      </c>
      <c r="B1687" s="1832">
        <f>'Acct Summary 7-8'!H79</f>
        <v>311897</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1761055</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6910482</v>
      </c>
      <c r="C1744" s="2" t="s">
        <v>569</v>
      </c>
      <c r="D1744" s="2" t="str">
        <f t="shared" si="26"/>
        <v>Error?</v>
      </c>
    </row>
    <row r="1745" spans="1:5" x14ac:dyDescent="0.2">
      <c r="A1745" s="5">
        <v>1684</v>
      </c>
      <c r="B1745" s="1832">
        <f>'Tax Sched 23'!B5</f>
        <v>1170323</v>
      </c>
      <c r="C1745" s="2" t="s">
        <v>569</v>
      </c>
      <c r="D1745" s="2" t="str">
        <f t="shared" si="26"/>
        <v>Error?</v>
      </c>
    </row>
    <row r="1746" spans="1:5" x14ac:dyDescent="0.2">
      <c r="A1746" s="5">
        <v>1685</v>
      </c>
      <c r="B1746" s="1832">
        <f>'Tax Sched 23'!B6</f>
        <v>891237</v>
      </c>
      <c r="C1746" s="2" t="s">
        <v>569</v>
      </c>
      <c r="D1746" s="2" t="str">
        <f t="shared" si="26"/>
        <v>Error?</v>
      </c>
    </row>
    <row r="1747" spans="1:5" x14ac:dyDescent="0.2">
      <c r="A1747" s="5">
        <v>1686</v>
      </c>
      <c r="B1747" s="1832">
        <f>'Tax Sched 23'!B7</f>
        <v>445838</v>
      </c>
      <c r="C1747" s="2" t="s">
        <v>569</v>
      </c>
      <c r="D1747" s="2" t="str">
        <f t="shared" si="26"/>
        <v>Error?</v>
      </c>
    </row>
    <row r="1748" spans="1:5" x14ac:dyDescent="0.2">
      <c r="A1748" s="5">
        <v>1687</v>
      </c>
      <c r="B1748" s="1832">
        <f>'Tax Sched 23'!B8</f>
        <v>234735</v>
      </c>
      <c r="C1748" s="2" t="s">
        <v>569</v>
      </c>
      <c r="D1748" s="2" t="str">
        <f t="shared" si="26"/>
        <v>Error?</v>
      </c>
    </row>
    <row r="1749" spans="1:5" x14ac:dyDescent="0.2">
      <c r="A1749" s="5">
        <v>1688</v>
      </c>
      <c r="B1749" s="1832">
        <f>'Tax Sched 23'!B10</f>
        <v>111459</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588955</v>
      </c>
      <c r="C1752" s="2" t="s">
        <v>569</v>
      </c>
      <c r="D1752" s="2" t="str">
        <f t="shared" si="26"/>
        <v>Error?</v>
      </c>
    </row>
    <row r="1753" spans="1:5" x14ac:dyDescent="0.2">
      <c r="A1753" s="5">
        <v>1692</v>
      </c>
      <c r="B1753" s="1832">
        <f>'Tax Sched 23'!B12</f>
        <v>111459</v>
      </c>
      <c r="C1753" s="2" t="s">
        <v>569</v>
      </c>
      <c r="D1753" s="2" t="str">
        <f t="shared" si="26"/>
        <v>Error?</v>
      </c>
    </row>
    <row r="1754" spans="1:5" x14ac:dyDescent="0.2">
      <c r="A1754" s="5">
        <v>1693</v>
      </c>
      <c r="B1754" s="1832">
        <f>'Tax Sched 23'!B14</f>
        <v>89168</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10944657</v>
      </c>
      <c r="C1759" s="2" t="s">
        <v>569</v>
      </c>
      <c r="D1759" s="2" t="str">
        <f t="shared" si="26"/>
        <v>Error?</v>
      </c>
    </row>
    <row r="1760" spans="1:5" x14ac:dyDescent="0.2">
      <c r="A1760" s="5">
        <v>1699</v>
      </c>
      <c r="B1760" s="1832">
        <f>'Tax Sched 23'!D4</f>
        <v>6909649</v>
      </c>
      <c r="C1760" s="2" t="s">
        <v>569</v>
      </c>
      <c r="D1760" s="2" t="str">
        <f t="shared" si="26"/>
        <v>Error?</v>
      </c>
    </row>
    <row r="1761" spans="1:7" x14ac:dyDescent="0.2">
      <c r="A1761" s="5">
        <v>1700</v>
      </c>
      <c r="B1761" s="1832">
        <f>'Tax Sched 23'!D5</f>
        <v>1170182</v>
      </c>
      <c r="C1761" s="2" t="s">
        <v>569</v>
      </c>
      <c r="D1761" s="2" t="str">
        <f t="shared" si="26"/>
        <v>Error?</v>
      </c>
    </row>
    <row r="1762" spans="1:7" s="8" customFormat="1" x14ac:dyDescent="0.2">
      <c r="A1762" s="5">
        <v>1701</v>
      </c>
      <c r="B1762" s="1832">
        <f>'Tax Sched 23'!D6</f>
        <v>891129</v>
      </c>
      <c r="C1762" s="2" t="s">
        <v>569</v>
      </c>
      <c r="D1762" s="2" t="str">
        <f t="shared" si="26"/>
        <v>Error?</v>
      </c>
      <c r="E1762" s="9"/>
      <c r="G1762"/>
    </row>
    <row r="1763" spans="1:7" x14ac:dyDescent="0.2">
      <c r="A1763" s="5">
        <v>1702</v>
      </c>
      <c r="B1763" s="1832">
        <f>'Tax Sched 23'!D7</f>
        <v>445784</v>
      </c>
      <c r="C1763" s="2" t="s">
        <v>569</v>
      </c>
      <c r="D1763" s="2" t="str">
        <f t="shared" si="26"/>
        <v>Error?</v>
      </c>
    </row>
    <row r="1764" spans="1:7" x14ac:dyDescent="0.2">
      <c r="A1764" s="5">
        <v>1703</v>
      </c>
      <c r="B1764" s="1832">
        <f>'Tax Sched 23'!D8</f>
        <v>234707</v>
      </c>
      <c r="C1764" s="2" t="s">
        <v>569</v>
      </c>
      <c r="D1764" s="2" t="str">
        <f t="shared" si="26"/>
        <v>Error?</v>
      </c>
    </row>
    <row r="1765" spans="1:7" x14ac:dyDescent="0.2">
      <c r="A1765" s="5">
        <v>1704</v>
      </c>
      <c r="B1765" s="1832">
        <f>'Tax Sched 23'!D10</f>
        <v>111446</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588885</v>
      </c>
      <c r="C1768" s="2" t="s">
        <v>569</v>
      </c>
      <c r="D1768" s="2" t="str">
        <f t="shared" si="26"/>
        <v>Error?</v>
      </c>
    </row>
    <row r="1769" spans="1:7" x14ac:dyDescent="0.2">
      <c r="A1769" s="5">
        <v>1708</v>
      </c>
      <c r="B1769" s="1832">
        <f>'Tax Sched 23'!D12</f>
        <v>111446</v>
      </c>
      <c r="C1769" s="2" t="s">
        <v>569</v>
      </c>
      <c r="D1769" s="2" t="str">
        <f t="shared" si="26"/>
        <v>Error?</v>
      </c>
    </row>
    <row r="1770" spans="1:7" x14ac:dyDescent="0.2">
      <c r="A1770" s="5">
        <v>1709</v>
      </c>
      <c r="B1770" s="1832">
        <f>'Tax Sched 23'!D14</f>
        <v>89157</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10943339</v>
      </c>
      <c r="C1775" s="2" t="s">
        <v>569</v>
      </c>
      <c r="D1775" s="2" t="str">
        <f t="shared" si="26"/>
        <v>Error?</v>
      </c>
    </row>
    <row r="1776" spans="1:7" x14ac:dyDescent="0.2">
      <c r="A1776" s="5">
        <v>1715</v>
      </c>
      <c r="B1776" s="1832">
        <f>'Tax Sched 23'!C4</f>
        <v>833</v>
      </c>
      <c r="D1776" s="2" t="str">
        <f t="shared" si="26"/>
        <v>Error?</v>
      </c>
    </row>
    <row r="1777" spans="1:4" x14ac:dyDescent="0.2">
      <c r="A1777" s="5">
        <v>1716</v>
      </c>
      <c r="B1777" s="1832">
        <f>'Tax Sched 23'!C5</f>
        <v>141</v>
      </c>
      <c r="D1777" s="2" t="str">
        <f t="shared" si="26"/>
        <v>Error?</v>
      </c>
    </row>
    <row r="1778" spans="1:4" x14ac:dyDescent="0.2">
      <c r="A1778" s="5">
        <v>1717</v>
      </c>
      <c r="B1778" s="1832">
        <f>'Tax Sched 23'!C6</f>
        <v>108</v>
      </c>
      <c r="D1778" s="2" t="str">
        <f t="shared" si="26"/>
        <v>Error?</v>
      </c>
    </row>
    <row r="1779" spans="1:4" x14ac:dyDescent="0.2">
      <c r="A1779" s="5">
        <v>1718</v>
      </c>
      <c r="B1779" s="1832">
        <f>'Tax Sched 23'!C7</f>
        <v>54</v>
      </c>
      <c r="D1779" s="2" t="str">
        <f t="shared" si="26"/>
        <v>Error?</v>
      </c>
    </row>
    <row r="1780" spans="1:4" x14ac:dyDescent="0.2">
      <c r="A1780" s="5">
        <v>1719</v>
      </c>
      <c r="B1780" s="1832">
        <f>'Tax Sched 23'!C8</f>
        <v>28</v>
      </c>
      <c r="D1780" s="2" t="str">
        <f t="shared" si="26"/>
        <v>Error?</v>
      </c>
    </row>
    <row r="1781" spans="1:4" x14ac:dyDescent="0.2">
      <c r="A1781" s="5">
        <v>1720</v>
      </c>
      <c r="B1781" s="1832">
        <f>'Tax Sched 23'!C10</f>
        <v>13</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70</v>
      </c>
      <c r="D1784" s="2" t="str">
        <f t="shared" si="26"/>
        <v>Error?</v>
      </c>
    </row>
    <row r="1785" spans="1:4" x14ac:dyDescent="0.2">
      <c r="A1785" s="5">
        <v>1724</v>
      </c>
      <c r="B1785" s="1832">
        <f>'Tax Sched 23'!C12</f>
        <v>13</v>
      </c>
      <c r="D1785" s="2" t="str">
        <f t="shared" si="26"/>
        <v>Error?</v>
      </c>
    </row>
    <row r="1786" spans="1:4" x14ac:dyDescent="0.2">
      <c r="A1786" s="5">
        <v>1725</v>
      </c>
      <c r="B1786" s="1832">
        <f>'Tax Sched 23'!C14</f>
        <v>11</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1318</v>
      </c>
      <c r="C1791" s="2" t="s">
        <v>569</v>
      </c>
      <c r="D1791" s="2" t="str">
        <f t="shared" ref="D1791:D1854" si="27">IF(ISBLANK(B1791),"OK",IF(A1791-B1791=0,"OK","Error?"))</f>
        <v>Error?</v>
      </c>
    </row>
    <row r="1792" spans="1:4" x14ac:dyDescent="0.2">
      <c r="A1792" s="5">
        <v>1731</v>
      </c>
      <c r="B1792" s="1832">
        <f>'Tax Sched 23'!F4</f>
        <v>6896145</v>
      </c>
      <c r="C1792" s="2" t="s">
        <v>569</v>
      </c>
      <c r="D1792" s="2" t="str">
        <f t="shared" si="27"/>
        <v>Error?</v>
      </c>
    </row>
    <row r="1793" spans="1:4" x14ac:dyDescent="0.2">
      <c r="A1793" s="5">
        <v>1732</v>
      </c>
      <c r="B1793" s="1832">
        <f>'Tax Sched 23'!F5</f>
        <v>1167896</v>
      </c>
      <c r="C1793" s="2" t="s">
        <v>569</v>
      </c>
      <c r="D1793" s="2" t="str">
        <f t="shared" si="27"/>
        <v>Error?</v>
      </c>
    </row>
    <row r="1794" spans="1:4" x14ac:dyDescent="0.2">
      <c r="A1794" s="5">
        <v>1733</v>
      </c>
      <c r="B1794" s="1832">
        <f>'Tax Sched 23'!F6</f>
        <v>892717</v>
      </c>
      <c r="C1794" s="2" t="s">
        <v>569</v>
      </c>
      <c r="D1794" s="2" t="str">
        <f t="shared" si="27"/>
        <v>Error?</v>
      </c>
    </row>
    <row r="1795" spans="1:4" x14ac:dyDescent="0.2">
      <c r="A1795" s="5">
        <v>1734</v>
      </c>
      <c r="B1795" s="1832">
        <f>'Tax Sched 23'!F7</f>
        <v>444912</v>
      </c>
      <c r="C1795" s="2" t="s">
        <v>569</v>
      </c>
      <c r="D1795" s="2" t="str">
        <f t="shared" si="27"/>
        <v>Error?</v>
      </c>
    </row>
    <row r="1796" spans="1:4" x14ac:dyDescent="0.2">
      <c r="A1796" s="5">
        <v>1735</v>
      </c>
      <c r="B1796" s="1832">
        <f>'Tax Sched 23'!F8</f>
        <v>235137</v>
      </c>
      <c r="C1796" s="2" t="s">
        <v>569</v>
      </c>
      <c r="D1796" s="2" t="str">
        <f t="shared" si="27"/>
        <v>Error?</v>
      </c>
    </row>
    <row r="1797" spans="1:4" x14ac:dyDescent="0.2">
      <c r="A1797" s="5">
        <v>1736</v>
      </c>
      <c r="B1797" s="1832">
        <f>'Tax Sched 23'!F10</f>
        <v>111229</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595072</v>
      </c>
      <c r="C1800" s="2" t="s">
        <v>569</v>
      </c>
      <c r="D1800" s="2" t="str">
        <f t="shared" si="27"/>
        <v>Error?</v>
      </c>
    </row>
    <row r="1801" spans="1:4" x14ac:dyDescent="0.2">
      <c r="A1801" s="5">
        <v>1740</v>
      </c>
      <c r="B1801" s="1832">
        <f>'Tax Sched 23'!F12</f>
        <v>111229</v>
      </c>
      <c r="C1801" s="2" t="s">
        <v>569</v>
      </c>
      <c r="D1801" s="2" t="str">
        <f t="shared" si="27"/>
        <v>Error?</v>
      </c>
    </row>
    <row r="1802" spans="1:4" x14ac:dyDescent="0.2">
      <c r="A1802" s="5">
        <v>1741</v>
      </c>
      <c r="B1802" s="1832">
        <f>'Tax Sched 23'!F14</f>
        <v>88982</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10934620</v>
      </c>
      <c r="C1807" s="2" t="s">
        <v>569</v>
      </c>
      <c r="D1807" s="2" t="str">
        <f t="shared" si="27"/>
        <v>Error?</v>
      </c>
    </row>
    <row r="1808" spans="1:4" x14ac:dyDescent="0.2">
      <c r="A1808" s="5">
        <v>1747</v>
      </c>
      <c r="B1808" s="1832">
        <f>'Tax Sched 23'!E4</f>
        <v>6896978</v>
      </c>
      <c r="D1808" s="2" t="str">
        <f t="shared" si="27"/>
        <v>Error?</v>
      </c>
    </row>
    <row r="1809" spans="1:4" x14ac:dyDescent="0.2">
      <c r="A1809" s="5">
        <v>1748</v>
      </c>
      <c r="B1809" s="1832">
        <f>'Tax Sched 23'!E5</f>
        <v>1168037</v>
      </c>
      <c r="D1809" s="2" t="str">
        <f t="shared" si="27"/>
        <v>Error?</v>
      </c>
    </row>
    <row r="1810" spans="1:4" x14ac:dyDescent="0.2">
      <c r="A1810" s="5">
        <v>1749</v>
      </c>
      <c r="B1810" s="1832">
        <f>'Tax Sched 23'!E6</f>
        <v>892825</v>
      </c>
      <c r="D1810" s="2" t="str">
        <f t="shared" si="27"/>
        <v>Error?</v>
      </c>
    </row>
    <row r="1811" spans="1:4" x14ac:dyDescent="0.2">
      <c r="A1811" s="5">
        <v>1750</v>
      </c>
      <c r="B1811" s="1832">
        <f>'Tax Sched 23'!E7</f>
        <v>444966</v>
      </c>
      <c r="D1811" s="2" t="str">
        <f t="shared" si="27"/>
        <v>Error?</v>
      </c>
    </row>
    <row r="1812" spans="1:4" x14ac:dyDescent="0.2">
      <c r="A1812" s="5">
        <v>1751</v>
      </c>
      <c r="B1812" s="1832">
        <f>'Tax Sched 23'!E8</f>
        <v>235165</v>
      </c>
      <c r="D1812" s="2" t="str">
        <f t="shared" si="27"/>
        <v>Error?</v>
      </c>
    </row>
    <row r="1813" spans="1:4" x14ac:dyDescent="0.2">
      <c r="A1813" s="5">
        <v>1752</v>
      </c>
      <c r="B1813" s="1832">
        <f>'Tax Sched 23'!E10</f>
        <v>111242</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595142</v>
      </c>
      <c r="D1816" s="2" t="str">
        <f t="shared" si="27"/>
        <v>Error?</v>
      </c>
    </row>
    <row r="1817" spans="1:4" x14ac:dyDescent="0.2">
      <c r="A1817" s="5">
        <v>1756</v>
      </c>
      <c r="B1817" s="1832">
        <f>'Tax Sched 23'!E12</f>
        <v>111242</v>
      </c>
      <c r="D1817" s="2" t="str">
        <f t="shared" si="27"/>
        <v>Error?</v>
      </c>
    </row>
    <row r="1818" spans="1:4" x14ac:dyDescent="0.2">
      <c r="A1818" s="5">
        <v>1757</v>
      </c>
      <c r="B1818" s="1832">
        <f>'Tax Sched 23'!E14</f>
        <v>88993</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10935938</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1885152</v>
      </c>
      <c r="C1939" s="2" t="s">
        <v>569</v>
      </c>
      <c r="D1939" s="2" t="str">
        <f t="shared" si="29"/>
        <v>Error?</v>
      </c>
    </row>
    <row r="1940" spans="1:5" x14ac:dyDescent="0.2">
      <c r="A1940" s="5">
        <v>1879</v>
      </c>
      <c r="B1940" s="1832">
        <f>'Short-Term Long-Term Debt 24'!F49</f>
        <v>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89168</v>
      </c>
      <c r="D1972" s="2" t="str">
        <f t="shared" si="29"/>
        <v>Error?</v>
      </c>
    </row>
    <row r="1973" spans="1:5" x14ac:dyDescent="0.2">
      <c r="A1973" s="5">
        <v>1912</v>
      </c>
      <c r="B1973" s="1832">
        <f>'Rest Tax Levies-Tort Im 25'!H6</f>
        <v>79</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89247</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89247</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486404</v>
      </c>
      <c r="D2008" s="2" t="str">
        <f t="shared" si="30"/>
        <v>Error?</v>
      </c>
    </row>
    <row r="2009" spans="1:4" x14ac:dyDescent="0.2">
      <c r="A2009" s="5">
        <v>1948</v>
      </c>
      <c r="B2009" s="1832">
        <f>'Cap Outlay Deprec 26'!C8</f>
        <v>18502530</v>
      </c>
      <c r="D2009" s="2" t="str">
        <f t="shared" si="30"/>
        <v>Error?</v>
      </c>
    </row>
    <row r="2010" spans="1:4" x14ac:dyDescent="0.2">
      <c r="A2010" s="5">
        <v>1949</v>
      </c>
      <c r="B2010" s="1832">
        <f>'Cap Outlay Deprec 26'!C10</f>
        <v>4316069</v>
      </c>
      <c r="D2010" s="2" t="str">
        <f t="shared" si="30"/>
        <v>Error?</v>
      </c>
    </row>
    <row r="2011" spans="1:4" x14ac:dyDescent="0.2">
      <c r="A2011" s="5">
        <v>1950</v>
      </c>
      <c r="B2011" s="1832">
        <f>'Cap Outlay Deprec 26'!C12</f>
        <v>2672300</v>
      </c>
      <c r="D2011" s="2" t="str">
        <f t="shared" si="30"/>
        <v>Error?</v>
      </c>
    </row>
    <row r="2012" spans="1:4" x14ac:dyDescent="0.2">
      <c r="A2012" s="5">
        <v>1951</v>
      </c>
      <c r="B2012" s="1832">
        <f>'Cap Outlay Deprec 26'!C13</f>
        <v>1681236</v>
      </c>
      <c r="D2012" s="2" t="str">
        <f t="shared" si="30"/>
        <v>Error?</v>
      </c>
    </row>
    <row r="2013" spans="1:4" x14ac:dyDescent="0.2">
      <c r="A2013" s="5">
        <v>1952</v>
      </c>
      <c r="B2013" s="1832">
        <f>'Cap Outlay Deprec 26'!C16</f>
        <v>27681803</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1033582</v>
      </c>
      <c r="D2015" s="2" t="str">
        <f t="shared" si="30"/>
        <v>Error?</v>
      </c>
    </row>
    <row r="2016" spans="1:4" x14ac:dyDescent="0.2">
      <c r="A2016" s="5">
        <v>1955</v>
      </c>
      <c r="B2016" s="1832">
        <f>'Cap Outlay Deprec 26'!D10</f>
        <v>97600</v>
      </c>
      <c r="D2016" s="2" t="str">
        <f t="shared" si="30"/>
        <v>Error?</v>
      </c>
    </row>
    <row r="2017" spans="1:4" x14ac:dyDescent="0.2">
      <c r="A2017" s="5">
        <v>1956</v>
      </c>
      <c r="B2017" s="1832">
        <f>'Cap Outlay Deprec 26'!D12</f>
        <v>243838</v>
      </c>
      <c r="D2017" s="2" t="str">
        <f t="shared" si="30"/>
        <v>Error?</v>
      </c>
    </row>
    <row r="2018" spans="1:4" x14ac:dyDescent="0.2">
      <c r="A2018" s="5">
        <v>1957</v>
      </c>
      <c r="B2018" s="1832">
        <f>'Cap Outlay Deprec 26'!D13</f>
        <v>140500</v>
      </c>
      <c r="D2018" s="2" t="str">
        <f t="shared" si="30"/>
        <v>Error?</v>
      </c>
    </row>
    <row r="2019" spans="1:4" x14ac:dyDescent="0.2">
      <c r="A2019" s="5">
        <v>1958</v>
      </c>
      <c r="B2019" s="1832">
        <f>'Cap Outlay Deprec 26'!D16</f>
        <v>4525970</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194627</v>
      </c>
      <c r="D2023" s="2" t="str">
        <f t="shared" si="30"/>
        <v>Error?</v>
      </c>
    </row>
    <row r="2024" spans="1:4" x14ac:dyDescent="0.2">
      <c r="A2024" s="5">
        <v>1963</v>
      </c>
      <c r="B2024" s="1832">
        <f>'Cap Outlay Deprec 26'!E13</f>
        <v>111000</v>
      </c>
      <c r="D2024" s="2" t="str">
        <f t="shared" si="30"/>
        <v>Error?</v>
      </c>
    </row>
    <row r="2025" spans="1:4" x14ac:dyDescent="0.2">
      <c r="A2025" s="5">
        <v>1964</v>
      </c>
      <c r="B2025" s="1832">
        <f>'Cap Outlay Deprec 26'!E16</f>
        <v>305627</v>
      </c>
      <c r="C2025" s="2" t="s">
        <v>569</v>
      </c>
      <c r="D2025" s="2" t="str">
        <f t="shared" si="30"/>
        <v>Error?</v>
      </c>
    </row>
    <row r="2026" spans="1:4" x14ac:dyDescent="0.2">
      <c r="A2026" s="5">
        <v>1965</v>
      </c>
      <c r="B2026" s="1832">
        <f>'Cap Outlay Deprec 26'!F5</f>
        <v>486404</v>
      </c>
      <c r="C2026" s="2" t="s">
        <v>569</v>
      </c>
      <c r="D2026" s="2" t="str">
        <f t="shared" si="30"/>
        <v>Error?</v>
      </c>
    </row>
    <row r="2027" spans="1:4" x14ac:dyDescent="0.2">
      <c r="A2027" s="5">
        <v>1966</v>
      </c>
      <c r="B2027" s="1832">
        <f>'Cap Outlay Deprec 26'!F8</f>
        <v>19536112</v>
      </c>
      <c r="C2027" s="2" t="s">
        <v>569</v>
      </c>
      <c r="D2027" s="2" t="str">
        <f t="shared" si="30"/>
        <v>Error?</v>
      </c>
    </row>
    <row r="2028" spans="1:4" x14ac:dyDescent="0.2">
      <c r="A2028" s="5">
        <v>1967</v>
      </c>
      <c r="B2028" s="1832">
        <f>'Cap Outlay Deprec 26'!F10</f>
        <v>4413669</v>
      </c>
      <c r="C2028" s="2" t="s">
        <v>569</v>
      </c>
      <c r="D2028" s="2" t="str">
        <f t="shared" si="30"/>
        <v>Error?</v>
      </c>
    </row>
    <row r="2029" spans="1:4" x14ac:dyDescent="0.2">
      <c r="A2029" s="5">
        <v>1968</v>
      </c>
      <c r="B2029" s="1832">
        <f>'Cap Outlay Deprec 26'!F12</f>
        <v>2721511</v>
      </c>
      <c r="C2029" s="2" t="s">
        <v>569</v>
      </c>
      <c r="D2029" s="2" t="str">
        <f t="shared" si="30"/>
        <v>Error?</v>
      </c>
    </row>
    <row r="2030" spans="1:4" x14ac:dyDescent="0.2">
      <c r="A2030" s="5">
        <v>1969</v>
      </c>
      <c r="B2030" s="1832">
        <f>'Cap Outlay Deprec 26'!F13</f>
        <v>1710736</v>
      </c>
      <c r="C2030" s="2" t="s">
        <v>569</v>
      </c>
      <c r="D2030" s="2" t="str">
        <f t="shared" si="30"/>
        <v>Error?</v>
      </c>
    </row>
    <row r="2031" spans="1:4" x14ac:dyDescent="0.2">
      <c r="A2031" s="5">
        <v>1970</v>
      </c>
      <c r="B2031" s="1832">
        <f>'Cap Outlay Deprec 26'!F16</f>
        <v>31902146</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9868361</v>
      </c>
      <c r="D2033" s="2" t="str">
        <f t="shared" si="30"/>
        <v>Error?</v>
      </c>
    </row>
    <row r="2034" spans="1:4" x14ac:dyDescent="0.2">
      <c r="A2034" s="5">
        <v>1973</v>
      </c>
      <c r="B2034" s="1832">
        <f>'Cap Outlay Deprec 26'!H10</f>
        <v>2226663</v>
      </c>
      <c r="D2034" s="2" t="str">
        <f t="shared" si="30"/>
        <v>Error?</v>
      </c>
    </row>
    <row r="2035" spans="1:4" x14ac:dyDescent="0.2">
      <c r="A2035" s="5">
        <v>1974</v>
      </c>
      <c r="B2035" s="1832">
        <f>'Cap Outlay Deprec 26'!H12</f>
        <v>1637428</v>
      </c>
      <c r="D2035" s="2" t="str">
        <f t="shared" si="30"/>
        <v>Error?</v>
      </c>
    </row>
    <row r="2036" spans="1:4" x14ac:dyDescent="0.2">
      <c r="A2036" s="5">
        <v>1975</v>
      </c>
      <c r="B2036" s="1832">
        <f>'Cap Outlay Deprec 26'!H13</f>
        <v>1470818</v>
      </c>
      <c r="D2036" s="2" t="str">
        <f t="shared" si="30"/>
        <v>Error?</v>
      </c>
    </row>
    <row r="2037" spans="1:4" x14ac:dyDescent="0.2">
      <c r="A2037" s="5">
        <v>1976</v>
      </c>
      <c r="B2037" s="1832">
        <f>'Cap Outlay Deprec 26'!H16</f>
        <v>15213726</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390722</v>
      </c>
      <c r="D2039" s="2" t="str">
        <f t="shared" si="30"/>
        <v>Error?</v>
      </c>
    </row>
    <row r="2040" spans="1:4" x14ac:dyDescent="0.2">
      <c r="A2040" s="5">
        <v>1979</v>
      </c>
      <c r="B2040" s="1832">
        <f>'Cap Outlay Deprec 26'!I10</f>
        <v>169985</v>
      </c>
      <c r="D2040" s="2" t="str">
        <f t="shared" si="30"/>
        <v>Error?</v>
      </c>
    </row>
    <row r="2041" spans="1:4" x14ac:dyDescent="0.2">
      <c r="A2041" s="5">
        <v>1980</v>
      </c>
      <c r="B2041" s="1832">
        <f>'Cap Outlay Deprec 26'!I12</f>
        <v>272151</v>
      </c>
      <c r="D2041" s="2" t="str">
        <f t="shared" si="30"/>
        <v>Error?</v>
      </c>
    </row>
    <row r="2042" spans="1:4" x14ac:dyDescent="0.2">
      <c r="A2042" s="5">
        <v>1981</v>
      </c>
      <c r="B2042" s="1832">
        <f>'Cap Outlay Deprec 26'!I13</f>
        <v>106511</v>
      </c>
      <c r="D2042" s="2" t="str">
        <f t="shared" si="30"/>
        <v>Error?</v>
      </c>
    </row>
    <row r="2043" spans="1:4" x14ac:dyDescent="0.2">
      <c r="A2043" s="5">
        <v>1982</v>
      </c>
      <c r="B2043" s="1832">
        <f>'Cap Outlay Deprec 26'!I16</f>
        <v>949256</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194627</v>
      </c>
      <c r="D2047" s="2" t="str">
        <f t="shared" ref="D2047:D2110" si="31">IF(ISBLANK(B2047),"OK",IF(A2047-B2047=0,"OK","Error?"))</f>
        <v>Error?</v>
      </c>
    </row>
    <row r="2048" spans="1:4" x14ac:dyDescent="0.2">
      <c r="A2048" s="5">
        <v>1987</v>
      </c>
      <c r="B2048" s="1832">
        <f>'Cap Outlay Deprec 26'!J13</f>
        <v>111000</v>
      </c>
      <c r="D2048" s="2" t="str">
        <f t="shared" si="31"/>
        <v>Error?</v>
      </c>
    </row>
    <row r="2049" spans="1:4" x14ac:dyDescent="0.2">
      <c r="A2049" s="5">
        <v>1988</v>
      </c>
      <c r="B2049" s="1832">
        <f>'Cap Outlay Deprec 26'!J16</f>
        <v>305627</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10259083</v>
      </c>
      <c r="C2051" s="2" t="s">
        <v>569</v>
      </c>
      <c r="D2051" s="2" t="str">
        <f t="shared" si="31"/>
        <v>Error?</v>
      </c>
    </row>
    <row r="2052" spans="1:4" x14ac:dyDescent="0.2">
      <c r="A2052" s="5">
        <v>1991</v>
      </c>
      <c r="B2052" s="1832">
        <f>'Cap Outlay Deprec 26'!K10</f>
        <v>2396648</v>
      </c>
      <c r="C2052" s="2" t="s">
        <v>569</v>
      </c>
      <c r="D2052" s="2" t="str">
        <f t="shared" si="31"/>
        <v>Error?</v>
      </c>
    </row>
    <row r="2053" spans="1:4" x14ac:dyDescent="0.2">
      <c r="A2053" s="5">
        <v>1992</v>
      </c>
      <c r="B2053" s="1832">
        <f>'Cap Outlay Deprec 26'!K12</f>
        <v>1714952</v>
      </c>
      <c r="C2053" s="2" t="s">
        <v>569</v>
      </c>
      <c r="D2053" s="2" t="str">
        <f t="shared" si="31"/>
        <v>Error?</v>
      </c>
    </row>
    <row r="2054" spans="1:4" x14ac:dyDescent="0.2">
      <c r="A2054" s="5">
        <v>1993</v>
      </c>
      <c r="B2054" s="1832">
        <f>'Cap Outlay Deprec 26'!K13</f>
        <v>1466329</v>
      </c>
      <c r="C2054" s="2" t="s">
        <v>569</v>
      </c>
      <c r="D2054" s="2" t="str">
        <f t="shared" si="31"/>
        <v>Error?</v>
      </c>
    </row>
    <row r="2055" spans="1:4" x14ac:dyDescent="0.2">
      <c r="A2055" s="5">
        <v>1994</v>
      </c>
      <c r="B2055" s="1832">
        <f>'Cap Outlay Deprec 26'!K16</f>
        <v>15857355</v>
      </c>
      <c r="C2055" s="2" t="s">
        <v>569</v>
      </c>
      <c r="D2055" s="2" t="str">
        <f t="shared" si="31"/>
        <v>Error?</v>
      </c>
    </row>
    <row r="2056" spans="1:4" x14ac:dyDescent="0.2">
      <c r="A2056" s="5">
        <v>1995</v>
      </c>
      <c r="B2056" s="1832">
        <f>'Cap Outlay Deprec 26'!L5</f>
        <v>486404</v>
      </c>
      <c r="C2056" s="2" t="s">
        <v>569</v>
      </c>
      <c r="D2056" s="2" t="str">
        <f t="shared" si="31"/>
        <v>Error?</v>
      </c>
    </row>
    <row r="2057" spans="1:4" x14ac:dyDescent="0.2">
      <c r="A2057" s="5">
        <v>1996</v>
      </c>
      <c r="B2057" s="1832">
        <f>'Cap Outlay Deprec 26'!L8</f>
        <v>9277029</v>
      </c>
      <c r="C2057" s="2" t="s">
        <v>569</v>
      </c>
      <c r="D2057" s="2" t="str">
        <f t="shared" si="31"/>
        <v>Error?</v>
      </c>
    </row>
    <row r="2058" spans="1:4" x14ac:dyDescent="0.2">
      <c r="A2058" s="5">
        <v>1997</v>
      </c>
      <c r="B2058" s="1832">
        <f>'Cap Outlay Deprec 26'!L10</f>
        <v>2017021</v>
      </c>
      <c r="C2058" s="2" t="s">
        <v>569</v>
      </c>
      <c r="D2058" s="2" t="str">
        <f t="shared" si="31"/>
        <v>Error?</v>
      </c>
    </row>
    <row r="2059" spans="1:4" x14ac:dyDescent="0.2">
      <c r="A2059" s="5">
        <v>1998</v>
      </c>
      <c r="B2059" s="1832">
        <f>'Cap Outlay Deprec 26'!L12</f>
        <v>1006559</v>
      </c>
      <c r="C2059" s="2" t="s">
        <v>569</v>
      </c>
      <c r="D2059" s="2" t="str">
        <f t="shared" si="31"/>
        <v>Error?</v>
      </c>
    </row>
    <row r="2060" spans="1:4" x14ac:dyDescent="0.2">
      <c r="A2060" s="5">
        <v>1999</v>
      </c>
      <c r="B2060" s="1832">
        <f>'Cap Outlay Deprec 26'!L13</f>
        <v>244407</v>
      </c>
      <c r="C2060" s="2" t="s">
        <v>569</v>
      </c>
      <c r="D2060" s="2" t="str">
        <f t="shared" si="31"/>
        <v>Error?</v>
      </c>
    </row>
    <row r="2061" spans="1:4" x14ac:dyDescent="0.2">
      <c r="A2061" s="5">
        <v>2000</v>
      </c>
      <c r="B2061" s="1832">
        <f>'Cap Outlay Deprec 26'!L16</f>
        <v>16044791</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0</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493703</v>
      </c>
      <c r="C2088" s="2" t="s">
        <v>569</v>
      </c>
      <c r="D2088" s="2" t="str">
        <f t="shared" si="31"/>
        <v>Error?</v>
      </c>
    </row>
    <row r="2089" spans="1:4" x14ac:dyDescent="0.2">
      <c r="A2089" s="5">
        <v>2028</v>
      </c>
      <c r="B2089" s="1832">
        <f>'Expenditures 15-22'!K92</f>
        <v>365299</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8892</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1900000</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0</v>
      </c>
      <c r="D2435" s="2" t="str">
        <f t="shared" si="37"/>
        <v>Error?</v>
      </c>
    </row>
    <row r="2436" spans="1:4" x14ac:dyDescent="0.2">
      <c r="A2436" s="10">
        <v>2375</v>
      </c>
      <c r="B2436" s="1832"/>
      <c r="D2436" s="2" t="str">
        <f t="shared" si="37"/>
        <v>OK</v>
      </c>
    </row>
    <row r="2437" spans="1:4" x14ac:dyDescent="0.2">
      <c r="A2437" s="5">
        <v>2376</v>
      </c>
      <c r="B2437" s="1832">
        <f>'Assets-Liab 5-6'!D38</f>
        <v>50000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310286</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0</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1761055</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8281958</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4065965</v>
      </c>
      <c r="C2553" s="2" t="s">
        <v>569</v>
      </c>
      <c r="D2553" s="2" t="str">
        <f t="shared" si="38"/>
        <v>Error?</v>
      </c>
    </row>
    <row r="2554" spans="1:4" x14ac:dyDescent="0.2">
      <c r="A2554" s="5">
        <v>2493</v>
      </c>
      <c r="B2554" s="1832">
        <f>'Acct Summary 7-8'!C7</f>
        <v>783992</v>
      </c>
      <c r="C2554" s="2" t="s">
        <v>569</v>
      </c>
      <c r="D2554" s="2" t="str">
        <f t="shared" si="38"/>
        <v>Error?</v>
      </c>
    </row>
    <row r="2555" spans="1:4" x14ac:dyDescent="0.2">
      <c r="A2555" s="5">
        <v>2494</v>
      </c>
      <c r="B2555" s="1832">
        <f>'Acct Summary 7-8'!C8</f>
        <v>13131915</v>
      </c>
      <c r="C2555" s="2" t="s">
        <v>569</v>
      </c>
      <c r="D2555" s="2" t="str">
        <f t="shared" si="38"/>
        <v>Error?</v>
      </c>
    </row>
    <row r="2556" spans="1:4" x14ac:dyDescent="0.2">
      <c r="A2556" s="5">
        <v>2495</v>
      </c>
      <c r="B2556" s="1832">
        <f>'Acct Summary 7-8'!C12</f>
        <v>8837667</v>
      </c>
      <c r="C2556" s="2" t="s">
        <v>569</v>
      </c>
      <c r="D2556" s="2" t="str">
        <f t="shared" si="38"/>
        <v>Error?</v>
      </c>
    </row>
    <row r="2557" spans="1:4" x14ac:dyDescent="0.2">
      <c r="A2557" s="5">
        <v>2496</v>
      </c>
      <c r="B2557" s="1832">
        <f>'Acct Summary 7-8'!C13</f>
        <v>3338795</v>
      </c>
      <c r="C2557" s="2" t="s">
        <v>569</v>
      </c>
      <c r="D2557" s="2" t="str">
        <f t="shared" si="38"/>
        <v>Error?</v>
      </c>
    </row>
    <row r="2558" spans="1:4" x14ac:dyDescent="0.2">
      <c r="A2558" s="5">
        <v>2497</v>
      </c>
      <c r="B2558" s="1832">
        <f>'Acct Summary 7-8'!C14</f>
        <v>2874</v>
      </c>
      <c r="C2558" s="2" t="s">
        <v>569</v>
      </c>
      <c r="D2558" s="2" t="str">
        <f t="shared" si="38"/>
        <v>Error?</v>
      </c>
    </row>
    <row r="2559" spans="1:4" x14ac:dyDescent="0.2">
      <c r="A2559" s="5">
        <v>2498</v>
      </c>
      <c r="B2559" s="1832">
        <f>'Acct Summary 7-8'!C15</f>
        <v>859002</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13038338</v>
      </c>
      <c r="C2561" s="2" t="s">
        <v>569</v>
      </c>
      <c r="D2561" s="2" t="str">
        <f t="shared" si="39"/>
        <v>Error?</v>
      </c>
    </row>
    <row r="2562" spans="1:4" x14ac:dyDescent="0.2">
      <c r="A2562" s="5">
        <v>2501</v>
      </c>
      <c r="B2562" s="1832">
        <f>'Acct Summary 7-8'!C20</f>
        <v>93577</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1228606</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50000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1278606</v>
      </c>
      <c r="C2568" s="2" t="s">
        <v>569</v>
      </c>
      <c r="D2568" s="2" t="str">
        <f t="shared" si="39"/>
        <v>Error?</v>
      </c>
    </row>
    <row r="2569" spans="1:4" x14ac:dyDescent="0.2">
      <c r="A2569" s="5">
        <v>2508</v>
      </c>
      <c r="B2569" s="1832">
        <f>'Acct Summary 7-8'!D13</f>
        <v>940956</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8892</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949848</v>
      </c>
      <c r="C2573" s="2" t="s">
        <v>569</v>
      </c>
      <c r="D2573" s="2" t="str">
        <f t="shared" si="39"/>
        <v>Error?</v>
      </c>
    </row>
    <row r="2574" spans="1:4" x14ac:dyDescent="0.2">
      <c r="A2574" s="5">
        <v>2513</v>
      </c>
      <c r="B2574" s="1832">
        <f>'Acct Summary 7-8'!D20</f>
        <v>328758</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464222</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286173</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750395</v>
      </c>
      <c r="C2595" s="2" t="s">
        <v>569</v>
      </c>
      <c r="D2595" s="2" t="str">
        <f t="shared" si="39"/>
        <v>Error?</v>
      </c>
    </row>
    <row r="2596" spans="1:4" x14ac:dyDescent="0.2">
      <c r="A2596" s="5">
        <v>2535</v>
      </c>
      <c r="B2596" s="1832">
        <f>'Acct Summary 7-8'!F13</f>
        <v>652459</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652459</v>
      </c>
      <c r="C2600" s="2" t="s">
        <v>569</v>
      </c>
      <c r="D2600" s="2" t="str">
        <f t="shared" si="39"/>
        <v>Error?</v>
      </c>
    </row>
    <row r="2601" spans="1:4" x14ac:dyDescent="0.2">
      <c r="A2601" s="5">
        <v>2540</v>
      </c>
      <c r="B2601" s="1832">
        <f>'Acct Summary 7-8'!F20</f>
        <v>97936</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555596</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555596</v>
      </c>
      <c r="C2606" s="2" t="s">
        <v>569</v>
      </c>
      <c r="D2606" s="2" t="str">
        <f t="shared" si="39"/>
        <v>Error?</v>
      </c>
    </row>
    <row r="2607" spans="1:4" x14ac:dyDescent="0.2">
      <c r="A2607" s="5">
        <v>2546</v>
      </c>
      <c r="B2607" s="1832">
        <f>'Acct Summary 7-8'!G12</f>
        <v>177762</v>
      </c>
      <c r="C2607" s="2" t="s">
        <v>569</v>
      </c>
      <c r="D2607" s="2" t="str">
        <f t="shared" si="39"/>
        <v>Error?</v>
      </c>
    </row>
    <row r="2608" spans="1:4" x14ac:dyDescent="0.2">
      <c r="A2608" s="5">
        <v>2547</v>
      </c>
      <c r="B2608" s="1832">
        <f>'Acct Summary 7-8'!G13</f>
        <v>276070</v>
      </c>
      <c r="C2608" s="2" t="s">
        <v>569</v>
      </c>
      <c r="D2608" s="2" t="str">
        <f t="shared" si="39"/>
        <v>Error?</v>
      </c>
    </row>
    <row r="2609" spans="1:4" x14ac:dyDescent="0.2">
      <c r="A2609" s="5">
        <v>2548</v>
      </c>
      <c r="B2609" s="1832">
        <f>'Acct Summary 7-8'!G14</f>
        <v>15</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453847</v>
      </c>
      <c r="C2612" s="2" t="s">
        <v>569</v>
      </c>
      <c r="D2612" s="2" t="str">
        <f t="shared" si="39"/>
        <v>Error?</v>
      </c>
    </row>
    <row r="2613" spans="1:4" x14ac:dyDescent="0.2">
      <c r="A2613" s="5">
        <v>2552</v>
      </c>
      <c r="B2613" s="1832">
        <f>'Acct Summary 7-8'!G20</f>
        <v>101749</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900372</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900372</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1039507</v>
      </c>
      <c r="C2634" s="2" t="s">
        <v>569</v>
      </c>
      <c r="D2634" s="2" t="str">
        <f t="shared" si="40"/>
        <v>Error?</v>
      </c>
    </row>
    <row r="2635" spans="1:4" x14ac:dyDescent="0.2">
      <c r="A2635" s="5">
        <v>2574</v>
      </c>
      <c r="B2635" s="1832">
        <f>'Acct Summary 7-8'!E17</f>
        <v>1039507</v>
      </c>
      <c r="C2635" s="2" t="s">
        <v>569</v>
      </c>
      <c r="D2635" s="2" t="str">
        <f t="shared" si="40"/>
        <v>Error?</v>
      </c>
    </row>
    <row r="2636" spans="1:4" x14ac:dyDescent="0.2">
      <c r="A2636" s="5">
        <v>2575</v>
      </c>
      <c r="B2636" s="1832">
        <f>'Acct Summary 7-8'!E20</f>
        <v>-139135</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445300</v>
      </c>
      <c r="C2655" s="2" t="s">
        <v>569</v>
      </c>
      <c r="D2655" s="2" t="str">
        <f t="shared" si="40"/>
        <v>Error?</v>
      </c>
    </row>
    <row r="2656" spans="1:4" x14ac:dyDescent="0.2">
      <c r="A2656" s="5">
        <v>2595</v>
      </c>
      <c r="B2656" s="1832">
        <f>'Acct Summary 7-8'!H6</f>
        <v>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445300</v>
      </c>
      <c r="C2658" s="2" t="s">
        <v>569</v>
      </c>
      <c r="D2658" s="2" t="str">
        <f t="shared" si="40"/>
        <v>Error?</v>
      </c>
    </row>
    <row r="2659" spans="1:4" x14ac:dyDescent="0.2">
      <c r="A2659" s="5">
        <v>2598</v>
      </c>
      <c r="B2659" s="1832">
        <f>'Acct Summary 7-8'!H13</f>
        <v>3997142</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3997142</v>
      </c>
      <c r="C2661" s="2" t="s">
        <v>569</v>
      </c>
      <c r="D2661" s="2" t="str">
        <f t="shared" si="40"/>
        <v>Error?</v>
      </c>
    </row>
    <row r="2662" spans="1:4" x14ac:dyDescent="0.2">
      <c r="A2662" s="5">
        <v>2601</v>
      </c>
      <c r="B2662" s="1832">
        <f>'Acct Summary 7-8'!H20</f>
        <v>-3551842</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0</v>
      </c>
      <c r="D2718" s="2" t="str">
        <f t="shared" si="41"/>
        <v>Error?</v>
      </c>
    </row>
    <row r="2719" spans="1:4" x14ac:dyDescent="0.2">
      <c r="A2719" s="5">
        <v>2658</v>
      </c>
      <c r="B2719" s="1832">
        <f>'Expenditures 15-22'!D51</f>
        <v>0</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0</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0</v>
      </c>
      <c r="C2724" s="2" t="s">
        <v>569</v>
      </c>
      <c r="D2724" s="2" t="str">
        <f t="shared" si="41"/>
        <v>Error?</v>
      </c>
    </row>
    <row r="2725" spans="1:4" x14ac:dyDescent="0.2">
      <c r="A2725" s="5">
        <v>2664</v>
      </c>
      <c r="B2725" s="1832">
        <f>'Expenditures 15-22'!D247</f>
        <v>0</v>
      </c>
      <c r="D2725" s="2" t="str">
        <f t="shared" si="41"/>
        <v>Error?</v>
      </c>
    </row>
    <row r="2726" spans="1:4" x14ac:dyDescent="0.2">
      <c r="A2726" s="5">
        <v>2665</v>
      </c>
      <c r="B2726" s="1832">
        <f>'Expenditures 15-22'!K247</f>
        <v>0</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1994</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493703</v>
      </c>
      <c r="C2789" s="2" t="s">
        <v>569</v>
      </c>
      <c r="D2789" s="2" t="str">
        <f t="shared" si="42"/>
        <v>Error?</v>
      </c>
    </row>
    <row r="2790" spans="1:4" x14ac:dyDescent="0.2">
      <c r="A2790" s="5">
        <v>2729</v>
      </c>
      <c r="B2790" s="1832">
        <f>'Expenditures 15-22'!E102</f>
        <v>493703</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3000000</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1127962</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1164973</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1127962</v>
      </c>
      <c r="D2912" s="2" t="str">
        <f t="shared" si="44"/>
        <v>Error?</v>
      </c>
    </row>
    <row r="2913" spans="1:4" x14ac:dyDescent="0.2">
      <c r="A2913" s="5">
        <v>2852</v>
      </c>
      <c r="B2913" s="1832">
        <f>'Assets-Liab 5-6'!I41</f>
        <v>1127962</v>
      </c>
      <c r="C2913" s="2" t="s">
        <v>569</v>
      </c>
      <c r="D2913" s="2" t="str">
        <f t="shared" si="44"/>
        <v>Error?</v>
      </c>
    </row>
    <row r="2914" spans="1:4" x14ac:dyDescent="0.2">
      <c r="A2914" s="5">
        <v>2853</v>
      </c>
      <c r="B2914" s="1832">
        <f>'Assets-Liab 5-6'!L33</f>
        <v>268232</v>
      </c>
      <c r="D2914" s="2" t="str">
        <f t="shared" si="44"/>
        <v>Error?</v>
      </c>
    </row>
    <row r="2915" spans="1:4" x14ac:dyDescent="0.2">
      <c r="A2915" s="10">
        <v>2854</v>
      </c>
      <c r="B2915" s="1832"/>
      <c r="D2915" s="2" t="str">
        <f t="shared" si="44"/>
        <v>OK</v>
      </c>
    </row>
    <row r="2916" spans="1:4" x14ac:dyDescent="0.2">
      <c r="A2916" s="5">
        <v>2855</v>
      </c>
      <c r="B2916" s="1832">
        <f>'Assets-Liab 5-6'!L34</f>
        <v>268232</v>
      </c>
      <c r="C2916" s="2" t="s">
        <v>569</v>
      </c>
      <c r="D2916" s="2" t="str">
        <f t="shared" si="44"/>
        <v>Error?</v>
      </c>
    </row>
    <row r="2917" spans="1:4" x14ac:dyDescent="0.2">
      <c r="A2917" s="5">
        <v>2856</v>
      </c>
      <c r="B2917" s="1832">
        <f>'Assets-Liab 5-6'!L41</f>
        <v>1164973</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477268</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15039</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1396</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0</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0</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569</v>
      </c>
      <c r="D2973" s="2" t="str">
        <f t="shared" si="45"/>
        <v>Error?</v>
      </c>
    </row>
    <row r="2974" spans="1:4" x14ac:dyDescent="0.2">
      <c r="A2974" s="5">
        <v>2913</v>
      </c>
      <c r="B2974" s="1832">
        <f>'Expenditures 15-22'!K79</f>
        <v>477268</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15039</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1396</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8892</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1994</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171581</v>
      </c>
      <c r="D3055" s="2" t="str">
        <f t="shared" si="46"/>
        <v>Error?</v>
      </c>
    </row>
    <row r="3056" spans="1:4" x14ac:dyDescent="0.2">
      <c r="A3056" s="5">
        <v>2995</v>
      </c>
      <c r="B3056" s="1832">
        <f>'Expenditures 15-22'!D10</f>
        <v>45746</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0</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217327</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14193</v>
      </c>
      <c r="D3064" s="2" t="str">
        <f t="shared" si="46"/>
        <v>Error?</v>
      </c>
    </row>
    <row r="3065" spans="1:4" x14ac:dyDescent="0.2">
      <c r="A3065" s="5">
        <v>3004</v>
      </c>
      <c r="B3065" s="1832">
        <f>'Expenditures 15-22'!K219</f>
        <v>14193</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896741</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156425</v>
      </c>
      <c r="C3225" s="2" t="s">
        <v>569</v>
      </c>
      <c r="D3225" s="2" t="str">
        <f t="shared" si="49"/>
        <v>Error?</v>
      </c>
    </row>
    <row r="3226" spans="1:4" x14ac:dyDescent="0.2">
      <c r="A3226" s="5">
        <v>3165</v>
      </c>
      <c r="B3226" s="1832">
        <f>'Acct Summary 7-8'!I8</f>
        <v>156425</v>
      </c>
      <c r="C3226" s="2" t="s">
        <v>569</v>
      </c>
      <c r="D3226" s="2" t="str">
        <f t="shared" si="49"/>
        <v>Error?</v>
      </c>
    </row>
    <row r="3227" spans="1:4" x14ac:dyDescent="0.2">
      <c r="A3227" s="5">
        <v>3166</v>
      </c>
      <c r="B3227" s="1832">
        <f>'Acct Summary 7-8'!I20</f>
        <v>156425</v>
      </c>
      <c r="C3227" s="2" t="s">
        <v>569</v>
      </c>
      <c r="D3227" s="2" t="str">
        <f t="shared" si="49"/>
        <v>Error?</v>
      </c>
    </row>
    <row r="3228" spans="1:4" x14ac:dyDescent="0.2">
      <c r="A3228" s="5">
        <v>3167</v>
      </c>
      <c r="B3228" s="1832">
        <f>'Acct Summary 7-8'!C43</f>
        <v>137943</v>
      </c>
      <c r="D3228" s="2" t="str">
        <f t="shared" si="49"/>
        <v>Error?</v>
      </c>
    </row>
    <row r="3229" spans="1:4" x14ac:dyDescent="0.2">
      <c r="A3229" s="5">
        <v>3168</v>
      </c>
      <c r="B3229" s="1832">
        <f>'Acct Summary 7-8'!C44</f>
        <v>1637943</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146674</v>
      </c>
      <c r="C3231" s="2" t="s">
        <v>569</v>
      </c>
      <c r="D3231" s="2" t="str">
        <f t="shared" si="49"/>
        <v>Error?</v>
      </c>
    </row>
    <row r="3232" spans="1:4" x14ac:dyDescent="0.2">
      <c r="A3232" s="5">
        <v>3171</v>
      </c>
      <c r="B3232" s="1832">
        <f>'Acct Summary 7-8'!C77</f>
        <v>1491269</v>
      </c>
      <c r="C3232" s="2" t="s">
        <v>569</v>
      </c>
      <c r="D3232" s="2" t="str">
        <f t="shared" si="49"/>
        <v>Error?</v>
      </c>
    </row>
    <row r="3233" spans="1:4" x14ac:dyDescent="0.2">
      <c r="A3233" s="5">
        <v>3172</v>
      </c>
      <c r="B3233" s="1832">
        <f>'Acct Summary 7-8'!C78</f>
        <v>1584846</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200000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800000</v>
      </c>
      <c r="C3237" s="2" t="s">
        <v>569</v>
      </c>
      <c r="D3237" s="2" t="str">
        <f t="shared" si="49"/>
        <v>Error?</v>
      </c>
    </row>
    <row r="3238" spans="1:4" x14ac:dyDescent="0.2">
      <c r="A3238" s="5">
        <v>3177</v>
      </c>
      <c r="B3238" s="1832">
        <f>'Acct Summary 7-8'!D77</f>
        <v>-600000</v>
      </c>
      <c r="C3238" s="2" t="s">
        <v>569</v>
      </c>
      <c r="D3238" s="2" t="str">
        <f t="shared" si="49"/>
        <v>Error?</v>
      </c>
    </row>
    <row r="3239" spans="1:4" x14ac:dyDescent="0.2">
      <c r="A3239" s="5">
        <v>3178</v>
      </c>
      <c r="B3239" s="1832">
        <f>'Acct Summary 7-8'!D78</f>
        <v>-271242</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0</v>
      </c>
      <c r="C3255" s="2" t="s">
        <v>569</v>
      </c>
      <c r="D3255" s="2" t="str">
        <f t="shared" si="49"/>
        <v>Error?</v>
      </c>
    </row>
    <row r="3256" spans="1:4" x14ac:dyDescent="0.2">
      <c r="A3256" s="5">
        <v>3195</v>
      </c>
      <c r="B3256" s="1832">
        <f>'Acct Summary 7-8'!F78</f>
        <v>97936</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101749</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146674</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146674</v>
      </c>
      <c r="C3277" s="2" t="s">
        <v>569</v>
      </c>
      <c r="D3277" s="2" t="str">
        <f t="shared" si="50"/>
        <v>Error?</v>
      </c>
    </row>
    <row r="3278" spans="1:4" x14ac:dyDescent="0.2">
      <c r="A3278" s="5">
        <v>3217</v>
      </c>
      <c r="B3278" s="1832">
        <f>'Acct Summary 7-8'!E78</f>
        <v>7539</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4001000</v>
      </c>
      <c r="D3295" s="2" t="str">
        <f t="shared" si="50"/>
        <v>Error?</v>
      </c>
    </row>
    <row r="3296" spans="1:4" x14ac:dyDescent="0.2">
      <c r="A3296" s="5">
        <v>3235</v>
      </c>
      <c r="B3296" s="1832">
        <f>'Acct Summary 7-8'!H44</f>
        <v>5001000</v>
      </c>
      <c r="C3296" s="2" t="s">
        <v>569</v>
      </c>
      <c r="D3296" s="2" t="str">
        <f t="shared" si="50"/>
        <v>Error?</v>
      </c>
    </row>
    <row r="3297" spans="1:4" x14ac:dyDescent="0.2">
      <c r="A3297" s="5">
        <v>3236</v>
      </c>
      <c r="B3297" s="1832">
        <f>'Acct Summary 7-8'!H75</f>
        <v>0</v>
      </c>
      <c r="D3297" s="2" t="str">
        <f t="shared" si="50"/>
        <v>Error?</v>
      </c>
    </row>
    <row r="3298" spans="1:4" x14ac:dyDescent="0.2">
      <c r="A3298" s="5">
        <v>3237</v>
      </c>
      <c r="B3298" s="1832">
        <f>'Acct Summary 7-8'!H76</f>
        <v>0</v>
      </c>
      <c r="C3298" s="2" t="s">
        <v>569</v>
      </c>
      <c r="D3298" s="2" t="str">
        <f t="shared" si="50"/>
        <v>Error?</v>
      </c>
    </row>
    <row r="3299" spans="1:4" x14ac:dyDescent="0.2">
      <c r="A3299" s="5">
        <v>3238</v>
      </c>
      <c r="B3299" s="1832">
        <f>'Acct Summary 7-8'!H77</f>
        <v>5001000</v>
      </c>
      <c r="C3299" s="2" t="s">
        <v>569</v>
      </c>
      <c r="D3299" s="2" t="str">
        <f t="shared" si="50"/>
        <v>Error?</v>
      </c>
    </row>
    <row r="3300" spans="1:4" x14ac:dyDescent="0.2">
      <c r="A3300" s="5">
        <v>3239</v>
      </c>
      <c r="B3300" s="1832">
        <f>'Acct Summary 7-8'!H78</f>
        <v>1449158</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1900000</v>
      </c>
      <c r="C3318" s="2" t="s">
        <v>569</v>
      </c>
      <c r="D3318" s="2" t="str">
        <f t="shared" si="50"/>
        <v>Error?</v>
      </c>
    </row>
    <row r="3319" spans="1:4" x14ac:dyDescent="0.2">
      <c r="A3319" s="5">
        <v>3258</v>
      </c>
      <c r="B3319" s="1832">
        <f>'Acct Summary 7-8'!I77</f>
        <v>-1900000</v>
      </c>
      <c r="C3319" s="2" t="s">
        <v>569</v>
      </c>
      <c r="D3319" s="2" t="str">
        <f t="shared" si="50"/>
        <v>Error?</v>
      </c>
    </row>
    <row r="3320" spans="1:4" x14ac:dyDescent="0.2">
      <c r="A3320" s="5">
        <v>3259</v>
      </c>
      <c r="B3320" s="1832">
        <f>'Acct Summary 7-8'!I78</f>
        <v>-1743575</v>
      </c>
      <c r="C3320" s="2" t="s">
        <v>569</v>
      </c>
      <c r="D3320" s="2" t="str">
        <f t="shared" si="50"/>
        <v>Error?</v>
      </c>
    </row>
    <row r="3321" spans="1:4" x14ac:dyDescent="0.2">
      <c r="A3321" s="5">
        <v>3260</v>
      </c>
      <c r="B3321" s="1832">
        <f>'Acct Summary 7-8'!I79</f>
        <v>2871537</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1127962</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984371</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152261</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206</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6309</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504</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1143651</v>
      </c>
      <c r="C3380" s="2" t="s">
        <v>569</v>
      </c>
      <c r="D3380" s="2" t="str">
        <f t="shared" si="51"/>
        <v>Error?</v>
      </c>
    </row>
    <row r="3381" spans="1:4" x14ac:dyDescent="0.2">
      <c r="A3381" s="5">
        <v>3320</v>
      </c>
      <c r="B3381" s="1832">
        <f>'Expenditures 15-22'!K19</f>
        <v>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76658</v>
      </c>
      <c r="D3387" s="2" t="str">
        <f t="shared" si="51"/>
        <v>Error?</v>
      </c>
    </row>
    <row r="3388" spans="1:4" x14ac:dyDescent="0.2">
      <c r="A3388" s="5">
        <v>3327</v>
      </c>
      <c r="B3388" s="1832">
        <f>'Expenditures 15-22'!D217</f>
        <v>66894</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76658</v>
      </c>
      <c r="C3390" s="2" t="s">
        <v>569</v>
      </c>
      <c r="D3390" s="2" t="str">
        <f t="shared" si="51"/>
        <v>Error?</v>
      </c>
    </row>
    <row r="3391" spans="1:4" x14ac:dyDescent="0.2">
      <c r="A3391" s="5">
        <v>3330</v>
      </c>
      <c r="B3391" s="1832">
        <f>'Expenditures 15-22'!K217</f>
        <v>66894</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3500688</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2956429</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63291</v>
      </c>
      <c r="D3417" s="2" t="str">
        <f t="shared" si="52"/>
        <v>Error?</v>
      </c>
    </row>
    <row r="3418" spans="1:4" x14ac:dyDescent="0.2">
      <c r="A3418" s="10">
        <v>3357</v>
      </c>
      <c r="B3418" s="1832"/>
      <c r="D3418" s="2" t="str">
        <f t="shared" si="52"/>
        <v>OK</v>
      </c>
    </row>
    <row r="3419" spans="1:4" x14ac:dyDescent="0.2">
      <c r="A3419" s="5">
        <v>3358</v>
      </c>
      <c r="B3419" s="1832">
        <f>'Assets-Liab 5-6'!F4</f>
        <v>1431337</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615867</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1761055</v>
      </c>
      <c r="D3425" s="2" t="str">
        <f t="shared" si="52"/>
        <v>Error?</v>
      </c>
    </row>
    <row r="3426" spans="1:4" x14ac:dyDescent="0.2">
      <c r="A3426" s="10">
        <v>3365</v>
      </c>
      <c r="B3426" s="1832"/>
      <c r="D3426" s="2" t="str">
        <f t="shared" si="52"/>
        <v>OK</v>
      </c>
    </row>
    <row r="3427" spans="1:4" x14ac:dyDescent="0.2">
      <c r="A3427" s="5">
        <v>3366</v>
      </c>
      <c r="B3427" s="1832">
        <f>'Assets-Liab 5-6'!I4</f>
        <v>1127962</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1164973</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279542</v>
      </c>
      <c r="C3446" s="2" t="s">
        <v>569</v>
      </c>
      <c r="D3446" s="2" t="str">
        <f t="shared" si="52"/>
        <v>Error?</v>
      </c>
    </row>
    <row r="3447" spans="1:4" x14ac:dyDescent="0.2">
      <c r="A3447" s="5">
        <v>3386</v>
      </c>
      <c r="B3447" s="1832">
        <f>'Tax Sched 23'!D16</f>
        <v>279508</v>
      </c>
      <c r="C3447" s="2" t="s">
        <v>569</v>
      </c>
      <c r="D3447" s="2" t="str">
        <f t="shared" si="52"/>
        <v>Error?</v>
      </c>
    </row>
    <row r="3448" spans="1:4" x14ac:dyDescent="0.2">
      <c r="A3448" s="5">
        <v>3387</v>
      </c>
      <c r="B3448" s="1832">
        <f>'Tax Sched 23'!C16</f>
        <v>34</v>
      </c>
      <c r="D3448" s="2" t="str">
        <f t="shared" si="52"/>
        <v>Error?</v>
      </c>
    </row>
    <row r="3449" spans="1:4" x14ac:dyDescent="0.2">
      <c r="A3449" s="5">
        <v>3388</v>
      </c>
      <c r="B3449" s="1832">
        <f>'Tax Sched 23'!F16</f>
        <v>280072</v>
      </c>
      <c r="C3449" s="2" t="s">
        <v>569</v>
      </c>
      <c r="D3449" s="2" t="str">
        <f t="shared" si="52"/>
        <v>Error?</v>
      </c>
    </row>
    <row r="3450" spans="1:4" x14ac:dyDescent="0.2">
      <c r="A3450" s="5">
        <v>3389</v>
      </c>
      <c r="B3450" s="1832">
        <f>'Tax Sched 23'!E16</f>
        <v>280106</v>
      </c>
      <c r="D3450" s="2" t="str">
        <f t="shared" si="52"/>
        <v>Error?</v>
      </c>
    </row>
    <row r="3451" spans="1:4" x14ac:dyDescent="0.2">
      <c r="A3451" s="5">
        <v>3390</v>
      </c>
      <c r="B3451" s="1832">
        <f>'Cap Outlay Deprec 26'!C15</f>
        <v>0</v>
      </c>
      <c r="D3451" s="2" t="str">
        <f t="shared" si="52"/>
        <v>Error?</v>
      </c>
    </row>
    <row r="3452" spans="1:4" x14ac:dyDescent="0.2">
      <c r="A3452" s="5">
        <v>3391</v>
      </c>
      <c r="B3452" s="1832">
        <f>'Cap Outlay Deprec 26'!D15</f>
        <v>3000000</v>
      </c>
      <c r="D3452" s="2" t="str">
        <f t="shared" si="52"/>
        <v>Error?</v>
      </c>
    </row>
    <row r="3453" spans="1:4" x14ac:dyDescent="0.2">
      <c r="A3453" s="5">
        <v>3392</v>
      </c>
      <c r="B3453" s="1832">
        <f>'Cap Outlay Deprec 26'!E15</f>
        <v>0</v>
      </c>
      <c r="D3453" s="2" t="str">
        <f t="shared" si="52"/>
        <v>Error?</v>
      </c>
    </row>
    <row r="3454" spans="1:4" x14ac:dyDescent="0.2">
      <c r="A3454" s="5">
        <v>3393</v>
      </c>
      <c r="B3454" s="1832">
        <f>'Cap Outlay Deprec 26'!F15</f>
        <v>3000000</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3000000</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1994</v>
      </c>
      <c r="E3521" s="4" t="s">
        <v>134</v>
      </c>
    </row>
    <row r="3522" spans="1:5" x14ac:dyDescent="0.2">
      <c r="A3522" s="10">
        <v>3461</v>
      </c>
      <c r="B3522" s="1832"/>
      <c r="D3522" s="4" t="s">
        <v>1994</v>
      </c>
      <c r="E3522" s="4" t="s">
        <v>134</v>
      </c>
    </row>
    <row r="3523" spans="1:5" x14ac:dyDescent="0.2">
      <c r="A3523" s="10">
        <v>3462</v>
      </c>
      <c r="B3523" s="1832"/>
      <c r="D3523" s="4" t="s">
        <v>1994</v>
      </c>
      <c r="E3523" s="4" t="s">
        <v>134</v>
      </c>
    </row>
    <row r="3524" spans="1:5" x14ac:dyDescent="0.2">
      <c r="A3524" s="10">
        <v>3463</v>
      </c>
      <c r="B3524" s="1832"/>
      <c r="D3524" s="4" t="s">
        <v>1994</v>
      </c>
      <c r="E3524" s="4" t="s">
        <v>134</v>
      </c>
    </row>
    <row r="3525" spans="1:5" x14ac:dyDescent="0.2">
      <c r="A3525" s="10">
        <v>3464</v>
      </c>
      <c r="B3525" s="1832"/>
      <c r="D3525" s="4" t="s">
        <v>1994</v>
      </c>
      <c r="E3525" s="4" t="s">
        <v>134</v>
      </c>
    </row>
    <row r="3526" spans="1:5" x14ac:dyDescent="0.2">
      <c r="A3526" s="10">
        <v>3465</v>
      </c>
      <c r="B3526" s="1832"/>
      <c r="D3526" s="4" t="s">
        <v>1994</v>
      </c>
      <c r="E3526" s="4" t="s">
        <v>134</v>
      </c>
    </row>
    <row r="3527" spans="1:5" x14ac:dyDescent="0.2">
      <c r="A3527" s="10">
        <v>3466</v>
      </c>
      <c r="B3527" s="1832"/>
      <c r="D3527" s="4" t="s">
        <v>1994</v>
      </c>
      <c r="E3527" s="4" t="s">
        <v>134</v>
      </c>
    </row>
    <row r="3528" spans="1:5" x14ac:dyDescent="0.2">
      <c r="A3528" s="10">
        <v>3467</v>
      </c>
      <c r="B3528" s="1832"/>
      <c r="D3528" s="4" t="s">
        <v>1994</v>
      </c>
      <c r="E3528" s="4" t="s">
        <v>134</v>
      </c>
    </row>
    <row r="3529" spans="1:5" x14ac:dyDescent="0.2">
      <c r="A3529" s="10">
        <v>3468</v>
      </c>
      <c r="B3529" s="1832"/>
      <c r="D3529" s="4" t="s">
        <v>1994</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397677</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397677</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397677</v>
      </c>
      <c r="D3567" s="2" t="str">
        <f t="shared" si="54"/>
        <v>Error?</v>
      </c>
    </row>
    <row r="3568" spans="1:4" x14ac:dyDescent="0.2">
      <c r="A3568" s="5">
        <v>3507</v>
      </c>
      <c r="B3568" s="1832">
        <f>'Assets-Liab 5-6'!K41</f>
        <v>397677</v>
      </c>
      <c r="C3568" s="2" t="s">
        <v>569</v>
      </c>
      <c r="D3568" s="2" t="str">
        <f t="shared" si="54"/>
        <v>Error?</v>
      </c>
    </row>
    <row r="3569" spans="1:4" x14ac:dyDescent="0.2">
      <c r="A3569" s="5">
        <v>3508</v>
      </c>
      <c r="B3569" s="1832">
        <f>'Acct Summary 7-8'!K4</f>
        <v>115389</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115389</v>
      </c>
      <c r="C3571" s="2" t="s">
        <v>569</v>
      </c>
      <c r="D3571" s="2" t="str">
        <f t="shared" si="54"/>
        <v>Error?</v>
      </c>
    </row>
    <row r="3572" spans="1:4" x14ac:dyDescent="0.2">
      <c r="A3572" s="5">
        <v>3511</v>
      </c>
      <c r="B3572" s="1832">
        <f>'Acct Summary 7-8'!K13</f>
        <v>5430</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5430</v>
      </c>
      <c r="C3575" s="2" t="s">
        <v>569</v>
      </c>
      <c r="D3575" s="2" t="str">
        <f t="shared" si="54"/>
        <v>Error?</v>
      </c>
    </row>
    <row r="3576" spans="1:4" x14ac:dyDescent="0.2">
      <c r="A3576" s="5">
        <v>3515</v>
      </c>
      <c r="B3576" s="1832">
        <f>'Acct Summary 7-8'!K20</f>
        <v>109959</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109959</v>
      </c>
      <c r="C3588" s="2" t="s">
        <v>569</v>
      </c>
      <c r="D3588" s="2" t="str">
        <f t="shared" si="55"/>
        <v>Error?</v>
      </c>
    </row>
    <row r="3589" spans="1:4" x14ac:dyDescent="0.2">
      <c r="A3589" s="5">
        <v>3528</v>
      </c>
      <c r="B3589" s="1832">
        <f>'Acct Summary 7-8'!K79</f>
        <v>287718</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397677</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2255</v>
      </c>
      <c r="D3632" s="2" t="str">
        <f t="shared" si="55"/>
        <v>Error?</v>
      </c>
    </row>
    <row r="3633" spans="1:4" x14ac:dyDescent="0.2">
      <c r="A3633" s="5">
        <v>3572</v>
      </c>
      <c r="B3633" s="1832">
        <f>'Expenditures 15-22'!E350</f>
        <v>2255</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2255</v>
      </c>
      <c r="C3635" s="2" t="s">
        <v>569</v>
      </c>
      <c r="D3635" s="2" t="str">
        <f t="shared" si="55"/>
        <v>Error?</v>
      </c>
    </row>
    <row r="3636" spans="1:4" x14ac:dyDescent="0.2">
      <c r="A3636" s="5">
        <v>3575</v>
      </c>
      <c r="B3636" s="1832">
        <f>'Expenditures 15-22'!E367</f>
        <v>2255</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3175</v>
      </c>
      <c r="D3639" s="2" t="str">
        <f t="shared" si="55"/>
        <v>Error?</v>
      </c>
    </row>
    <row r="3640" spans="1:4" x14ac:dyDescent="0.2">
      <c r="A3640" s="5">
        <v>3579</v>
      </c>
      <c r="B3640" s="1832">
        <f>'Expenditures 15-22'!F350</f>
        <v>3175</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3175</v>
      </c>
      <c r="C3642" s="2" t="s">
        <v>569</v>
      </c>
      <c r="D3642" s="2" t="str">
        <f t="shared" si="55"/>
        <v>Error?</v>
      </c>
    </row>
    <row r="3643" spans="1:4" x14ac:dyDescent="0.2">
      <c r="A3643" s="5">
        <v>3582</v>
      </c>
      <c r="B3643" s="1832">
        <f>'Expenditures 15-22'!F367</f>
        <v>3175</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0</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0</v>
      </c>
      <c r="C3649" s="2" t="s">
        <v>569</v>
      </c>
      <c r="D3649" s="2" t="str">
        <f t="shared" si="56"/>
        <v>Error?</v>
      </c>
    </row>
    <row r="3650" spans="1:4" x14ac:dyDescent="0.2">
      <c r="A3650" s="5">
        <v>3589</v>
      </c>
      <c r="B3650" s="1832">
        <f>'Expenditures 15-22'!G367</f>
        <v>0</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5430</v>
      </c>
      <c r="C3669" s="2" t="s">
        <v>569</v>
      </c>
      <c r="D3669" s="2" t="str">
        <f t="shared" si="56"/>
        <v>Error?</v>
      </c>
    </row>
    <row r="3670" spans="1:4" x14ac:dyDescent="0.2">
      <c r="A3670" s="5">
        <v>3609</v>
      </c>
      <c r="B3670" s="1832">
        <f>'Expenditures 15-22'!K350</f>
        <v>5430</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5430</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5430</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109959</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111459</v>
      </c>
      <c r="C3725" s="2" t="s">
        <v>569</v>
      </c>
      <c r="D3725" s="2" t="str">
        <f t="shared" si="57"/>
        <v>Error?</v>
      </c>
    </row>
    <row r="3726" spans="1:4" x14ac:dyDescent="0.2">
      <c r="A3726" s="5">
        <v>3665</v>
      </c>
      <c r="B3726" s="1832">
        <f>'Tax Sched 23'!D13</f>
        <v>111446</v>
      </c>
      <c r="C3726" s="2" t="s">
        <v>569</v>
      </c>
      <c r="D3726" s="2" t="str">
        <f t="shared" si="57"/>
        <v>Error?</v>
      </c>
    </row>
    <row r="3727" spans="1:4" x14ac:dyDescent="0.2">
      <c r="A3727" s="5">
        <v>3666</v>
      </c>
      <c r="B3727" s="1832">
        <f>'Tax Sched 23'!C13</f>
        <v>13</v>
      </c>
      <c r="D3727" s="2" t="str">
        <f t="shared" si="57"/>
        <v>Error?</v>
      </c>
    </row>
    <row r="3728" spans="1:4" x14ac:dyDescent="0.2">
      <c r="A3728" s="5">
        <v>3667</v>
      </c>
      <c r="B3728" s="1832">
        <f>'Tax Sched 23'!F13</f>
        <v>111229</v>
      </c>
      <c r="C3728" s="2" t="s">
        <v>569</v>
      </c>
      <c r="D3728" s="2" t="str">
        <f t="shared" si="57"/>
        <v>Error?</v>
      </c>
    </row>
    <row r="3729" spans="1:4" x14ac:dyDescent="0.2">
      <c r="A3729" s="5">
        <v>3668</v>
      </c>
      <c r="B3729" s="1832">
        <f>'Tax Sched 23'!E13</f>
        <v>111242</v>
      </c>
      <c r="D3729" s="2" t="str">
        <f t="shared" si="57"/>
        <v>Error?</v>
      </c>
    </row>
    <row r="3730" spans="1:4" x14ac:dyDescent="0.2">
      <c r="A3730" s="5">
        <v>3669</v>
      </c>
      <c r="B3730" s="1832">
        <f>'ICR Computation 30'!E10</f>
        <v>220373</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6018553</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19150468</v>
      </c>
      <c r="C4122" s="2" t="s">
        <v>569</v>
      </c>
      <c r="D4122" s="2" t="str">
        <f t="shared" si="63"/>
        <v>Error?</v>
      </c>
    </row>
    <row r="4123" spans="1:4" x14ac:dyDescent="0.2">
      <c r="A4123" s="5">
        <v>4062</v>
      </c>
      <c r="B4123" s="1832">
        <f>'Acct Summary 7-8'!D10</f>
        <v>1278606</v>
      </c>
      <c r="C4123" s="2" t="s">
        <v>569</v>
      </c>
      <c r="D4123" s="2" t="str">
        <f t="shared" si="63"/>
        <v>Error?</v>
      </c>
    </row>
    <row r="4124" spans="1:4" x14ac:dyDescent="0.2">
      <c r="A4124" s="5">
        <v>4063</v>
      </c>
      <c r="B4124" s="1832">
        <f>'Acct Summary 7-8'!E10</f>
        <v>900372</v>
      </c>
      <c r="C4124" s="2" t="s">
        <v>569</v>
      </c>
      <c r="D4124" s="2" t="str">
        <f t="shared" si="63"/>
        <v>Error?</v>
      </c>
    </row>
    <row r="4125" spans="1:4" x14ac:dyDescent="0.2">
      <c r="A4125" s="5">
        <v>4064</v>
      </c>
      <c r="B4125" s="1832">
        <f>'Acct Summary 7-8'!F10</f>
        <v>750395</v>
      </c>
      <c r="C4125" s="2" t="s">
        <v>569</v>
      </c>
      <c r="D4125" s="2" t="str">
        <f t="shared" si="63"/>
        <v>Error?</v>
      </c>
    </row>
    <row r="4126" spans="1:4" x14ac:dyDescent="0.2">
      <c r="A4126" s="5">
        <v>4065</v>
      </c>
      <c r="B4126" s="1832">
        <f>'Acct Summary 7-8'!G10</f>
        <v>555596</v>
      </c>
      <c r="C4126" s="2" t="s">
        <v>569</v>
      </c>
      <c r="D4126" s="2" t="str">
        <f t="shared" si="63"/>
        <v>Error?</v>
      </c>
    </row>
    <row r="4127" spans="1:4" x14ac:dyDescent="0.2">
      <c r="A4127" s="5">
        <v>4066</v>
      </c>
      <c r="B4127" s="1832">
        <f>'Acct Summary 7-8'!H10</f>
        <v>445300</v>
      </c>
      <c r="C4127" s="2" t="s">
        <v>569</v>
      </c>
      <c r="D4127" s="2" t="str">
        <f t="shared" si="63"/>
        <v>Error?</v>
      </c>
    </row>
    <row r="4128" spans="1:4" x14ac:dyDescent="0.2">
      <c r="A4128" s="5">
        <v>4067</v>
      </c>
      <c r="B4128" s="1832">
        <f>'Acct Summary 7-8'!I10</f>
        <v>156425</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115389</v>
      </c>
      <c r="C4130" s="2" t="s">
        <v>569</v>
      </c>
      <c r="D4130" s="2" t="str">
        <f t="shared" si="63"/>
        <v>Error?</v>
      </c>
    </row>
    <row r="4131" spans="1:4" x14ac:dyDescent="0.2">
      <c r="A4131" s="5">
        <v>4070</v>
      </c>
      <c r="B4131" s="1832">
        <f>'Acct Summary 7-8'!C18</f>
        <v>6018553</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19056891</v>
      </c>
      <c r="C4136" s="2" t="s">
        <v>569</v>
      </c>
      <c r="D4136" s="2" t="str">
        <f t="shared" si="63"/>
        <v>Error?</v>
      </c>
    </row>
    <row r="4137" spans="1:4" x14ac:dyDescent="0.2">
      <c r="A4137" s="5">
        <v>4076</v>
      </c>
      <c r="B4137" s="1832">
        <f>'Acct Summary 7-8'!D19</f>
        <v>949848</v>
      </c>
      <c r="C4137" s="2" t="s">
        <v>569</v>
      </c>
      <c r="D4137" s="2" t="str">
        <f t="shared" si="63"/>
        <v>Error?</v>
      </c>
    </row>
    <row r="4138" spans="1:4" x14ac:dyDescent="0.2">
      <c r="A4138" s="5">
        <v>4077</v>
      </c>
      <c r="B4138" s="1832">
        <f>'Acct Summary 7-8'!E19</f>
        <v>1039507</v>
      </c>
      <c r="C4138" s="2" t="s">
        <v>569</v>
      </c>
      <c r="D4138" s="2" t="str">
        <f t="shared" si="63"/>
        <v>Error?</v>
      </c>
    </row>
    <row r="4139" spans="1:4" x14ac:dyDescent="0.2">
      <c r="A4139" s="5">
        <v>4078</v>
      </c>
      <c r="B4139" s="1832">
        <f>'Acct Summary 7-8'!F19</f>
        <v>652459</v>
      </c>
      <c r="C4139" s="2" t="s">
        <v>569</v>
      </c>
      <c r="D4139" s="2" t="str">
        <f t="shared" si="63"/>
        <v>Error?</v>
      </c>
    </row>
    <row r="4140" spans="1:4" x14ac:dyDescent="0.2">
      <c r="A4140" s="5">
        <v>4079</v>
      </c>
      <c r="B4140" s="1832">
        <f>'Acct Summary 7-8'!G19</f>
        <v>453847</v>
      </c>
      <c r="C4140" s="2" t="s">
        <v>569</v>
      </c>
      <c r="D4140" s="2" t="str">
        <f t="shared" si="63"/>
        <v>Error?</v>
      </c>
    </row>
    <row r="4141" spans="1:4" x14ac:dyDescent="0.2">
      <c r="A4141" s="5">
        <v>4080</v>
      </c>
      <c r="B4141" s="1832">
        <f>'Acct Summary 7-8'!H19</f>
        <v>3997142</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5430</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5103475</v>
      </c>
      <c r="C4171" s="2" t="s">
        <v>569</v>
      </c>
      <c r="D4171" s="2" t="str">
        <f t="shared" si="64"/>
        <v>Error?</v>
      </c>
    </row>
    <row r="4172" spans="1:4" x14ac:dyDescent="0.2">
      <c r="A4172" s="5">
        <v>4111</v>
      </c>
      <c r="B4172" s="1832">
        <f>'Short-Term Long-Term Debt 24'!J49</f>
        <v>5040184</v>
      </c>
      <c r="C4172" s="2" t="s">
        <v>569</v>
      </c>
      <c r="D4172" s="2" t="str">
        <f t="shared" si="64"/>
        <v>Error?</v>
      </c>
    </row>
    <row r="4173" spans="1:4" x14ac:dyDescent="0.2">
      <c r="A4173" s="5">
        <v>4112</v>
      </c>
      <c r="B4173" s="1832">
        <f>'Short-Term Long-Term Debt 24'!H49</f>
        <v>989620</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4207943</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8892</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8892</v>
      </c>
      <c r="C4202" s="2" t="s">
        <v>569</v>
      </c>
      <c r="D4202" s="2" t="str">
        <f t="shared" si="64"/>
        <v>Error?</v>
      </c>
    </row>
    <row r="4203" spans="1:4" x14ac:dyDescent="0.2">
      <c r="A4203" s="5">
        <v>4142</v>
      </c>
      <c r="B4203" s="1832">
        <f>'Expenditures 15-22'!E139</f>
        <v>8892</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1896</v>
      </c>
    </row>
    <row r="4236" spans="1:5" x14ac:dyDescent="0.2">
      <c r="A4236" s="10">
        <v>4175</v>
      </c>
      <c r="B4236" s="1832"/>
      <c r="D4236" s="2" t="str">
        <f t="shared" si="65"/>
        <v>OK</v>
      </c>
      <c r="E4236" s="4" t="s">
        <v>1896</v>
      </c>
    </row>
    <row r="4237" spans="1:5" x14ac:dyDescent="0.2">
      <c r="A4237" s="10">
        <v>4176</v>
      </c>
      <c r="B4237" s="1832"/>
      <c r="D4237" s="2" t="str">
        <f t="shared" si="65"/>
        <v>OK</v>
      </c>
      <c r="E4237" s="4" t="s">
        <v>1896</v>
      </c>
    </row>
    <row r="4238" spans="1:5" x14ac:dyDescent="0.2">
      <c r="A4238" s="10">
        <v>4177</v>
      </c>
      <c r="B4238" s="1832"/>
      <c r="D4238" s="2" t="str">
        <f t="shared" si="65"/>
        <v>OK</v>
      </c>
      <c r="E4238" s="4" t="s">
        <v>1896</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3100</v>
      </c>
      <c r="C4265" s="2" t="s">
        <v>569</v>
      </c>
      <c r="D4265" s="2" t="str">
        <f t="shared" si="65"/>
        <v>Error?</v>
      </c>
      <c r="E4265" s="125"/>
    </row>
    <row r="4266" spans="1:5" x14ac:dyDescent="0.2">
      <c r="A4266" s="12">
        <v>4205</v>
      </c>
      <c r="B4266" s="1832">
        <f>('FP Info 3'!F10)*100000</f>
        <v>525</v>
      </c>
      <c r="C4266" s="2" t="s">
        <v>569</v>
      </c>
      <c r="D4266" s="2" t="str">
        <f t="shared" si="65"/>
        <v>Error?</v>
      </c>
      <c r="E4266" s="125"/>
    </row>
    <row r="4267" spans="1:5" x14ac:dyDescent="0.2">
      <c r="A4267" s="12">
        <v>4206</v>
      </c>
      <c r="B4267" s="1832">
        <f>('FP Info 3'!H10)*100000</f>
        <v>200</v>
      </c>
      <c r="C4267" s="2" t="s">
        <v>569</v>
      </c>
      <c r="D4267" s="2" t="str">
        <f t="shared" si="65"/>
        <v>Error?</v>
      </c>
      <c r="E4267" s="125"/>
    </row>
    <row r="4268" spans="1:5" x14ac:dyDescent="0.2">
      <c r="A4268" s="12">
        <v>4207</v>
      </c>
      <c r="B4268" s="1832">
        <f>('FP Info 3'!J10)*100000</f>
        <v>3825</v>
      </c>
      <c r="C4268" s="2" t="s">
        <v>569</v>
      </c>
      <c r="D4268" s="2" t="str">
        <f t="shared" si="65"/>
        <v>Error?</v>
      </c>
    </row>
    <row r="4269" spans="1:5" x14ac:dyDescent="0.2">
      <c r="A4269" s="12">
        <v>4208</v>
      </c>
      <c r="B4269" s="1832">
        <f>'FP Info 3'!J16</f>
        <v>9016416</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50000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16175</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12463</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1896</v>
      </c>
    </row>
    <row r="4400" spans="1:5" x14ac:dyDescent="0.2">
      <c r="A4400" s="10">
        <v>4339</v>
      </c>
      <c r="B4400" s="1832"/>
      <c r="D4400" s="2" t="str">
        <f t="shared" si="67"/>
        <v>OK</v>
      </c>
      <c r="E4400" s="4" t="s">
        <v>1896</v>
      </c>
    </row>
    <row r="4401" spans="1:5" x14ac:dyDescent="0.2">
      <c r="A4401" s="10">
        <v>4340</v>
      </c>
      <c r="B4401" s="1832"/>
      <c r="D4401" s="2" t="str">
        <f t="shared" si="67"/>
        <v>OK</v>
      </c>
      <c r="E4401" s="4" t="s">
        <v>1896</v>
      </c>
    </row>
    <row r="4402" spans="1:5" x14ac:dyDescent="0.2">
      <c r="A4402" s="10">
        <v>4341</v>
      </c>
      <c r="B4402" s="1832"/>
      <c r="D4402" s="2" t="str">
        <f t="shared" si="67"/>
        <v>OK</v>
      </c>
      <c r="E4402" s="4" t="s">
        <v>1896</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0</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42840</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50</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1885</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0</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222483177</v>
      </c>
      <c r="D4995" s="2" t="str">
        <f t="shared" si="77"/>
        <v>Error?</v>
      </c>
    </row>
    <row r="4996" spans="1:4" x14ac:dyDescent="0.2">
      <c r="A4996" s="12">
        <v>4935</v>
      </c>
      <c r="B4996" s="1832">
        <f>'FP Info 3'!H31</f>
        <v>30702678.426000003</v>
      </c>
      <c r="D4996" s="2" t="str">
        <f t="shared" si="77"/>
        <v>Error?</v>
      </c>
    </row>
    <row r="4997" spans="1:4" x14ac:dyDescent="0.2">
      <c r="A4997" s="12">
        <v>4936</v>
      </c>
      <c r="B4997" s="1832">
        <f>'FP Info 3'!H37</f>
        <v>5103475</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111459</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6910482</v>
      </c>
      <c r="D5061" s="2" t="str">
        <f t="shared" si="78"/>
        <v>Error?</v>
      </c>
    </row>
    <row r="5062" spans="1:4" x14ac:dyDescent="0.2">
      <c r="A5062" s="10">
        <v>5001</v>
      </c>
      <c r="B5062" s="1832"/>
      <c r="D5062" s="2" t="str">
        <f t="shared" si="78"/>
        <v>OK</v>
      </c>
    </row>
    <row r="5063" spans="1:4" x14ac:dyDescent="0.2">
      <c r="A5063" s="5">
        <v>5002</v>
      </c>
      <c r="B5063" s="1832">
        <f>'Revenues 9-14'!C7</f>
        <v>89168</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7111109</v>
      </c>
      <c r="C5066" s="2" t="s">
        <v>569</v>
      </c>
      <c r="D5066" s="2" t="str">
        <f t="shared" si="78"/>
        <v>Error?</v>
      </c>
    </row>
    <row r="5067" spans="1:4" x14ac:dyDescent="0.2">
      <c r="A5067" s="5">
        <v>5006</v>
      </c>
      <c r="B5067" s="1832">
        <f>'Revenues 9-14'!C14</f>
        <v>2224</v>
      </c>
      <c r="D5067" s="2" t="str">
        <f t="shared" si="78"/>
        <v>Error?</v>
      </c>
    </row>
    <row r="5068" spans="1:4" x14ac:dyDescent="0.2">
      <c r="A5068" s="5">
        <v>5007</v>
      </c>
      <c r="B5068" s="1832">
        <f>'Revenues 9-14'!C15</f>
        <v>948</v>
      </c>
      <c r="D5068" s="2" t="str">
        <f t="shared" si="78"/>
        <v>Error?</v>
      </c>
    </row>
    <row r="5069" spans="1:4" x14ac:dyDescent="0.2">
      <c r="A5069" s="5">
        <v>5008</v>
      </c>
      <c r="B5069" s="1832">
        <f>'Revenues 9-14'!C16</f>
        <v>535286</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538458</v>
      </c>
      <c r="C5071" s="2" t="s">
        <v>569</v>
      </c>
      <c r="D5071" s="2" t="str">
        <f t="shared" si="78"/>
        <v>Error?</v>
      </c>
    </row>
    <row r="5072" spans="1:4" x14ac:dyDescent="0.2">
      <c r="A5072" s="5">
        <v>5011</v>
      </c>
      <c r="B5072" s="1832">
        <f>'Revenues 9-14'!C20</f>
        <v>4098</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4098</v>
      </c>
      <c r="C5087" s="2" t="s">
        <v>569</v>
      </c>
      <c r="D5087" s="2" t="str">
        <f t="shared" si="78"/>
        <v>Error?</v>
      </c>
    </row>
    <row r="5088" spans="1:4" x14ac:dyDescent="0.2">
      <c r="A5088" s="5">
        <v>5027</v>
      </c>
      <c r="B5088" s="1832">
        <f>'Revenues 9-14'!C65</f>
        <v>54717</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54717</v>
      </c>
      <c r="C5090" s="2" t="s">
        <v>569</v>
      </c>
      <c r="D5090" s="2" t="str">
        <f t="shared" si="78"/>
        <v>Error?</v>
      </c>
    </row>
    <row r="5091" spans="1:4" x14ac:dyDescent="0.2">
      <c r="A5091" s="5">
        <v>5030</v>
      </c>
      <c r="B5091" s="1832">
        <f>'Revenues 9-14'!C70</f>
        <v>0</v>
      </c>
      <c r="D5091" s="2" t="str">
        <f t="shared" si="78"/>
        <v>Error?</v>
      </c>
    </row>
    <row r="5092" spans="1:4" x14ac:dyDescent="0.2">
      <c r="A5092" s="5">
        <v>5031</v>
      </c>
      <c r="B5092" s="1832">
        <f>'Revenues 9-14'!C71</f>
        <v>64283</v>
      </c>
      <c r="D5092" s="2" t="str">
        <f t="shared" si="78"/>
        <v>Error?</v>
      </c>
    </row>
    <row r="5093" spans="1:4" x14ac:dyDescent="0.2">
      <c r="A5093" s="5">
        <v>5032</v>
      </c>
      <c r="B5093" s="1832">
        <f>'Revenues 9-14'!C72</f>
        <v>2287</v>
      </c>
      <c r="D5093" s="2" t="str">
        <f t="shared" si="78"/>
        <v>Error?</v>
      </c>
    </row>
    <row r="5094" spans="1:4" x14ac:dyDescent="0.2">
      <c r="A5094" s="5">
        <v>5033</v>
      </c>
      <c r="B5094" s="1832">
        <f>'Revenues 9-14'!C73</f>
        <v>3840</v>
      </c>
      <c r="D5094" s="2" t="str">
        <f t="shared" si="78"/>
        <v>Error?</v>
      </c>
    </row>
    <row r="5095" spans="1:4" x14ac:dyDescent="0.2">
      <c r="A5095" s="5">
        <v>5034</v>
      </c>
      <c r="B5095" s="1832">
        <f>'Revenues 9-14'!C74</f>
        <v>2632</v>
      </c>
      <c r="D5095" s="2" t="str">
        <f t="shared" si="78"/>
        <v>Error?</v>
      </c>
    </row>
    <row r="5096" spans="1:4" x14ac:dyDescent="0.2">
      <c r="A5096" s="5">
        <v>5035</v>
      </c>
      <c r="B5096" s="1832">
        <f>'Revenues 9-14'!C75</f>
        <v>274270</v>
      </c>
      <c r="C5096" s="2" t="s">
        <v>569</v>
      </c>
      <c r="D5096" s="2" t="str">
        <f t="shared" si="78"/>
        <v>Error?</v>
      </c>
    </row>
    <row r="5097" spans="1:4" x14ac:dyDescent="0.2">
      <c r="A5097" s="5">
        <v>5036</v>
      </c>
      <c r="B5097" s="1832">
        <f>'Revenues 9-14'!C77</f>
        <v>31130</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28514</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1751</v>
      </c>
      <c r="D5101" s="2" t="str">
        <f t="shared" si="78"/>
        <v>Error?</v>
      </c>
    </row>
    <row r="5102" spans="1:4" x14ac:dyDescent="0.2">
      <c r="A5102" s="5">
        <v>5041</v>
      </c>
      <c r="B5102" s="1832">
        <f>'Revenues 9-14'!C82</f>
        <v>61395</v>
      </c>
      <c r="C5102" s="2" t="s">
        <v>569</v>
      </c>
      <c r="D5102" s="2" t="str">
        <f t="shared" si="78"/>
        <v>Error?</v>
      </c>
    </row>
    <row r="5103" spans="1:4" x14ac:dyDescent="0.2">
      <c r="A5103" s="5">
        <v>5042</v>
      </c>
      <c r="B5103" s="1832">
        <f>'Revenues 9-14'!C84</f>
        <v>118003</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118003</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1485</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6561</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19975</v>
      </c>
      <c r="D5118" s="2" t="str">
        <f t="shared" si="78"/>
        <v>Error?</v>
      </c>
    </row>
    <row r="5119" spans="1:4" x14ac:dyDescent="0.2">
      <c r="A5119" s="5">
        <v>5058</v>
      </c>
      <c r="B5119" s="1832">
        <f>'Revenues 9-14'!C107</f>
        <v>39991</v>
      </c>
      <c r="D5119" s="2" t="str">
        <f t="shared" ref="D5119:D5182" si="79">IF(ISBLANK(B5119),"OK",IF(A5119-B5119=0,"OK","Error?"))</f>
        <v>Error?</v>
      </c>
    </row>
    <row r="5120" spans="1:4" x14ac:dyDescent="0.2">
      <c r="A5120" s="5">
        <v>5059</v>
      </c>
      <c r="B5120" s="1832">
        <f>'Revenues 9-14'!C108</f>
        <v>119908</v>
      </c>
      <c r="C5120" s="2" t="s">
        <v>569</v>
      </c>
      <c r="D5120" s="2" t="str">
        <f t="shared" si="79"/>
        <v>Error?</v>
      </c>
    </row>
    <row r="5121" spans="1:4" x14ac:dyDescent="0.2">
      <c r="A5121" s="5">
        <v>5060</v>
      </c>
      <c r="B5121" s="1832">
        <f>'Revenues 9-14'!C109</f>
        <v>8281958</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3816168</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3816168</v>
      </c>
      <c r="C5132" s="2" t="s">
        <v>569</v>
      </c>
      <c r="D5132" s="2" t="str">
        <f t="shared" si="79"/>
        <v>Error?</v>
      </c>
    </row>
    <row r="5133" spans="1:4" x14ac:dyDescent="0.2">
      <c r="A5133" s="5">
        <v>5072</v>
      </c>
      <c r="B5133" s="1832">
        <f>'Revenues 9-14'!C125</f>
        <v>5829</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165566</v>
      </c>
      <c r="D5135" s="2" t="str">
        <f t="shared" si="79"/>
        <v>Error?</v>
      </c>
    </row>
    <row r="5136" spans="1:4" x14ac:dyDescent="0.2">
      <c r="A5136" s="10">
        <v>5075</v>
      </c>
      <c r="B5136" s="1832"/>
      <c r="D5136" s="2" t="str">
        <f t="shared" si="79"/>
        <v>OK</v>
      </c>
    </row>
    <row r="5137" spans="1:4" x14ac:dyDescent="0.2">
      <c r="A5137" s="5">
        <v>5076</v>
      </c>
      <c r="B5137" s="1832">
        <f>'Revenues 9-14'!C128</f>
        <v>16543</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187938</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34620</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44070</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2144</v>
      </c>
      <c r="D5167" s="2" t="str">
        <f t="shared" si="79"/>
        <v>Error?</v>
      </c>
    </row>
    <row r="5168" spans="1:4" x14ac:dyDescent="0.2">
      <c r="A5168" s="5">
        <v>5107</v>
      </c>
      <c r="B5168" s="1832">
        <f>'Revenues 9-14'!C148</f>
        <v>13760</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0</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1896</v>
      </c>
    </row>
    <row r="5200" spans="1:5" x14ac:dyDescent="0.2">
      <c r="A5200" s="10">
        <v>5139</v>
      </c>
      <c r="B5200" s="1832"/>
      <c r="D5200" s="2" t="str">
        <f t="shared" si="80"/>
        <v>OK</v>
      </c>
      <c r="E5200" s="4" t="s">
        <v>1896</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249797</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4065965</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143588</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22745</v>
      </c>
      <c r="D5241" s="2" t="str">
        <f t="shared" si="80"/>
        <v>Error?</v>
      </c>
    </row>
    <row r="5242" spans="1:4" x14ac:dyDescent="0.2">
      <c r="A5242" s="5">
        <v>5181</v>
      </c>
      <c r="B5242" s="1832">
        <f>'Revenues 9-14'!C194</f>
        <v>17134</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183467</v>
      </c>
      <c r="C5246" s="2" t="s">
        <v>569</v>
      </c>
      <c r="D5246" s="2" t="str">
        <f t="shared" si="80"/>
        <v>Error?</v>
      </c>
    </row>
    <row r="5247" spans="1:4" x14ac:dyDescent="0.2">
      <c r="A5247" s="5">
        <v>5186</v>
      </c>
      <c r="B5247" s="1832">
        <f>'Revenues 9-14'!C200</f>
        <v>148815</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1896</v>
      </c>
    </row>
    <row r="5255" spans="1:5" x14ac:dyDescent="0.2">
      <c r="A5255" s="5">
        <v>5194</v>
      </c>
      <c r="B5255" s="1832">
        <f>'Revenues 9-14'!C202</f>
        <v>0</v>
      </c>
      <c r="D5255" s="2" t="str">
        <f t="shared" si="81"/>
        <v>Error?</v>
      </c>
    </row>
    <row r="5256" spans="1:5" x14ac:dyDescent="0.2">
      <c r="A5256" s="5">
        <v>5195</v>
      </c>
      <c r="B5256" s="1832">
        <f>'Revenues 9-14'!C206</f>
        <v>0</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148815</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21559</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358673</v>
      </c>
      <c r="D5278" s="2" t="str">
        <f t="shared" si="81"/>
        <v>Error?</v>
      </c>
    </row>
    <row r="5279" spans="1:4" x14ac:dyDescent="0.2">
      <c r="A5279" s="5">
        <v>5218</v>
      </c>
      <c r="B5279" s="1832">
        <f>'Revenues 9-14'!C214</f>
        <v>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380232</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0</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1896</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783992</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783992</v>
      </c>
      <c r="C5326" s="2" t="s">
        <v>569</v>
      </c>
      <c r="D5326" s="2" t="str">
        <f t="shared" si="82"/>
        <v>Error?</v>
      </c>
    </row>
    <row r="5327" spans="1:5" x14ac:dyDescent="0.2">
      <c r="A5327" s="5">
        <v>5266</v>
      </c>
      <c r="B5327" s="1832">
        <f>'Revenues 9-14'!C268</f>
        <v>13131915</v>
      </c>
      <c r="C5327" s="2" t="s">
        <v>569</v>
      </c>
      <c r="D5327" s="2" t="str">
        <f t="shared" si="82"/>
        <v>Error?</v>
      </c>
    </row>
    <row r="5328" spans="1:5" x14ac:dyDescent="0.2">
      <c r="A5328" s="5">
        <v>5267</v>
      </c>
      <c r="B5328" s="1832">
        <f>'Revenues 9-14'!D5</f>
        <v>1170323</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1170323</v>
      </c>
      <c r="C5334" s="2" t="s">
        <v>569</v>
      </c>
      <c r="D5334" s="2" t="str">
        <f t="shared" si="82"/>
        <v>Error?</v>
      </c>
    </row>
    <row r="5335" spans="1:4" x14ac:dyDescent="0.2">
      <c r="A5335" s="5">
        <v>5274</v>
      </c>
      <c r="B5335" s="1832">
        <f>'Revenues 9-14'!D14</f>
        <v>811</v>
      </c>
      <c r="D5335" s="2" t="str">
        <f t="shared" si="82"/>
        <v>Error?</v>
      </c>
    </row>
    <row r="5336" spans="1:4" x14ac:dyDescent="0.2">
      <c r="A5336" s="5">
        <v>5275</v>
      </c>
      <c r="B5336" s="1832">
        <f>'Revenues 9-14'!D15</f>
        <v>170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981</v>
      </c>
      <c r="C5339" s="2" t="s">
        <v>569</v>
      </c>
      <c r="D5339" s="2" t="str">
        <f t="shared" si="82"/>
        <v>Error?</v>
      </c>
    </row>
    <row r="5340" spans="1:4" x14ac:dyDescent="0.2">
      <c r="A5340" s="5">
        <v>5279</v>
      </c>
      <c r="B5340" s="1832">
        <f>'Revenues 9-14'!D65</f>
        <v>27682</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27682</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13120</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11041</v>
      </c>
      <c r="D5354" s="2" t="str">
        <f t="shared" si="82"/>
        <v>Error?</v>
      </c>
    </row>
    <row r="5355" spans="1:4" x14ac:dyDescent="0.2">
      <c r="A5355" s="5">
        <v>5294</v>
      </c>
      <c r="B5355" s="1832">
        <f>'Revenues 9-14'!D108</f>
        <v>29620</v>
      </c>
      <c r="C5355" s="2" t="s">
        <v>569</v>
      </c>
      <c r="D5355" s="2" t="str">
        <f t="shared" si="82"/>
        <v>Error?</v>
      </c>
    </row>
    <row r="5356" spans="1:4" x14ac:dyDescent="0.2">
      <c r="A5356" s="5">
        <v>5295</v>
      </c>
      <c r="B5356" s="1832">
        <f>'Revenues 9-14'!D109</f>
        <v>1228606</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50000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50000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1896</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1278606</v>
      </c>
      <c r="C5508" s="2" t="s">
        <v>569</v>
      </c>
      <c r="D5508" s="2" t="str">
        <f t="shared" si="85"/>
        <v>Error?</v>
      </c>
    </row>
    <row r="5509" spans="1:4" x14ac:dyDescent="0.2">
      <c r="A5509" s="5">
        <v>5448</v>
      </c>
      <c r="B5509" s="1832">
        <f>'Revenues 9-14'!E5</f>
        <v>891237</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891237</v>
      </c>
      <c r="C5513" s="2" t="s">
        <v>569</v>
      </c>
      <c r="D5513" s="2" t="str">
        <f t="shared" si="85"/>
        <v>Error?</v>
      </c>
    </row>
    <row r="5514" spans="1:4" x14ac:dyDescent="0.2">
      <c r="A5514" s="5">
        <v>5453</v>
      </c>
      <c r="B5514" s="1832">
        <f>'Revenues 9-14'!E14</f>
        <v>2207</v>
      </c>
      <c r="D5514" s="2" t="str">
        <f t="shared" si="85"/>
        <v>Error?</v>
      </c>
    </row>
    <row r="5515" spans="1:4" x14ac:dyDescent="0.2">
      <c r="A5515" s="5">
        <v>5454</v>
      </c>
      <c r="B5515" s="1832">
        <f>'Revenues 9-14'!E15</f>
        <v>130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2337</v>
      </c>
      <c r="C5518" s="2" t="s">
        <v>569</v>
      </c>
      <c r="D5518" s="2" t="str">
        <f t="shared" si="85"/>
        <v>Error?</v>
      </c>
    </row>
    <row r="5519" spans="1:4" x14ac:dyDescent="0.2">
      <c r="A5519" s="5">
        <v>5458</v>
      </c>
      <c r="B5519" s="1832">
        <f>'Revenues 9-14'!E65</f>
        <v>2641</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2641</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4157</v>
      </c>
      <c r="C5526" s="2" t="s">
        <v>569</v>
      </c>
      <c r="D5526" s="2" t="str">
        <f t="shared" si="85"/>
        <v>Error?</v>
      </c>
    </row>
    <row r="5527" spans="1:4" x14ac:dyDescent="0.2">
      <c r="A5527" s="5">
        <v>5466</v>
      </c>
      <c r="B5527" s="1832">
        <f>'Revenues 9-14'!E109</f>
        <v>900372</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900372</v>
      </c>
      <c r="C5552" s="2" t="s">
        <v>569</v>
      </c>
      <c r="D5552" s="2" t="str">
        <f t="shared" si="85"/>
        <v>Error?</v>
      </c>
    </row>
    <row r="5553" spans="1:4" x14ac:dyDescent="0.2">
      <c r="A5553" s="5">
        <v>5492</v>
      </c>
      <c r="B5553" s="1832">
        <f>'Revenues 9-14'!F5</f>
        <v>445838</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445838</v>
      </c>
      <c r="C5557" s="2" t="s">
        <v>569</v>
      </c>
      <c r="D5557" s="2" t="str">
        <f t="shared" si="85"/>
        <v>Error?</v>
      </c>
    </row>
    <row r="5558" spans="1:4" x14ac:dyDescent="0.2">
      <c r="A5558" s="5">
        <v>5497</v>
      </c>
      <c r="B5558" s="1832">
        <f>'Revenues 9-14'!F14</f>
        <v>311</v>
      </c>
      <c r="D5558" s="2" t="str">
        <f t="shared" si="85"/>
        <v>Error?</v>
      </c>
    </row>
    <row r="5559" spans="1:4" x14ac:dyDescent="0.2">
      <c r="A5559" s="5">
        <v>5498</v>
      </c>
      <c r="B5559" s="1832">
        <f>'Revenues 9-14'!F15</f>
        <v>65</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376</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60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1972</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2032</v>
      </c>
      <c r="C5579" s="2" t="s">
        <v>569</v>
      </c>
      <c r="D5579" s="2" t="str">
        <f t="shared" si="86"/>
        <v>Error?</v>
      </c>
    </row>
    <row r="5580" spans="1:4" x14ac:dyDescent="0.2">
      <c r="A5580" s="5">
        <v>5519</v>
      </c>
      <c r="B5580" s="1832">
        <f>'Revenues 9-14'!F65</f>
        <v>13718</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13718</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180</v>
      </c>
      <c r="D5586" s="2" t="str">
        <f t="shared" si="86"/>
        <v>Error?</v>
      </c>
    </row>
    <row r="5587" spans="1:4" x14ac:dyDescent="0.2">
      <c r="A5587" s="5">
        <v>5526</v>
      </c>
      <c r="B5587" s="1832">
        <f>'Revenues 9-14'!F108</f>
        <v>2258</v>
      </c>
      <c r="C5587" s="2" t="s">
        <v>569</v>
      </c>
      <c r="D5587" s="2" t="str">
        <f t="shared" si="86"/>
        <v>Error?</v>
      </c>
    </row>
    <row r="5588" spans="1:4" x14ac:dyDescent="0.2">
      <c r="A5588" s="5">
        <v>5527</v>
      </c>
      <c r="B5588" s="1832">
        <f>'Revenues 9-14'!F109</f>
        <v>464222</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178362</v>
      </c>
      <c r="D5615" s="2" t="str">
        <f t="shared" si="86"/>
        <v>Error?</v>
      </c>
    </row>
    <row r="5616" spans="1:4" x14ac:dyDescent="0.2">
      <c r="A5616" s="10">
        <v>5555</v>
      </c>
      <c r="B5616" s="1832"/>
      <c r="D5616" s="2" t="str">
        <f t="shared" si="86"/>
        <v>OK</v>
      </c>
    </row>
    <row r="5617" spans="1:5" x14ac:dyDescent="0.2">
      <c r="A5617" s="5">
        <v>5556</v>
      </c>
      <c r="B5617" s="1832">
        <f>'Revenues 9-14'!F153</f>
        <v>107811</v>
      </c>
      <c r="D5617" s="2" t="str">
        <f t="shared" si="86"/>
        <v>Error?</v>
      </c>
    </row>
    <row r="5618" spans="1:5" x14ac:dyDescent="0.2">
      <c r="A5618" s="5">
        <v>5557</v>
      </c>
      <c r="B5618" s="1832">
        <f>'Revenues 9-14'!F155</f>
        <v>286173</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1896</v>
      </c>
    </row>
    <row r="5631" spans="1:5" x14ac:dyDescent="0.2">
      <c r="A5631" s="10">
        <v>5570</v>
      </c>
      <c r="B5631" s="1832"/>
      <c r="D5631" s="2" t="str">
        <f t="shared" ref="D5631:D5694" si="87">IF(ISBLANK(B5631),"OK",IF(A5631-B5631=0,"OK","Error?"))</f>
        <v>OK</v>
      </c>
      <c r="E5631" s="4" t="s">
        <v>1896</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286173</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286173</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1896</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1896</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750395</v>
      </c>
      <c r="C5720" s="2" t="s">
        <v>569</v>
      </c>
      <c r="D5720" s="2" t="str">
        <f t="shared" si="88"/>
        <v>Error?</v>
      </c>
    </row>
    <row r="5721" spans="1:4" x14ac:dyDescent="0.2">
      <c r="A5721" s="5">
        <v>5660</v>
      </c>
      <c r="B5721" s="1832">
        <f>'Revenues 9-14'!G5</f>
        <v>234735</v>
      </c>
      <c r="D5721" s="2" t="str">
        <f t="shared" si="88"/>
        <v>Error?</v>
      </c>
    </row>
    <row r="5722" spans="1:4" x14ac:dyDescent="0.2">
      <c r="A5722" s="5">
        <v>5661</v>
      </c>
      <c r="B5722" s="1832">
        <f>'Revenues 9-14'!G7</f>
        <v>0</v>
      </c>
      <c r="D5722" s="2" t="str">
        <f t="shared" si="88"/>
        <v>Error?</v>
      </c>
    </row>
    <row r="5723" spans="1:4" x14ac:dyDescent="0.2">
      <c r="A5723" s="5">
        <v>5662</v>
      </c>
      <c r="B5723" s="1832">
        <f>'Revenues 9-14'!G8</f>
        <v>279542</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514277</v>
      </c>
      <c r="C5725" s="2" t="s">
        <v>569</v>
      </c>
      <c r="D5725" s="2" t="str">
        <f t="shared" si="88"/>
        <v>Error?</v>
      </c>
    </row>
    <row r="5726" spans="1:4" x14ac:dyDescent="0.2">
      <c r="A5726" s="5">
        <v>5665</v>
      </c>
      <c r="B5726" s="1832">
        <f>'Revenues 9-14'!G14</f>
        <v>1003</v>
      </c>
      <c r="D5726" s="2" t="str">
        <f t="shared" si="88"/>
        <v>Error?</v>
      </c>
    </row>
    <row r="5727" spans="1:4" x14ac:dyDescent="0.2">
      <c r="A5727" s="5">
        <v>5666</v>
      </c>
      <c r="B5727" s="1832">
        <f>'Revenues 9-14'!G15</f>
        <v>75</v>
      </c>
      <c r="D5727" s="2" t="str">
        <f t="shared" si="88"/>
        <v>Error?</v>
      </c>
    </row>
    <row r="5728" spans="1:4" x14ac:dyDescent="0.2">
      <c r="A5728" s="5">
        <v>5667</v>
      </c>
      <c r="B5728" s="1832">
        <f>'Revenues 9-14'!G16</f>
        <v>30000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31078</v>
      </c>
      <c r="C5730" s="2" t="s">
        <v>569</v>
      </c>
      <c r="D5730" s="2" t="str">
        <f t="shared" si="88"/>
        <v>Error?</v>
      </c>
    </row>
    <row r="5731" spans="1:4" x14ac:dyDescent="0.2">
      <c r="A5731" s="5">
        <v>5670</v>
      </c>
      <c r="B5731" s="1832">
        <f>'Revenues 9-14'!G65</f>
        <v>7202</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7202</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644</v>
      </c>
      <c r="D5736" s="2" t="str">
        <f t="shared" si="88"/>
        <v>Error?</v>
      </c>
    </row>
    <row r="5737" spans="1:4" x14ac:dyDescent="0.2">
      <c r="A5737" s="5">
        <v>5676</v>
      </c>
      <c r="B5737" s="1832">
        <f>'Revenues 9-14'!G108</f>
        <v>3039</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1896</v>
      </c>
    </row>
    <row r="5768" spans="1:5" x14ac:dyDescent="0.2">
      <c r="A5768" s="10">
        <v>5707</v>
      </c>
      <c r="B5768" s="1832"/>
      <c r="D5768" s="2" t="str">
        <f t="shared" si="89"/>
        <v>OK</v>
      </c>
      <c r="E5768" s="4" t="s">
        <v>1896</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1896</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1896</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555596</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0</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0</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445300</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445300</v>
      </c>
      <c r="C5915" s="2" t="s">
        <v>569</v>
      </c>
      <c r="D5915" s="2" t="str">
        <f t="shared" si="91"/>
        <v>Error?</v>
      </c>
    </row>
    <row r="5916" spans="1:4" x14ac:dyDescent="0.2">
      <c r="A5916" s="5">
        <v>5855</v>
      </c>
      <c r="B5916" s="1832">
        <f>'Revenues 9-14'!I5</f>
        <v>111459</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111459</v>
      </c>
      <c r="C5918" s="2" t="s">
        <v>569</v>
      </c>
      <c r="D5918" s="2" t="str">
        <f t="shared" si="91"/>
        <v>Error?</v>
      </c>
    </row>
    <row r="5919" spans="1:4" x14ac:dyDescent="0.2">
      <c r="A5919" s="5">
        <v>5858</v>
      </c>
      <c r="B5919" s="1832">
        <f>'Revenues 9-14'!I14</f>
        <v>77</v>
      </c>
      <c r="D5919" s="2" t="str">
        <f t="shared" si="91"/>
        <v>Error?</v>
      </c>
    </row>
    <row r="5920" spans="1:4" x14ac:dyDescent="0.2">
      <c r="A5920" s="5">
        <v>5859</v>
      </c>
      <c r="B5920" s="1832">
        <f>'Revenues 9-14'!I15</f>
        <v>16</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93</v>
      </c>
      <c r="C5923" s="2" t="s">
        <v>569</v>
      </c>
      <c r="D5923" s="2" t="str">
        <f t="shared" si="91"/>
        <v>Error?</v>
      </c>
    </row>
    <row r="5924" spans="1:4" x14ac:dyDescent="0.2">
      <c r="A5924" s="5">
        <v>5863</v>
      </c>
      <c r="B5924" s="1832">
        <f>'Revenues 9-14'!I65</f>
        <v>44352</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44352</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521</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156425</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111459</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111459</v>
      </c>
      <c r="C5987" s="2" t="s">
        <v>569</v>
      </c>
      <c r="D5987" s="2" t="str">
        <f t="shared" si="92"/>
        <v>Error?</v>
      </c>
    </row>
    <row r="5988" spans="1:4" x14ac:dyDescent="0.2">
      <c r="A5988" s="5">
        <v>5927</v>
      </c>
      <c r="B5988" s="1832">
        <f>'Revenues 9-14'!K14</f>
        <v>77</v>
      </c>
      <c r="D5988" s="2" t="str">
        <f t="shared" si="92"/>
        <v>Error?</v>
      </c>
    </row>
    <row r="5989" spans="1:4" x14ac:dyDescent="0.2">
      <c r="A5989" s="5">
        <v>5928</v>
      </c>
      <c r="B5989" s="1832">
        <f>'Revenues 9-14'!K15</f>
        <v>16</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93</v>
      </c>
      <c r="C5992" s="2" t="s">
        <v>569</v>
      </c>
      <c r="D5992" s="2" t="str">
        <f t="shared" si="92"/>
        <v>Error?</v>
      </c>
    </row>
    <row r="5993" spans="1:4" x14ac:dyDescent="0.2">
      <c r="A5993" s="5">
        <v>5932</v>
      </c>
      <c r="B5993" s="1832">
        <f>'Revenues 9-14'!K65</f>
        <v>3316</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3316</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521</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115389</v>
      </c>
      <c r="C6023" s="2" t="s">
        <v>569</v>
      </c>
      <c r="D6023" s="2" t="str">
        <f t="shared" si="93"/>
        <v>Error?</v>
      </c>
    </row>
    <row r="6024" spans="1:5" x14ac:dyDescent="0.2">
      <c r="A6024" s="5">
        <v>5963</v>
      </c>
      <c r="B6024" s="1832">
        <f>'Revenues 9-14'!G109</f>
        <v>555596</v>
      </c>
      <c r="C6024" s="2" t="s">
        <v>569</v>
      </c>
      <c r="D6024" s="2" t="str">
        <f t="shared" si="93"/>
        <v>Error?</v>
      </c>
    </row>
    <row r="6025" spans="1:5" x14ac:dyDescent="0.2">
      <c r="A6025" s="5">
        <v>5964</v>
      </c>
      <c r="B6025" s="1832">
        <f>'Revenues 9-14'!H109</f>
        <v>445300</v>
      </c>
      <c r="C6025" s="2" t="s">
        <v>569</v>
      </c>
      <c r="D6025" s="2" t="str">
        <f t="shared" si="93"/>
        <v>Error?</v>
      </c>
    </row>
    <row r="6026" spans="1:5" x14ac:dyDescent="0.2">
      <c r="A6026" s="5">
        <v>5965</v>
      </c>
      <c r="B6026" s="1832">
        <f>'Revenues 9-14'!I109</f>
        <v>156425</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115389</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201228</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52261</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1529.3</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0</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694878</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694878</v>
      </c>
      <c r="D6215" s="2" t="str">
        <f t="shared" si="96"/>
        <v>Error?</v>
      </c>
      <c r="E6215" s="2" t="s">
        <v>189</v>
      </c>
    </row>
    <row r="6216" spans="1:5" x14ac:dyDescent="0.2">
      <c r="A6216">
        <v>6155</v>
      </c>
      <c r="B6216" s="1832">
        <f>'Assets-Liab 5-6'!J41</f>
        <v>694878</v>
      </c>
      <c r="D6216" s="2" t="str">
        <f t="shared" si="96"/>
        <v>Error?</v>
      </c>
      <c r="E6216" s="2" t="s">
        <v>189</v>
      </c>
    </row>
    <row r="6217" spans="1:5" x14ac:dyDescent="0.2">
      <c r="A6217">
        <v>6156</v>
      </c>
      <c r="B6217" s="1832">
        <f>'Assets-Liab 5-6'!J4</f>
        <v>694878</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611902</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611902</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611902</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448696</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448696</v>
      </c>
      <c r="D6229" s="2" t="str">
        <f t="shared" si="96"/>
        <v>Error?</v>
      </c>
      <c r="E6229" s="2" t="s">
        <v>189</v>
      </c>
    </row>
    <row r="6230" spans="1:5" x14ac:dyDescent="0.2">
      <c r="A6230">
        <v>6169</v>
      </c>
      <c r="B6230" s="1832">
        <f>'Acct Summary 7-8'!J20</f>
        <v>163206</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117780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6415</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163206</v>
      </c>
      <c r="D6263" s="2" t="str">
        <f t="shared" si="96"/>
        <v>Error?</v>
      </c>
      <c r="E6263" s="2" t="s">
        <v>189</v>
      </c>
    </row>
    <row r="6264" spans="1:5" x14ac:dyDescent="0.2">
      <c r="A6264">
        <v>6203</v>
      </c>
      <c r="B6264" s="1832">
        <f>'Acct Summary 7-8'!J79</f>
        <v>531672</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694878</v>
      </c>
      <c r="D6266" s="2" t="str">
        <f t="shared" si="96"/>
        <v>Error?</v>
      </c>
      <c r="E6266" s="2" t="s">
        <v>189</v>
      </c>
    </row>
    <row r="6267" spans="1:5" x14ac:dyDescent="0.2">
      <c r="A6267">
        <v>6206</v>
      </c>
      <c r="B6267" s="1832">
        <f>'Acct Summary 7-8'!C82</f>
        <v>1584846</v>
      </c>
      <c r="D6267" s="2" t="str">
        <f t="shared" si="96"/>
        <v>Error?</v>
      </c>
      <c r="E6267" s="2" t="s">
        <v>189</v>
      </c>
    </row>
    <row r="6268" spans="1:5" x14ac:dyDescent="0.2">
      <c r="A6268">
        <v>6207</v>
      </c>
      <c r="B6268" s="1832">
        <f>'Acct Summary 7-8'!D82</f>
        <v>-271242</v>
      </c>
      <c r="D6268" s="2" t="str">
        <f t="shared" si="96"/>
        <v>Error?</v>
      </c>
      <c r="E6268" s="2" t="s">
        <v>189</v>
      </c>
    </row>
    <row r="6269" spans="1:5" x14ac:dyDescent="0.2">
      <c r="A6269">
        <v>6208</v>
      </c>
      <c r="B6269" s="1832">
        <f>'Acct Summary 7-8'!E82</f>
        <v>7539</v>
      </c>
      <c r="D6269" s="2" t="str">
        <f t="shared" si="96"/>
        <v>Error?</v>
      </c>
      <c r="E6269" s="2" t="s">
        <v>189</v>
      </c>
    </row>
    <row r="6270" spans="1:5" x14ac:dyDescent="0.2">
      <c r="A6270">
        <v>6209</v>
      </c>
      <c r="B6270" s="1832">
        <f>'Acct Summary 7-8'!F82</f>
        <v>97936</v>
      </c>
      <c r="D6270" s="2" t="str">
        <f t="shared" si="96"/>
        <v>Error?</v>
      </c>
      <c r="E6270" s="2" t="s">
        <v>189</v>
      </c>
    </row>
    <row r="6271" spans="1:5" x14ac:dyDescent="0.2">
      <c r="A6271">
        <v>6210</v>
      </c>
      <c r="B6271" s="1832">
        <f>'Acct Summary 7-8'!G82</f>
        <v>101749</v>
      </c>
      <c r="D6271" s="2" t="str">
        <f t="shared" ref="D6271:D6334" si="97">IF(ISBLANK(B6271),"OK",IF(A6271-B6271=0,"OK","Error?"))</f>
        <v>Error?</v>
      </c>
      <c r="E6271" s="2" t="s">
        <v>189</v>
      </c>
    </row>
    <row r="6272" spans="1:5" x14ac:dyDescent="0.2">
      <c r="A6272">
        <v>6211</v>
      </c>
      <c r="B6272" s="1832">
        <f>'Acct Summary 7-8'!H82</f>
        <v>1449158</v>
      </c>
      <c r="D6272" s="2" t="str">
        <f t="shared" si="97"/>
        <v>Error?</v>
      </c>
      <c r="E6272" s="2" t="s">
        <v>189</v>
      </c>
    </row>
    <row r="6273" spans="1:5" x14ac:dyDescent="0.2">
      <c r="A6273">
        <v>6212</v>
      </c>
      <c r="B6273" s="1832">
        <f>'Acct Summary 7-8'!I82</f>
        <v>-1743575</v>
      </c>
      <c r="D6273" s="2" t="str">
        <f t="shared" si="97"/>
        <v>Error?</v>
      </c>
      <c r="E6273" s="2" t="s">
        <v>189</v>
      </c>
    </row>
    <row r="6274" spans="1:5" x14ac:dyDescent="0.2">
      <c r="A6274">
        <v>6213</v>
      </c>
      <c r="B6274" s="1832">
        <f>'Acct Summary 7-8'!J82</f>
        <v>163206</v>
      </c>
      <c r="D6274" s="2" t="str">
        <f t="shared" si="97"/>
        <v>Error?</v>
      </c>
      <c r="E6274" s="2" t="s">
        <v>189</v>
      </c>
    </row>
    <row r="6275" spans="1:5" x14ac:dyDescent="0.2">
      <c r="A6275">
        <v>6214</v>
      </c>
      <c r="B6275" s="1832">
        <f>'Acct Summary 7-8'!K82</f>
        <v>109959</v>
      </c>
      <c r="D6275" s="2" t="str">
        <f t="shared" si="97"/>
        <v>Error?</v>
      </c>
      <c r="E6275" s="2" t="s">
        <v>189</v>
      </c>
    </row>
    <row r="6276" spans="1:5" x14ac:dyDescent="0.2">
      <c r="A6276">
        <v>6215</v>
      </c>
      <c r="B6276" s="1832">
        <f>'Acct Summary 7-8'!C83</f>
        <v>0.4527241502241845</v>
      </c>
      <c r="D6276" s="2" t="str">
        <f t="shared" si="97"/>
        <v>Error?</v>
      </c>
      <c r="E6276" s="2" t="s">
        <v>189</v>
      </c>
    </row>
    <row r="6277" spans="1:5" x14ac:dyDescent="0.2">
      <c r="A6277">
        <v>6216</v>
      </c>
      <c r="B6277" s="1832">
        <f>'Acct Summary 7-8'!D83</f>
        <v>-9.1746495518749138E-2</v>
      </c>
      <c r="D6277" s="2" t="str">
        <f t="shared" si="97"/>
        <v>Error?</v>
      </c>
      <c r="E6277" s="2" t="s">
        <v>189</v>
      </c>
    </row>
    <row r="6278" spans="1:5" x14ac:dyDescent="0.2">
      <c r="A6278">
        <v>6217</v>
      </c>
      <c r="B6278" s="1832">
        <f>'Acct Summary 7-8'!E83</f>
        <v>0.11911646205621652</v>
      </c>
      <c r="D6278" s="2" t="str">
        <f t="shared" si="97"/>
        <v>Error?</v>
      </c>
      <c r="E6278" s="2" t="s">
        <v>189</v>
      </c>
    </row>
    <row r="6279" spans="1:5" x14ac:dyDescent="0.2">
      <c r="A6279">
        <v>6218</v>
      </c>
      <c r="B6279" s="1832">
        <f>'Acct Summary 7-8'!F83</f>
        <v>6.8422740416827069E-2</v>
      </c>
      <c r="D6279" s="2" t="str">
        <f t="shared" si="97"/>
        <v>Error?</v>
      </c>
      <c r="E6279" s="2" t="s">
        <v>189</v>
      </c>
    </row>
    <row r="6280" spans="1:5" x14ac:dyDescent="0.2">
      <c r="A6280">
        <v>6219</v>
      </c>
      <c r="B6280" s="1832">
        <f>'Acct Summary 7-8'!G83</f>
        <v>0.16521261895831404</v>
      </c>
      <c r="D6280" s="2" t="str">
        <f t="shared" si="97"/>
        <v>Error?</v>
      </c>
      <c r="E6280" s="2" t="s">
        <v>189</v>
      </c>
    </row>
    <row r="6281" spans="1:5" x14ac:dyDescent="0.2">
      <c r="A6281">
        <v>6220</v>
      </c>
      <c r="B6281" s="1832">
        <f>'Acct Summary 7-8'!H83</f>
        <v>0.8228919596491876</v>
      </c>
      <c r="D6281" s="2" t="str">
        <f t="shared" si="97"/>
        <v>Error?</v>
      </c>
      <c r="E6281" s="2" t="s">
        <v>189</v>
      </c>
    </row>
    <row r="6282" spans="1:5" x14ac:dyDescent="0.2">
      <c r="A6282">
        <v>6221</v>
      </c>
      <c r="B6282" s="1832">
        <f>'Acct Summary 7-8'!I83</f>
        <v>-1.5457745916972381</v>
      </c>
      <c r="D6282" s="2" t="str">
        <f t="shared" si="97"/>
        <v>Error?</v>
      </c>
      <c r="E6282" s="2" t="s">
        <v>189</v>
      </c>
    </row>
    <row r="6283" spans="1:5" x14ac:dyDescent="0.2">
      <c r="A6283">
        <v>6222</v>
      </c>
      <c r="B6283" s="1832">
        <f>'Acct Summary 7-8'!J83</f>
        <v>0.23487000595788038</v>
      </c>
      <c r="D6283" s="2" t="str">
        <f t="shared" si="97"/>
        <v>Error?</v>
      </c>
      <c r="E6283" s="2" t="s">
        <v>189</v>
      </c>
    </row>
    <row r="6284" spans="1:5" x14ac:dyDescent="0.2">
      <c r="A6284">
        <v>6223</v>
      </c>
      <c r="B6284" s="1832">
        <f>'Acct Summary 7-8'!K83</f>
        <v>0.27650329287336206</v>
      </c>
      <c r="D6284" s="2" t="str">
        <f t="shared" si="97"/>
        <v>Error?</v>
      </c>
      <c r="E6284" s="2" t="s">
        <v>189</v>
      </c>
    </row>
    <row r="6285" spans="1:5" x14ac:dyDescent="0.2">
      <c r="A6285">
        <v>6224</v>
      </c>
      <c r="B6285" s="1832">
        <f>'Acct Summary 7-8'!E37</f>
        <v>139420</v>
      </c>
      <c r="D6285" s="2" t="str">
        <f t="shared" si="97"/>
        <v>Error?</v>
      </c>
      <c r="E6285" s="2" t="s">
        <v>189</v>
      </c>
    </row>
    <row r="6286" spans="1:5" x14ac:dyDescent="0.2">
      <c r="A6286">
        <v>6225</v>
      </c>
      <c r="B6286" s="1832">
        <f>'Acct Summary 7-8'!E38</f>
        <v>7254</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800000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588955</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588955</v>
      </c>
      <c r="D6301" s="2" t="str">
        <f t="shared" si="97"/>
        <v>Error?</v>
      </c>
      <c r="E6301" s="2" t="s">
        <v>189</v>
      </c>
    </row>
    <row r="6302" spans="1:5" x14ac:dyDescent="0.2">
      <c r="A6302">
        <v>6241</v>
      </c>
      <c r="B6302" s="1832">
        <f>'Revenues 9-14'!J14</f>
        <v>810</v>
      </c>
      <c r="D6302" s="2" t="str">
        <f t="shared" si="97"/>
        <v>Error?</v>
      </c>
      <c r="E6302" s="2" t="s">
        <v>189</v>
      </c>
    </row>
    <row r="6303" spans="1:5" x14ac:dyDescent="0.2">
      <c r="A6303">
        <v>6242</v>
      </c>
      <c r="B6303" s="1832">
        <f>'Revenues 9-14'!J15</f>
        <v>172</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982</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8525</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8525</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10391</v>
      </c>
      <c r="D6329" s="2" t="str">
        <f t="shared" si="97"/>
        <v>Error?</v>
      </c>
      <c r="E6329" s="2" t="s">
        <v>189</v>
      </c>
    </row>
    <row r="6330" spans="1:5" x14ac:dyDescent="0.2">
      <c r="A6330">
        <v>6269</v>
      </c>
      <c r="B6330" s="1832">
        <f>'Revenues 9-14'!C100</f>
        <v>33186</v>
      </c>
      <c r="D6330" s="2" t="str">
        <f t="shared" si="97"/>
        <v>Error?</v>
      </c>
      <c r="E6330" s="2" t="s">
        <v>189</v>
      </c>
    </row>
    <row r="6331" spans="1:5" x14ac:dyDescent="0.2">
      <c r="A6331">
        <v>6270</v>
      </c>
      <c r="B6331" s="1832">
        <f>'Revenues 9-14'!D100</f>
        <v>5459</v>
      </c>
      <c r="D6331" s="2" t="str">
        <f t="shared" si="97"/>
        <v>Error?</v>
      </c>
      <c r="E6331" s="2" t="s">
        <v>189</v>
      </c>
    </row>
    <row r="6332" spans="1:5" x14ac:dyDescent="0.2">
      <c r="A6332">
        <v>6271</v>
      </c>
      <c r="B6332" s="1832">
        <f>'Revenues 9-14'!E100</f>
        <v>4157</v>
      </c>
      <c r="D6332" s="2" t="str">
        <f t="shared" si="97"/>
        <v>Error?</v>
      </c>
      <c r="E6332" s="2" t="s">
        <v>189</v>
      </c>
    </row>
    <row r="6333" spans="1:5" x14ac:dyDescent="0.2">
      <c r="A6333">
        <v>6272</v>
      </c>
      <c r="B6333" s="1832">
        <f>'Revenues 9-14'!F100</f>
        <v>2078</v>
      </c>
      <c r="D6333" s="2" t="str">
        <f t="shared" si="97"/>
        <v>Error?</v>
      </c>
      <c r="E6333" s="2" t="s">
        <v>189</v>
      </c>
    </row>
    <row r="6334" spans="1:5" x14ac:dyDescent="0.2">
      <c r="A6334">
        <v>6273</v>
      </c>
      <c r="B6334" s="1832">
        <f>'Revenues 9-14'!G100</f>
        <v>2395</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521</v>
      </c>
      <c r="D6336" s="2" t="str">
        <f t="shared" si="98"/>
        <v>Error?</v>
      </c>
      <c r="E6336" s="2" t="s">
        <v>189</v>
      </c>
    </row>
    <row r="6337" spans="1:5" x14ac:dyDescent="0.2">
      <c r="A6337">
        <v>6276</v>
      </c>
      <c r="B6337" s="1832">
        <f>'Revenues 9-14'!J100</f>
        <v>2747</v>
      </c>
      <c r="D6337" s="2" t="str">
        <f t="shared" si="98"/>
        <v>Error?</v>
      </c>
      <c r="E6337" s="2" t="s">
        <v>189</v>
      </c>
    </row>
    <row r="6338" spans="1:5" x14ac:dyDescent="0.2">
      <c r="A6338">
        <v>6277</v>
      </c>
      <c r="B6338" s="1832">
        <f>'Revenues 9-14'!K100</f>
        <v>521</v>
      </c>
      <c r="D6338" s="2" t="str">
        <f t="shared" si="98"/>
        <v>Error?</v>
      </c>
      <c r="E6338" s="2" t="s">
        <v>189</v>
      </c>
    </row>
    <row r="6339" spans="1:5" x14ac:dyDescent="0.2">
      <c r="A6339">
        <v>6278</v>
      </c>
      <c r="B6339" s="1832">
        <f>'Revenues 9-14'!C101</f>
        <v>18710</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302</v>
      </c>
      <c r="D6350" s="2" t="str">
        <f t="shared" si="98"/>
        <v>Error?</v>
      </c>
      <c r="E6350" s="2" t="s">
        <v>189</v>
      </c>
    </row>
    <row r="6351" spans="1:5" x14ac:dyDescent="0.2">
      <c r="A6351">
        <v>6290</v>
      </c>
      <c r="B6351" s="1832">
        <f>'Revenues 9-14'!J108</f>
        <v>13440</v>
      </c>
      <c r="D6351" s="2" t="str">
        <f t="shared" si="98"/>
        <v>Error?</v>
      </c>
      <c r="E6351" s="2" t="s">
        <v>189</v>
      </c>
    </row>
    <row r="6352" spans="1:5" x14ac:dyDescent="0.2">
      <c r="A6352">
        <v>6291</v>
      </c>
      <c r="B6352" s="1832">
        <f>'Revenues 9-14'!J109</f>
        <v>611902</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9450</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1895</v>
      </c>
    </row>
    <row r="6383" spans="1:6" x14ac:dyDescent="0.2">
      <c r="A6383" s="126">
        <v>6322</v>
      </c>
      <c r="B6383" s="1832"/>
      <c r="D6383" s="2" t="str">
        <f t="shared" si="98"/>
        <v>OK</v>
      </c>
      <c r="E6383" s="2" t="s">
        <v>189</v>
      </c>
      <c r="F6383" s="1" t="s">
        <v>1895</v>
      </c>
    </row>
    <row r="6384" spans="1:6" x14ac:dyDescent="0.2">
      <c r="A6384" s="126">
        <v>6323</v>
      </c>
      <c r="B6384" s="1832"/>
      <c r="D6384" s="2" t="str">
        <f t="shared" si="98"/>
        <v>OK</v>
      </c>
      <c r="E6384" s="2" t="s">
        <v>189</v>
      </c>
      <c r="F6384" s="1" t="s">
        <v>1895</v>
      </c>
    </row>
    <row r="6385" spans="1:6" x14ac:dyDescent="0.2">
      <c r="A6385" s="126">
        <v>6324</v>
      </c>
      <c r="B6385" s="1832"/>
      <c r="D6385" s="2" t="str">
        <f t="shared" si="98"/>
        <v>OK</v>
      </c>
      <c r="E6385" s="2" t="s">
        <v>189</v>
      </c>
      <c r="F6385" s="1" t="s">
        <v>1895</v>
      </c>
    </row>
    <row r="6386" spans="1:6" x14ac:dyDescent="0.2">
      <c r="A6386" s="126">
        <v>6325</v>
      </c>
      <c r="B6386" s="1832"/>
      <c r="D6386" s="2" t="str">
        <f t="shared" si="98"/>
        <v>OK</v>
      </c>
      <c r="E6386" s="2" t="s">
        <v>189</v>
      </c>
      <c r="F6386" s="1" t="s">
        <v>1895</v>
      </c>
    </row>
    <row r="6387" spans="1:6" x14ac:dyDescent="0.2">
      <c r="A6387" s="126">
        <v>6326</v>
      </c>
      <c r="B6387" s="1832"/>
      <c r="D6387" s="2" t="str">
        <f t="shared" si="98"/>
        <v>OK</v>
      </c>
      <c r="E6387" s="2" t="s">
        <v>189</v>
      </c>
      <c r="F6387" s="1" t="s">
        <v>1895</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1895</v>
      </c>
    </row>
    <row r="6411" spans="1:6" x14ac:dyDescent="0.2">
      <c r="A6411" s="126">
        <v>6350</v>
      </c>
      <c r="B6411" s="1832"/>
      <c r="D6411" s="2" t="str">
        <f t="shared" si="99"/>
        <v>OK</v>
      </c>
      <c r="E6411" s="2" t="s">
        <v>189</v>
      </c>
      <c r="F6411" s="1" t="s">
        <v>1895</v>
      </c>
    </row>
    <row r="6412" spans="1:6" x14ac:dyDescent="0.2">
      <c r="A6412" s="126">
        <v>6351</v>
      </c>
      <c r="B6412" s="1832"/>
      <c r="D6412" s="2" t="str">
        <f t="shared" si="99"/>
        <v>OK</v>
      </c>
      <c r="E6412" s="2" t="s">
        <v>189</v>
      </c>
      <c r="F6412" s="1" t="s">
        <v>1895</v>
      </c>
    </row>
    <row r="6413" spans="1:6" x14ac:dyDescent="0.2">
      <c r="A6413" s="126">
        <v>6352</v>
      </c>
      <c r="B6413" s="1832"/>
      <c r="D6413" s="2" t="str">
        <f t="shared" si="99"/>
        <v>OK</v>
      </c>
      <c r="E6413" s="2" t="s">
        <v>189</v>
      </c>
      <c r="F6413" s="1" t="s">
        <v>1895</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1991</v>
      </c>
    </row>
    <row r="6417" spans="1:5" x14ac:dyDescent="0.2">
      <c r="A6417" s="126">
        <v>6356</v>
      </c>
      <c r="B6417" s="1832"/>
      <c r="D6417" s="2" t="str">
        <f t="shared" si="99"/>
        <v>OK</v>
      </c>
      <c r="E6417" s="4" t="s">
        <v>1991</v>
      </c>
    </row>
    <row r="6418" spans="1:5" x14ac:dyDescent="0.2">
      <c r="A6418" s="126">
        <v>6357</v>
      </c>
      <c r="B6418" s="1832"/>
      <c r="D6418" s="2" t="str">
        <f t="shared" si="99"/>
        <v>OK</v>
      </c>
      <c r="E6418" s="4" t="s">
        <v>1991</v>
      </c>
    </row>
    <row r="6419" spans="1:5" x14ac:dyDescent="0.2">
      <c r="A6419" s="126">
        <v>6358</v>
      </c>
      <c r="B6419" s="1832"/>
      <c r="D6419" s="2" t="str">
        <f t="shared" si="99"/>
        <v>OK</v>
      </c>
      <c r="E6419" s="4" t="s">
        <v>1991</v>
      </c>
    </row>
    <row r="6420" spans="1:5" x14ac:dyDescent="0.2">
      <c r="A6420" s="126">
        <v>6359</v>
      </c>
      <c r="B6420" s="1832"/>
      <c r="D6420" s="2" t="str">
        <f t="shared" si="99"/>
        <v>OK</v>
      </c>
      <c r="E6420" s="4" t="s">
        <v>1991</v>
      </c>
    </row>
    <row r="6421" spans="1:5" x14ac:dyDescent="0.2">
      <c r="A6421" s="126">
        <v>6360</v>
      </c>
      <c r="B6421" s="1832"/>
      <c r="D6421" s="2" t="str">
        <f t="shared" si="99"/>
        <v>OK</v>
      </c>
      <c r="E6421" s="4" t="s">
        <v>1991</v>
      </c>
    </row>
    <row r="6422" spans="1:5" x14ac:dyDescent="0.2">
      <c r="A6422" s="126">
        <v>6361</v>
      </c>
      <c r="B6422" s="1832"/>
      <c r="D6422" s="2" t="str">
        <f t="shared" si="99"/>
        <v>OK</v>
      </c>
      <c r="E6422" s="4" t="s">
        <v>1991</v>
      </c>
    </row>
    <row r="6423" spans="1:5" x14ac:dyDescent="0.2">
      <c r="A6423" s="126">
        <v>6362</v>
      </c>
      <c r="B6423" s="1832"/>
      <c r="D6423" s="2" t="str">
        <f t="shared" si="99"/>
        <v>OK</v>
      </c>
      <c r="E6423" s="4" t="s">
        <v>1991</v>
      </c>
    </row>
    <row r="6424" spans="1:5" x14ac:dyDescent="0.2">
      <c r="A6424" s="126">
        <v>6363</v>
      </c>
      <c r="B6424" s="1832"/>
      <c r="D6424" s="2" t="str">
        <f t="shared" si="99"/>
        <v>OK</v>
      </c>
      <c r="E6424" s="4" t="s">
        <v>1991</v>
      </c>
    </row>
    <row r="6425" spans="1:5" x14ac:dyDescent="0.2">
      <c r="A6425" s="126">
        <v>6364</v>
      </c>
      <c r="B6425" s="1832"/>
      <c r="D6425" s="2" t="str">
        <f t="shared" si="99"/>
        <v>OK</v>
      </c>
      <c r="E6425" s="4" t="s">
        <v>1991</v>
      </c>
    </row>
    <row r="6426" spans="1:5" x14ac:dyDescent="0.2">
      <c r="A6426" s="126">
        <v>6365</v>
      </c>
      <c r="B6426" s="1832"/>
      <c r="D6426" s="2" t="str">
        <f t="shared" si="99"/>
        <v>OK</v>
      </c>
      <c r="E6426" s="4" t="s">
        <v>1991</v>
      </c>
    </row>
    <row r="6427" spans="1:5" x14ac:dyDescent="0.2">
      <c r="A6427" s="126">
        <v>6366</v>
      </c>
      <c r="B6427" s="1832"/>
      <c r="D6427" s="2" t="str">
        <f t="shared" si="99"/>
        <v>OK</v>
      </c>
      <c r="E6427" s="4" t="s">
        <v>1991</v>
      </c>
    </row>
    <row r="6428" spans="1:5" x14ac:dyDescent="0.2">
      <c r="A6428" s="126">
        <v>6367</v>
      </c>
      <c r="B6428" s="1832"/>
      <c r="D6428" s="2" t="str">
        <f t="shared" si="99"/>
        <v>OK</v>
      </c>
      <c r="E6428" s="4" t="s">
        <v>1991</v>
      </c>
    </row>
    <row r="6429" spans="1:5" x14ac:dyDescent="0.2">
      <c r="A6429" s="126">
        <v>6368</v>
      </c>
      <c r="B6429" s="1832"/>
      <c r="D6429" s="2" t="str">
        <f t="shared" si="99"/>
        <v>OK</v>
      </c>
      <c r="E6429" s="4" t="s">
        <v>1991</v>
      </c>
    </row>
    <row r="6430" spans="1:5" x14ac:dyDescent="0.2">
      <c r="A6430" s="126">
        <v>6369</v>
      </c>
      <c r="B6430" s="1832"/>
      <c r="D6430" s="2" t="str">
        <f t="shared" si="99"/>
        <v>OK</v>
      </c>
      <c r="E6430" s="4" t="s">
        <v>1991</v>
      </c>
    </row>
    <row r="6431" spans="1:5" x14ac:dyDescent="0.2">
      <c r="A6431" s="126">
        <v>6370</v>
      </c>
      <c r="B6431" s="1832"/>
      <c r="D6431" s="2" t="str">
        <f t="shared" si="99"/>
        <v>OK</v>
      </c>
      <c r="E6431" s="4" t="s">
        <v>1991</v>
      </c>
    </row>
    <row r="6432" spans="1:5" x14ac:dyDescent="0.2">
      <c r="A6432" s="126">
        <v>6371</v>
      </c>
      <c r="B6432" s="1832"/>
      <c r="D6432" s="2" t="str">
        <f t="shared" si="99"/>
        <v>OK</v>
      </c>
      <c r="E6432" s="4" t="s">
        <v>1991</v>
      </c>
    </row>
    <row r="6433" spans="1:5" x14ac:dyDescent="0.2">
      <c r="A6433" s="126">
        <v>6372</v>
      </c>
      <c r="B6433" s="1832"/>
      <c r="D6433" s="2" t="str">
        <f t="shared" si="99"/>
        <v>OK</v>
      </c>
      <c r="E6433" s="4" t="s">
        <v>1991</v>
      </c>
    </row>
    <row r="6434" spans="1:5" x14ac:dyDescent="0.2">
      <c r="A6434" s="126">
        <v>6373</v>
      </c>
      <c r="B6434" s="1832"/>
      <c r="D6434" s="2" t="str">
        <f t="shared" si="99"/>
        <v>OK</v>
      </c>
      <c r="E6434" s="4" t="s">
        <v>1991</v>
      </c>
    </row>
    <row r="6435" spans="1:5" x14ac:dyDescent="0.2">
      <c r="A6435" s="126">
        <v>6374</v>
      </c>
      <c r="B6435" s="1832"/>
      <c r="D6435" s="2" t="str">
        <f t="shared" si="99"/>
        <v>OK</v>
      </c>
      <c r="E6435" s="4" t="s">
        <v>1991</v>
      </c>
    </row>
    <row r="6436" spans="1:5" x14ac:dyDescent="0.2">
      <c r="A6436" s="126">
        <v>6375</v>
      </c>
      <c r="B6436" s="1832"/>
      <c r="D6436" s="2" t="str">
        <f t="shared" si="99"/>
        <v>OK</v>
      </c>
      <c r="E6436" s="4" t="s">
        <v>1991</v>
      </c>
    </row>
    <row r="6437" spans="1:5" x14ac:dyDescent="0.2">
      <c r="A6437" s="126">
        <v>6376</v>
      </c>
      <c r="B6437" s="1832"/>
      <c r="D6437" s="2" t="str">
        <f t="shared" si="99"/>
        <v>OK</v>
      </c>
      <c r="E6437" s="4" t="s">
        <v>1991</v>
      </c>
    </row>
    <row r="6438" spans="1:5" x14ac:dyDescent="0.2">
      <c r="A6438" s="126">
        <v>6377</v>
      </c>
      <c r="B6438" s="1832"/>
      <c r="D6438" s="2" t="str">
        <f t="shared" si="99"/>
        <v>OK</v>
      </c>
      <c r="E6438" s="4" t="s">
        <v>1991</v>
      </c>
    </row>
    <row r="6439" spans="1:5" x14ac:dyDescent="0.2">
      <c r="A6439" s="126">
        <v>6378</v>
      </c>
      <c r="B6439" s="1832"/>
      <c r="D6439" s="2" t="str">
        <f t="shared" si="99"/>
        <v>OK</v>
      </c>
      <c r="E6439" s="4" t="s">
        <v>1991</v>
      </c>
    </row>
    <row r="6440" spans="1:5" x14ac:dyDescent="0.2">
      <c r="A6440" s="126">
        <v>6379</v>
      </c>
      <c r="B6440" s="1832"/>
      <c r="D6440" s="2" t="str">
        <f t="shared" si="99"/>
        <v>OK</v>
      </c>
      <c r="E6440" s="4" t="s">
        <v>1991</v>
      </c>
    </row>
    <row r="6441" spans="1:5" x14ac:dyDescent="0.2">
      <c r="A6441" s="126">
        <v>6380</v>
      </c>
      <c r="B6441" s="1832"/>
      <c r="D6441" s="2" t="str">
        <f t="shared" si="99"/>
        <v>OK</v>
      </c>
      <c r="E6441" s="4" t="s">
        <v>1991</v>
      </c>
    </row>
    <row r="6442" spans="1:5" x14ac:dyDescent="0.2">
      <c r="A6442" s="126">
        <v>6381</v>
      </c>
      <c r="B6442" s="1832"/>
      <c r="D6442" s="2" t="str">
        <f t="shared" si="99"/>
        <v>OK</v>
      </c>
      <c r="E6442" s="4" t="s">
        <v>1991</v>
      </c>
    </row>
    <row r="6443" spans="1:5" x14ac:dyDescent="0.2">
      <c r="A6443" s="126">
        <v>6382</v>
      </c>
      <c r="B6443" s="1832"/>
      <c r="D6443" s="2" t="str">
        <f t="shared" si="99"/>
        <v>OK</v>
      </c>
      <c r="E6443" s="4" t="s">
        <v>1991</v>
      </c>
    </row>
    <row r="6444" spans="1:5" x14ac:dyDescent="0.2">
      <c r="A6444" s="126">
        <v>6383</v>
      </c>
      <c r="B6444" s="1832"/>
      <c r="D6444" s="2" t="str">
        <f t="shared" si="99"/>
        <v>OK</v>
      </c>
      <c r="E6444" s="4" t="s">
        <v>1991</v>
      </c>
    </row>
    <row r="6445" spans="1:5" x14ac:dyDescent="0.2">
      <c r="A6445" s="126">
        <v>6384</v>
      </c>
      <c r="B6445" s="1832"/>
      <c r="D6445" s="2" t="str">
        <f t="shared" si="99"/>
        <v>OK</v>
      </c>
      <c r="E6445" s="4" t="s">
        <v>1991</v>
      </c>
    </row>
    <row r="6446" spans="1:5" x14ac:dyDescent="0.2">
      <c r="A6446" s="126">
        <v>6385</v>
      </c>
      <c r="B6446" s="1832"/>
      <c r="D6446" s="2" t="str">
        <f t="shared" si="99"/>
        <v>OK</v>
      </c>
      <c r="E6446" s="4" t="s">
        <v>1991</v>
      </c>
    </row>
    <row r="6447" spans="1:5" x14ac:dyDescent="0.2">
      <c r="A6447" s="126">
        <v>6386</v>
      </c>
      <c r="B6447" s="1832"/>
      <c r="D6447" s="2" t="str">
        <f t="shared" si="99"/>
        <v>OK</v>
      </c>
      <c r="E6447" s="4" t="s">
        <v>1991</v>
      </c>
    </row>
    <row r="6448" spans="1:5" x14ac:dyDescent="0.2">
      <c r="A6448" s="126">
        <v>6387</v>
      </c>
      <c r="B6448" s="1832"/>
      <c r="D6448" s="2" t="str">
        <f t="shared" si="99"/>
        <v>OK</v>
      </c>
      <c r="E6448" s="4" t="s">
        <v>1991</v>
      </c>
    </row>
    <row r="6449" spans="1:5" x14ac:dyDescent="0.2">
      <c r="A6449" s="126">
        <v>6388</v>
      </c>
      <c r="B6449" s="1832"/>
      <c r="D6449" s="2" t="str">
        <f t="shared" si="99"/>
        <v>OK</v>
      </c>
      <c r="E6449" s="4" t="s">
        <v>1991</v>
      </c>
    </row>
    <row r="6450" spans="1:5" x14ac:dyDescent="0.2">
      <c r="A6450" s="126">
        <v>6389</v>
      </c>
      <c r="B6450" s="1832"/>
      <c r="D6450" s="2" t="str">
        <f t="shared" si="99"/>
        <v>OK</v>
      </c>
      <c r="E6450" s="4" t="s">
        <v>1991</v>
      </c>
    </row>
    <row r="6451" spans="1:5" x14ac:dyDescent="0.2">
      <c r="A6451" s="126">
        <v>6390</v>
      </c>
      <c r="B6451" s="1832"/>
      <c r="D6451" s="2" t="str">
        <f t="shared" si="99"/>
        <v>OK</v>
      </c>
      <c r="E6451" s="4" t="s">
        <v>1991</v>
      </c>
    </row>
    <row r="6452" spans="1:5" x14ac:dyDescent="0.2">
      <c r="A6452" s="126">
        <v>6391</v>
      </c>
      <c r="B6452" s="1832"/>
      <c r="D6452" s="2" t="str">
        <f t="shared" si="99"/>
        <v>OK</v>
      </c>
      <c r="E6452" s="4" t="s">
        <v>1991</v>
      </c>
    </row>
    <row r="6453" spans="1:5" x14ac:dyDescent="0.2">
      <c r="A6453" s="126">
        <v>6392</v>
      </c>
      <c r="B6453" s="1832"/>
      <c r="D6453" s="2" t="str">
        <f t="shared" si="99"/>
        <v>OK</v>
      </c>
      <c r="E6453" s="4" t="s">
        <v>1991</v>
      </c>
    </row>
    <row r="6454" spans="1:5" x14ac:dyDescent="0.2">
      <c r="A6454" s="126">
        <v>6393</v>
      </c>
      <c r="B6454" s="1832"/>
      <c r="D6454" s="2" t="str">
        <f t="shared" si="99"/>
        <v>OK</v>
      </c>
      <c r="E6454" s="4" t="s">
        <v>1991</v>
      </c>
    </row>
    <row r="6455" spans="1:5" x14ac:dyDescent="0.2">
      <c r="A6455" s="126">
        <v>6394</v>
      </c>
      <c r="B6455" s="1832"/>
      <c r="D6455" s="2" t="str">
        <f t="shared" si="99"/>
        <v>OK</v>
      </c>
      <c r="E6455" s="4" t="s">
        <v>1991</v>
      </c>
    </row>
    <row r="6456" spans="1:5" x14ac:dyDescent="0.2">
      <c r="A6456" s="126">
        <v>6395</v>
      </c>
      <c r="B6456" s="1832"/>
      <c r="D6456" s="2" t="str">
        <f t="shared" si="99"/>
        <v>OK</v>
      </c>
      <c r="E6456" s="4" t="s">
        <v>1991</v>
      </c>
    </row>
    <row r="6457" spans="1:5" x14ac:dyDescent="0.2">
      <c r="A6457" s="126">
        <v>6396</v>
      </c>
      <c r="B6457" s="1832"/>
      <c r="D6457" s="2" t="str">
        <f t="shared" si="99"/>
        <v>OK</v>
      </c>
      <c r="E6457" s="4" t="s">
        <v>1991</v>
      </c>
    </row>
    <row r="6458" spans="1:5" x14ac:dyDescent="0.2">
      <c r="A6458" s="126">
        <v>6397</v>
      </c>
      <c r="B6458" s="1832"/>
      <c r="D6458" s="2" t="str">
        <f t="shared" si="99"/>
        <v>OK</v>
      </c>
      <c r="E6458" s="4" t="s">
        <v>1991</v>
      </c>
    </row>
    <row r="6459" spans="1:5" x14ac:dyDescent="0.2">
      <c r="A6459" s="126">
        <v>6398</v>
      </c>
      <c r="B6459" s="1832"/>
      <c r="D6459" s="2" t="str">
        <f t="shared" si="99"/>
        <v>OK</v>
      </c>
      <c r="E6459" s="4" t="s">
        <v>1991</v>
      </c>
    </row>
    <row r="6460" spans="1:5" x14ac:dyDescent="0.2">
      <c r="A6460" s="126">
        <v>6399</v>
      </c>
      <c r="B6460" s="1832"/>
      <c r="D6460" s="2" t="str">
        <f t="shared" si="99"/>
        <v>OK</v>
      </c>
      <c r="E6460" s="4" t="s">
        <v>1991</v>
      </c>
    </row>
    <row r="6461" spans="1:5" x14ac:dyDescent="0.2">
      <c r="A6461" s="126">
        <v>6400</v>
      </c>
      <c r="B6461" s="1832"/>
      <c r="D6461" s="2" t="str">
        <f t="shared" si="99"/>
        <v>OK</v>
      </c>
      <c r="E6461" s="4" t="s">
        <v>1991</v>
      </c>
    </row>
    <row r="6462" spans="1:5" x14ac:dyDescent="0.2">
      <c r="A6462" s="126">
        <v>6401</v>
      </c>
      <c r="B6462" s="1832"/>
      <c r="D6462" s="2" t="str">
        <f t="shared" si="99"/>
        <v>OK</v>
      </c>
      <c r="E6462" s="4" t="s">
        <v>1991</v>
      </c>
    </row>
    <row r="6463" spans="1:5" x14ac:dyDescent="0.2">
      <c r="A6463" s="126">
        <v>6402</v>
      </c>
      <c r="B6463" s="1832"/>
      <c r="D6463" s="2" t="str">
        <f t="shared" ref="D6463:D6526" si="100">IF(ISBLANK(B6463),"OK",IF(A6463-B6463=0,"OK","Error?"))</f>
        <v>OK</v>
      </c>
      <c r="E6463" s="4" t="s">
        <v>1991</v>
      </c>
    </row>
    <row r="6464" spans="1:5" x14ac:dyDescent="0.2">
      <c r="A6464" s="126">
        <v>6403</v>
      </c>
      <c r="B6464" s="1832"/>
      <c r="D6464" s="2" t="str">
        <f t="shared" si="100"/>
        <v>OK</v>
      </c>
      <c r="E6464" s="4" t="s">
        <v>1991</v>
      </c>
    </row>
    <row r="6465" spans="1:5" x14ac:dyDescent="0.2">
      <c r="A6465" s="126">
        <v>6404</v>
      </c>
      <c r="B6465" s="1832"/>
      <c r="D6465" s="2" t="str">
        <f t="shared" si="100"/>
        <v>OK</v>
      </c>
      <c r="E6465" s="4" t="s">
        <v>1991</v>
      </c>
    </row>
    <row r="6466" spans="1:5" x14ac:dyDescent="0.2">
      <c r="A6466" s="126">
        <v>6405</v>
      </c>
      <c r="B6466" s="1832"/>
      <c r="D6466" s="2" t="str">
        <f t="shared" si="100"/>
        <v>OK</v>
      </c>
      <c r="E6466" s="4" t="s">
        <v>1991</v>
      </c>
    </row>
    <row r="6467" spans="1:5" x14ac:dyDescent="0.2">
      <c r="A6467" s="126">
        <v>6406</v>
      </c>
      <c r="B6467" s="1832"/>
      <c r="D6467" s="2" t="str">
        <f t="shared" si="100"/>
        <v>OK</v>
      </c>
      <c r="E6467" s="4" t="s">
        <v>1991</v>
      </c>
    </row>
    <row r="6468" spans="1:5" x14ac:dyDescent="0.2">
      <c r="A6468" s="126">
        <v>6407</v>
      </c>
      <c r="B6468" s="1832"/>
      <c r="D6468" s="2" t="str">
        <f t="shared" si="100"/>
        <v>OK</v>
      </c>
      <c r="E6468" s="4" t="s">
        <v>1991</v>
      </c>
    </row>
    <row r="6469" spans="1:5" x14ac:dyDescent="0.2">
      <c r="A6469" s="126">
        <v>6408</v>
      </c>
      <c r="B6469" s="1832"/>
      <c r="D6469" s="2" t="str">
        <f t="shared" si="100"/>
        <v>OK</v>
      </c>
      <c r="E6469" s="4" t="s">
        <v>1991</v>
      </c>
    </row>
    <row r="6470" spans="1:5" x14ac:dyDescent="0.2">
      <c r="A6470" s="126">
        <v>6409</v>
      </c>
      <c r="B6470" s="1832"/>
      <c r="D6470" s="2" t="str">
        <f t="shared" si="100"/>
        <v>OK</v>
      </c>
      <c r="E6470" s="4" t="s">
        <v>1991</v>
      </c>
    </row>
    <row r="6471" spans="1:5" x14ac:dyDescent="0.2">
      <c r="A6471" s="126">
        <v>6410</v>
      </c>
      <c r="B6471" s="1832"/>
      <c r="D6471" s="2" t="str">
        <f t="shared" si="100"/>
        <v>OK</v>
      </c>
      <c r="E6471" s="4" t="s">
        <v>1991</v>
      </c>
    </row>
    <row r="6472" spans="1:5" x14ac:dyDescent="0.2">
      <c r="A6472" s="126">
        <v>6411</v>
      </c>
      <c r="B6472" s="1832"/>
      <c r="D6472" s="2" t="str">
        <f t="shared" si="100"/>
        <v>OK</v>
      </c>
      <c r="E6472" s="4" t="s">
        <v>1991</v>
      </c>
    </row>
    <row r="6473" spans="1:5" x14ac:dyDescent="0.2">
      <c r="A6473" s="126">
        <v>6412</v>
      </c>
      <c r="B6473" s="1832"/>
      <c r="D6473" s="2" t="str">
        <f t="shared" si="100"/>
        <v>OK</v>
      </c>
      <c r="E6473" s="4" t="s">
        <v>1991</v>
      </c>
    </row>
    <row r="6474" spans="1:5" x14ac:dyDescent="0.2">
      <c r="A6474" s="126">
        <v>6413</v>
      </c>
      <c r="B6474" s="1832"/>
      <c r="D6474" s="2" t="str">
        <f t="shared" si="100"/>
        <v>OK</v>
      </c>
      <c r="E6474" s="4" t="s">
        <v>1991</v>
      </c>
    </row>
    <row r="6475" spans="1:5" x14ac:dyDescent="0.2">
      <c r="A6475" s="126">
        <v>6414</v>
      </c>
      <c r="B6475" s="1832"/>
      <c r="D6475" s="2" t="str">
        <f t="shared" si="100"/>
        <v>OK</v>
      </c>
      <c r="E6475" s="4" t="s">
        <v>1991</v>
      </c>
    </row>
    <row r="6476" spans="1:5" x14ac:dyDescent="0.2">
      <c r="A6476" s="126">
        <v>6415</v>
      </c>
      <c r="B6476" s="1832"/>
      <c r="D6476" s="2" t="str">
        <f t="shared" si="100"/>
        <v>OK</v>
      </c>
      <c r="E6476" s="4" t="s">
        <v>1991</v>
      </c>
    </row>
    <row r="6477" spans="1:5" x14ac:dyDescent="0.2">
      <c r="A6477" s="126">
        <v>6416</v>
      </c>
      <c r="B6477" s="1832"/>
      <c r="D6477" s="2" t="str">
        <f t="shared" si="100"/>
        <v>OK</v>
      </c>
      <c r="E6477" s="4" t="s">
        <v>1991</v>
      </c>
    </row>
    <row r="6478" spans="1:5" x14ac:dyDescent="0.2">
      <c r="A6478" s="126">
        <v>6417</v>
      </c>
      <c r="B6478" s="1832"/>
      <c r="D6478" s="2" t="str">
        <f t="shared" si="100"/>
        <v>OK</v>
      </c>
      <c r="E6478" s="4" t="s">
        <v>1991</v>
      </c>
    </row>
    <row r="6479" spans="1:5" x14ac:dyDescent="0.2">
      <c r="A6479" s="126">
        <v>6418</v>
      </c>
      <c r="B6479" s="1832"/>
      <c r="D6479" s="2" t="str">
        <f t="shared" si="100"/>
        <v>OK</v>
      </c>
      <c r="E6479" s="4" t="s">
        <v>1991</v>
      </c>
    </row>
    <row r="6480" spans="1:5" x14ac:dyDescent="0.2">
      <c r="A6480" s="126">
        <v>6419</v>
      </c>
      <c r="B6480" s="1832"/>
      <c r="D6480" s="2" t="str">
        <f t="shared" si="100"/>
        <v>OK</v>
      </c>
      <c r="E6480" s="4" t="s">
        <v>1991</v>
      </c>
    </row>
    <row r="6481" spans="1:5" x14ac:dyDescent="0.2">
      <c r="A6481" s="126">
        <v>6420</v>
      </c>
      <c r="B6481" s="1832"/>
      <c r="D6481" s="2" t="str">
        <f t="shared" si="100"/>
        <v>OK</v>
      </c>
      <c r="E6481" s="4" t="s">
        <v>1991</v>
      </c>
    </row>
    <row r="6482" spans="1:5" x14ac:dyDescent="0.2">
      <c r="A6482" s="126">
        <v>6421</v>
      </c>
      <c r="B6482" s="1832"/>
      <c r="D6482" s="2" t="str">
        <f t="shared" si="100"/>
        <v>OK</v>
      </c>
      <c r="E6482" s="4" t="s">
        <v>1991</v>
      </c>
    </row>
    <row r="6483" spans="1:5" x14ac:dyDescent="0.2">
      <c r="A6483" s="126">
        <v>6422</v>
      </c>
      <c r="B6483" s="1832"/>
      <c r="D6483" s="2" t="str">
        <f t="shared" si="100"/>
        <v>OK</v>
      </c>
      <c r="E6483" s="4" t="s">
        <v>1991</v>
      </c>
    </row>
    <row r="6484" spans="1:5" x14ac:dyDescent="0.2">
      <c r="A6484" s="126">
        <v>6423</v>
      </c>
      <c r="B6484" s="1832"/>
      <c r="D6484" s="2" t="str">
        <f t="shared" si="100"/>
        <v>OK</v>
      </c>
      <c r="E6484" s="4" t="s">
        <v>1991</v>
      </c>
    </row>
    <row r="6485" spans="1:5" x14ac:dyDescent="0.2">
      <c r="A6485" s="126">
        <v>6424</v>
      </c>
      <c r="B6485" s="1832"/>
      <c r="D6485" s="2" t="str">
        <f t="shared" si="100"/>
        <v>OK</v>
      </c>
      <c r="E6485" s="4" t="s">
        <v>1991</v>
      </c>
    </row>
    <row r="6486" spans="1:5" x14ac:dyDescent="0.2">
      <c r="A6486" s="126">
        <v>6425</v>
      </c>
      <c r="B6486" s="1832"/>
      <c r="D6486" s="2" t="str">
        <f t="shared" si="100"/>
        <v>OK</v>
      </c>
      <c r="E6486" s="4" t="s">
        <v>1991</v>
      </c>
    </row>
    <row r="6487" spans="1:5" x14ac:dyDescent="0.2">
      <c r="A6487" s="126">
        <v>6426</v>
      </c>
      <c r="B6487" s="1832"/>
      <c r="D6487" s="2" t="str">
        <f t="shared" si="100"/>
        <v>OK</v>
      </c>
      <c r="E6487" s="4" t="s">
        <v>1991</v>
      </c>
    </row>
    <row r="6488" spans="1:5" x14ac:dyDescent="0.2">
      <c r="A6488" s="126">
        <v>6427</v>
      </c>
      <c r="B6488" s="1832"/>
      <c r="D6488" s="2" t="str">
        <f t="shared" si="100"/>
        <v>OK</v>
      </c>
      <c r="E6488" s="4" t="s">
        <v>1991</v>
      </c>
    </row>
    <row r="6489" spans="1:5" x14ac:dyDescent="0.2">
      <c r="A6489" s="126">
        <v>6428</v>
      </c>
      <c r="B6489" s="1832"/>
      <c r="D6489" s="2" t="str">
        <f t="shared" si="100"/>
        <v>OK</v>
      </c>
      <c r="E6489" s="4" t="s">
        <v>1991</v>
      </c>
    </row>
    <row r="6490" spans="1:5" x14ac:dyDescent="0.2">
      <c r="A6490" s="126">
        <v>6429</v>
      </c>
      <c r="B6490" s="1832"/>
      <c r="D6490" s="2" t="str">
        <f t="shared" si="100"/>
        <v>OK</v>
      </c>
      <c r="E6490" s="4" t="s">
        <v>1991</v>
      </c>
    </row>
    <row r="6491" spans="1:5" x14ac:dyDescent="0.2">
      <c r="A6491" s="126">
        <v>6430</v>
      </c>
      <c r="B6491" s="1832"/>
      <c r="D6491" s="2" t="str">
        <f t="shared" si="100"/>
        <v>OK</v>
      </c>
      <c r="E6491" s="4" t="s">
        <v>1991</v>
      </c>
    </row>
    <row r="6492" spans="1:5" x14ac:dyDescent="0.2">
      <c r="A6492" s="126">
        <v>6431</v>
      </c>
      <c r="B6492" s="1832"/>
      <c r="D6492" s="2" t="str">
        <f t="shared" si="100"/>
        <v>OK</v>
      </c>
      <c r="E6492" s="4" t="s">
        <v>1991</v>
      </c>
    </row>
    <row r="6493" spans="1:5" x14ac:dyDescent="0.2">
      <c r="A6493" s="126">
        <v>6432</v>
      </c>
      <c r="B6493" s="1832"/>
      <c r="D6493" s="2" t="str">
        <f t="shared" si="100"/>
        <v>OK</v>
      </c>
      <c r="E6493" s="4" t="s">
        <v>1991</v>
      </c>
    </row>
    <row r="6494" spans="1:5" x14ac:dyDescent="0.2">
      <c r="A6494" s="126">
        <v>6433</v>
      </c>
      <c r="B6494" s="1832"/>
      <c r="D6494" s="2" t="str">
        <f t="shared" si="100"/>
        <v>OK</v>
      </c>
      <c r="E6494" s="4" t="s">
        <v>1991</v>
      </c>
    </row>
    <row r="6495" spans="1:5" x14ac:dyDescent="0.2">
      <c r="A6495" s="126">
        <v>6434</v>
      </c>
      <c r="B6495" s="1832"/>
      <c r="D6495" s="2" t="str">
        <f t="shared" si="100"/>
        <v>OK</v>
      </c>
      <c r="E6495" s="4" t="s">
        <v>1991</v>
      </c>
    </row>
    <row r="6496" spans="1:5" x14ac:dyDescent="0.2">
      <c r="A6496" s="126">
        <v>6435</v>
      </c>
      <c r="B6496" s="1832"/>
      <c r="D6496" s="2" t="str">
        <f t="shared" si="100"/>
        <v>OK</v>
      </c>
      <c r="E6496" s="4" t="s">
        <v>1991</v>
      </c>
    </row>
    <row r="6497" spans="1:5" x14ac:dyDescent="0.2">
      <c r="A6497" s="126">
        <v>6436</v>
      </c>
      <c r="B6497" s="1832"/>
      <c r="D6497" s="2" t="str">
        <f t="shared" si="100"/>
        <v>OK</v>
      </c>
      <c r="E6497" s="4" t="s">
        <v>1991</v>
      </c>
    </row>
    <row r="6498" spans="1:5" x14ac:dyDescent="0.2">
      <c r="A6498" s="126">
        <v>6437</v>
      </c>
      <c r="B6498" s="1832"/>
      <c r="D6498" s="2" t="str">
        <f t="shared" si="100"/>
        <v>OK</v>
      </c>
      <c r="E6498" s="4" t="s">
        <v>1991</v>
      </c>
    </row>
    <row r="6499" spans="1:5" x14ac:dyDescent="0.2">
      <c r="A6499" s="126">
        <v>6438</v>
      </c>
      <c r="B6499" s="1832"/>
      <c r="D6499" s="2" t="str">
        <f t="shared" si="100"/>
        <v>OK</v>
      </c>
      <c r="E6499" s="4" t="s">
        <v>1991</v>
      </c>
    </row>
    <row r="6500" spans="1:5" x14ac:dyDescent="0.2">
      <c r="A6500" s="126">
        <v>6439</v>
      </c>
      <c r="B6500" s="1832"/>
      <c r="D6500" s="2" t="str">
        <f t="shared" si="100"/>
        <v>OK</v>
      </c>
      <c r="E6500" s="4" t="s">
        <v>1991</v>
      </c>
    </row>
    <row r="6501" spans="1:5" x14ac:dyDescent="0.2">
      <c r="A6501" s="126">
        <v>6440</v>
      </c>
      <c r="B6501" s="1832"/>
      <c r="D6501" s="2" t="str">
        <f t="shared" si="100"/>
        <v>OK</v>
      </c>
      <c r="E6501" s="4" t="s">
        <v>1991</v>
      </c>
    </row>
    <row r="6502" spans="1:5" x14ac:dyDescent="0.2">
      <c r="A6502" s="126">
        <v>6441</v>
      </c>
      <c r="B6502" s="1832"/>
      <c r="D6502" s="2" t="str">
        <f t="shared" si="100"/>
        <v>OK</v>
      </c>
      <c r="E6502" s="4" t="s">
        <v>1991</v>
      </c>
    </row>
    <row r="6503" spans="1:5" x14ac:dyDescent="0.2">
      <c r="A6503" s="126">
        <v>6442</v>
      </c>
      <c r="B6503" s="1832"/>
      <c r="D6503" s="2" t="str">
        <f t="shared" si="100"/>
        <v>OK</v>
      </c>
      <c r="E6503" s="4" t="s">
        <v>1991</v>
      </c>
    </row>
    <row r="6504" spans="1:5" x14ac:dyDescent="0.2">
      <c r="A6504" s="126">
        <v>6443</v>
      </c>
      <c r="B6504" s="1832"/>
      <c r="D6504" s="2" t="str">
        <f t="shared" si="100"/>
        <v>OK</v>
      </c>
      <c r="E6504" s="4" t="s">
        <v>1991</v>
      </c>
    </row>
    <row r="6505" spans="1:5" x14ac:dyDescent="0.2">
      <c r="A6505" s="126">
        <v>6444</v>
      </c>
      <c r="B6505" s="1832"/>
      <c r="D6505" s="2" t="str">
        <f t="shared" si="100"/>
        <v>OK</v>
      </c>
      <c r="E6505" s="4" t="s">
        <v>1991</v>
      </c>
    </row>
    <row r="6506" spans="1:5" x14ac:dyDescent="0.2">
      <c r="A6506" s="126">
        <v>6445</v>
      </c>
      <c r="B6506" s="1832"/>
      <c r="D6506" s="2" t="str">
        <f t="shared" si="100"/>
        <v>OK</v>
      </c>
      <c r="E6506" s="4" t="s">
        <v>1991</v>
      </c>
    </row>
    <row r="6507" spans="1:5" x14ac:dyDescent="0.2">
      <c r="A6507" s="126">
        <v>6446</v>
      </c>
      <c r="B6507" s="1832"/>
      <c r="D6507" s="2" t="str">
        <f t="shared" si="100"/>
        <v>OK</v>
      </c>
      <c r="E6507" s="4" t="s">
        <v>1991</v>
      </c>
    </row>
    <row r="6508" spans="1:5" x14ac:dyDescent="0.2">
      <c r="A6508" s="126">
        <v>6447</v>
      </c>
      <c r="B6508" s="1832"/>
      <c r="D6508" s="2" t="str">
        <f t="shared" si="100"/>
        <v>OK</v>
      </c>
      <c r="E6508" s="4" t="s">
        <v>1991</v>
      </c>
    </row>
    <row r="6509" spans="1:5" x14ac:dyDescent="0.2">
      <c r="A6509" s="126">
        <v>6448</v>
      </c>
      <c r="B6509" s="1832"/>
      <c r="D6509" s="2" t="str">
        <f t="shared" si="100"/>
        <v>OK</v>
      </c>
      <c r="E6509" s="4" t="s">
        <v>1991</v>
      </c>
    </row>
    <row r="6510" spans="1:5" x14ac:dyDescent="0.2">
      <c r="A6510" s="126">
        <v>6449</v>
      </c>
      <c r="B6510" s="1832"/>
      <c r="D6510" s="2" t="str">
        <f t="shared" si="100"/>
        <v>OK</v>
      </c>
      <c r="E6510" s="4" t="s">
        <v>1991</v>
      </c>
    </row>
    <row r="6511" spans="1:5" x14ac:dyDescent="0.2">
      <c r="A6511" s="126">
        <v>6450</v>
      </c>
      <c r="B6511" s="1832"/>
      <c r="D6511" s="2" t="str">
        <f t="shared" si="100"/>
        <v>OK</v>
      </c>
      <c r="E6511" s="4" t="s">
        <v>1991</v>
      </c>
    </row>
    <row r="6512" spans="1:5" x14ac:dyDescent="0.2">
      <c r="A6512" s="126">
        <v>6451</v>
      </c>
      <c r="B6512" s="1832"/>
      <c r="D6512" s="2" t="str">
        <f t="shared" si="100"/>
        <v>OK</v>
      </c>
      <c r="E6512" s="4" t="s">
        <v>1991</v>
      </c>
    </row>
    <row r="6513" spans="1:5" x14ac:dyDescent="0.2">
      <c r="A6513" s="126">
        <v>6452</v>
      </c>
      <c r="B6513" s="1832"/>
      <c r="D6513" s="2" t="str">
        <f t="shared" si="100"/>
        <v>OK</v>
      </c>
      <c r="E6513" s="4" t="s">
        <v>1991</v>
      </c>
    </row>
    <row r="6514" spans="1:5" x14ac:dyDescent="0.2">
      <c r="A6514" s="126">
        <v>6453</v>
      </c>
      <c r="B6514" s="1832"/>
      <c r="D6514" s="2" t="str">
        <f t="shared" si="100"/>
        <v>OK</v>
      </c>
      <c r="E6514" s="4" t="s">
        <v>1991</v>
      </c>
    </row>
    <row r="6515" spans="1:5" x14ac:dyDescent="0.2">
      <c r="A6515" s="126">
        <v>6454</v>
      </c>
      <c r="B6515" s="1832"/>
      <c r="D6515" s="2" t="str">
        <f t="shared" si="100"/>
        <v>OK</v>
      </c>
      <c r="E6515" s="4" t="s">
        <v>1991</v>
      </c>
    </row>
    <row r="6516" spans="1:5" x14ac:dyDescent="0.2">
      <c r="A6516" s="126">
        <v>6455</v>
      </c>
      <c r="B6516" s="1832"/>
      <c r="D6516" s="2" t="str">
        <f t="shared" si="100"/>
        <v>OK</v>
      </c>
      <c r="E6516" s="4" t="s">
        <v>1991</v>
      </c>
    </row>
    <row r="6517" spans="1:5" x14ac:dyDescent="0.2">
      <c r="A6517" s="126">
        <v>6456</v>
      </c>
      <c r="B6517" s="1832"/>
      <c r="D6517" s="2" t="str">
        <f t="shared" si="100"/>
        <v>OK</v>
      </c>
      <c r="E6517" s="4" t="s">
        <v>1991</v>
      </c>
    </row>
    <row r="6518" spans="1:5" x14ac:dyDescent="0.2">
      <c r="A6518" s="126">
        <v>6457</v>
      </c>
      <c r="B6518" s="1832"/>
      <c r="D6518" s="2" t="str">
        <f t="shared" si="100"/>
        <v>OK</v>
      </c>
      <c r="E6518" s="4" t="s">
        <v>1991</v>
      </c>
    </row>
    <row r="6519" spans="1:5" x14ac:dyDescent="0.2">
      <c r="A6519" s="126">
        <v>6458</v>
      </c>
      <c r="B6519" s="1832"/>
      <c r="D6519" s="2" t="str">
        <f t="shared" si="100"/>
        <v>OK</v>
      </c>
      <c r="E6519" s="4" t="s">
        <v>1991</v>
      </c>
    </row>
    <row r="6520" spans="1:5" x14ac:dyDescent="0.2">
      <c r="A6520" s="126">
        <v>6459</v>
      </c>
      <c r="B6520" s="1832"/>
      <c r="D6520" s="2" t="str">
        <f t="shared" si="100"/>
        <v>OK</v>
      </c>
      <c r="E6520" s="4" t="s">
        <v>1991</v>
      </c>
    </row>
    <row r="6521" spans="1:5" x14ac:dyDescent="0.2">
      <c r="A6521" s="126">
        <v>6460</v>
      </c>
      <c r="B6521" s="1832"/>
      <c r="D6521" s="2" t="str">
        <f t="shared" si="100"/>
        <v>OK</v>
      </c>
      <c r="E6521" s="4" t="s">
        <v>1991</v>
      </c>
    </row>
    <row r="6522" spans="1:5" x14ac:dyDescent="0.2">
      <c r="A6522" s="126">
        <v>6461</v>
      </c>
      <c r="B6522" s="1832"/>
      <c r="D6522" s="2" t="str">
        <f t="shared" si="100"/>
        <v>OK</v>
      </c>
      <c r="E6522" s="4" t="s">
        <v>1991</v>
      </c>
    </row>
    <row r="6523" spans="1:5" x14ac:dyDescent="0.2">
      <c r="A6523" s="126">
        <v>6462</v>
      </c>
      <c r="B6523" s="1832"/>
      <c r="D6523" s="2" t="str">
        <f t="shared" si="100"/>
        <v>OK</v>
      </c>
      <c r="E6523" s="4" t="s">
        <v>1991</v>
      </c>
    </row>
    <row r="6524" spans="1:5" x14ac:dyDescent="0.2">
      <c r="A6524" s="126">
        <v>6463</v>
      </c>
      <c r="B6524" s="1832"/>
      <c r="D6524" s="2" t="str">
        <f t="shared" si="100"/>
        <v>OK</v>
      </c>
      <c r="E6524" s="4" t="s">
        <v>1991</v>
      </c>
    </row>
    <row r="6525" spans="1:5" x14ac:dyDescent="0.2">
      <c r="A6525" s="126">
        <v>6464</v>
      </c>
      <c r="B6525" s="1832"/>
      <c r="D6525" s="2" t="str">
        <f t="shared" si="100"/>
        <v>OK</v>
      </c>
      <c r="E6525" s="4" t="s">
        <v>1991</v>
      </c>
    </row>
    <row r="6526" spans="1:5" x14ac:dyDescent="0.2">
      <c r="A6526" s="126">
        <v>6465</v>
      </c>
      <c r="B6526" s="1832"/>
      <c r="D6526" s="2" t="str">
        <f t="shared" si="100"/>
        <v>OK</v>
      </c>
      <c r="E6526" s="4" t="s">
        <v>1991</v>
      </c>
    </row>
    <row r="6527" spans="1:5" x14ac:dyDescent="0.2">
      <c r="A6527" s="126">
        <v>6466</v>
      </c>
      <c r="B6527" s="1832"/>
      <c r="D6527" s="2" t="str">
        <f t="shared" ref="D6527:D6590" si="101">IF(ISBLANK(B6527),"OK",IF(A6527-B6527=0,"OK","Error?"))</f>
        <v>OK</v>
      </c>
      <c r="E6527" s="4" t="s">
        <v>1991</v>
      </c>
    </row>
    <row r="6528" spans="1:5" x14ac:dyDescent="0.2">
      <c r="A6528" s="126">
        <v>6467</v>
      </c>
      <c r="B6528" s="1832"/>
      <c r="D6528" s="2" t="str">
        <f t="shared" si="101"/>
        <v>OK</v>
      </c>
      <c r="E6528" s="4" t="s">
        <v>1991</v>
      </c>
    </row>
    <row r="6529" spans="1:5" x14ac:dyDescent="0.2">
      <c r="A6529" s="126">
        <v>6468</v>
      </c>
      <c r="B6529" s="1832"/>
      <c r="D6529" s="2" t="str">
        <f t="shared" si="101"/>
        <v>OK</v>
      </c>
      <c r="E6529" s="4" t="s">
        <v>1991</v>
      </c>
    </row>
    <row r="6530" spans="1:5" x14ac:dyDescent="0.2">
      <c r="A6530" s="126">
        <v>6469</v>
      </c>
      <c r="B6530" s="1832"/>
      <c r="D6530" s="2" t="str">
        <f t="shared" si="101"/>
        <v>OK</v>
      </c>
      <c r="E6530" s="4" t="s">
        <v>1991</v>
      </c>
    </row>
    <row r="6531" spans="1:5" x14ac:dyDescent="0.2">
      <c r="A6531" s="126">
        <v>6470</v>
      </c>
      <c r="B6531" s="1832"/>
      <c r="D6531" s="2" t="str">
        <f t="shared" si="101"/>
        <v>OK</v>
      </c>
      <c r="E6531" s="4" t="s">
        <v>1991</v>
      </c>
    </row>
    <row r="6532" spans="1:5" x14ac:dyDescent="0.2">
      <c r="A6532" s="126">
        <v>6471</v>
      </c>
      <c r="B6532" s="1832"/>
      <c r="D6532" s="2" t="str">
        <f t="shared" si="101"/>
        <v>OK</v>
      </c>
      <c r="E6532" s="4" t="s">
        <v>1991</v>
      </c>
    </row>
    <row r="6533" spans="1:5" x14ac:dyDescent="0.2">
      <c r="A6533" s="126">
        <v>6472</v>
      </c>
      <c r="B6533" s="1832"/>
      <c r="D6533" s="2" t="str">
        <f t="shared" si="101"/>
        <v>OK</v>
      </c>
      <c r="E6533" s="4" t="s">
        <v>1991</v>
      </c>
    </row>
    <row r="6534" spans="1:5" x14ac:dyDescent="0.2">
      <c r="A6534" s="126">
        <v>6473</v>
      </c>
      <c r="B6534" s="1832"/>
      <c r="D6534" s="2" t="str">
        <f t="shared" si="101"/>
        <v>OK</v>
      </c>
      <c r="E6534" s="4" t="s">
        <v>1991</v>
      </c>
    </row>
    <row r="6535" spans="1:5" x14ac:dyDescent="0.2">
      <c r="A6535" s="126">
        <v>6474</v>
      </c>
      <c r="B6535" s="1832"/>
      <c r="D6535" s="2" t="str">
        <f t="shared" si="101"/>
        <v>OK</v>
      </c>
      <c r="E6535" s="4" t="s">
        <v>1991</v>
      </c>
    </row>
    <row r="6536" spans="1:5" x14ac:dyDescent="0.2">
      <c r="A6536" s="126">
        <v>6475</v>
      </c>
      <c r="B6536" s="1832"/>
      <c r="D6536" s="2" t="str">
        <f t="shared" si="101"/>
        <v>OK</v>
      </c>
      <c r="E6536" s="4" t="s">
        <v>1991</v>
      </c>
    </row>
    <row r="6537" spans="1:5" x14ac:dyDescent="0.2">
      <c r="A6537" s="126">
        <v>6476</v>
      </c>
      <c r="B6537" s="1832"/>
      <c r="D6537" s="2" t="str">
        <f t="shared" si="101"/>
        <v>OK</v>
      </c>
      <c r="E6537" s="4" t="s">
        <v>1991</v>
      </c>
    </row>
    <row r="6538" spans="1:5" x14ac:dyDescent="0.2">
      <c r="A6538" s="126">
        <v>6477</v>
      </c>
      <c r="B6538" s="1832"/>
      <c r="D6538" s="2" t="str">
        <f t="shared" si="101"/>
        <v>OK</v>
      </c>
      <c r="E6538" s="4" t="s">
        <v>1991</v>
      </c>
    </row>
    <row r="6539" spans="1:5" x14ac:dyDescent="0.2">
      <c r="A6539" s="126">
        <v>6478</v>
      </c>
      <c r="B6539" s="1832"/>
      <c r="D6539" s="2" t="str">
        <f t="shared" si="101"/>
        <v>OK</v>
      </c>
      <c r="E6539" s="4" t="s">
        <v>1991</v>
      </c>
    </row>
    <row r="6540" spans="1:5" x14ac:dyDescent="0.2">
      <c r="A6540" s="126">
        <v>6479</v>
      </c>
      <c r="B6540" s="1832"/>
      <c r="D6540" s="2" t="str">
        <f t="shared" si="101"/>
        <v>OK</v>
      </c>
      <c r="E6540" s="4" t="s">
        <v>1991</v>
      </c>
    </row>
    <row r="6541" spans="1:5" x14ac:dyDescent="0.2">
      <c r="A6541" s="126">
        <v>6480</v>
      </c>
      <c r="B6541" s="1832"/>
      <c r="D6541" s="2" t="str">
        <f t="shared" si="101"/>
        <v>OK</v>
      </c>
      <c r="E6541" s="4" t="s">
        <v>1991</v>
      </c>
    </row>
    <row r="6542" spans="1:5" x14ac:dyDescent="0.2">
      <c r="A6542" s="126">
        <v>6481</v>
      </c>
      <c r="B6542" s="1832"/>
      <c r="D6542" s="2" t="str">
        <f t="shared" si="101"/>
        <v>OK</v>
      </c>
      <c r="E6542" s="4" t="s">
        <v>1991</v>
      </c>
    </row>
    <row r="6543" spans="1:5" x14ac:dyDescent="0.2">
      <c r="A6543" s="126">
        <v>6482</v>
      </c>
      <c r="B6543" s="1832"/>
      <c r="D6543" s="2" t="str">
        <f t="shared" si="101"/>
        <v>OK</v>
      </c>
      <c r="E6543" s="4" t="s">
        <v>1991</v>
      </c>
    </row>
    <row r="6544" spans="1:5" x14ac:dyDescent="0.2">
      <c r="A6544" s="126">
        <v>6483</v>
      </c>
      <c r="B6544" s="1832"/>
      <c r="D6544" s="2" t="str">
        <f t="shared" si="101"/>
        <v>OK</v>
      </c>
      <c r="E6544" s="4" t="s">
        <v>1991</v>
      </c>
    </row>
    <row r="6545" spans="1:5" x14ac:dyDescent="0.2">
      <c r="A6545" s="126">
        <v>6484</v>
      </c>
      <c r="B6545" s="1832"/>
      <c r="D6545" s="2" t="str">
        <f t="shared" si="101"/>
        <v>OK</v>
      </c>
      <c r="E6545" s="4" t="s">
        <v>1991</v>
      </c>
    </row>
    <row r="6546" spans="1:5" x14ac:dyDescent="0.2">
      <c r="A6546" s="126">
        <v>6485</v>
      </c>
      <c r="B6546" s="1832"/>
      <c r="D6546" s="2" t="str">
        <f t="shared" si="101"/>
        <v>OK</v>
      </c>
      <c r="E6546" s="4" t="s">
        <v>1991</v>
      </c>
    </row>
    <row r="6547" spans="1:5" x14ac:dyDescent="0.2">
      <c r="A6547" s="126">
        <v>6486</v>
      </c>
      <c r="B6547" s="1832"/>
      <c r="D6547" s="2" t="str">
        <f t="shared" si="101"/>
        <v>OK</v>
      </c>
      <c r="E6547" s="4" t="s">
        <v>1991</v>
      </c>
    </row>
    <row r="6548" spans="1:5" x14ac:dyDescent="0.2">
      <c r="A6548" s="126">
        <v>6487</v>
      </c>
      <c r="B6548" s="1832"/>
      <c r="D6548" s="2" t="str">
        <f t="shared" si="101"/>
        <v>OK</v>
      </c>
      <c r="E6548" s="4" t="s">
        <v>1991</v>
      </c>
    </row>
    <row r="6549" spans="1:5" x14ac:dyDescent="0.2">
      <c r="A6549" s="126">
        <v>6488</v>
      </c>
      <c r="B6549" s="1832"/>
      <c r="D6549" s="2" t="str">
        <f t="shared" si="101"/>
        <v>OK</v>
      </c>
      <c r="E6549" s="4" t="s">
        <v>1991</v>
      </c>
    </row>
    <row r="6550" spans="1:5" x14ac:dyDescent="0.2">
      <c r="A6550" s="126">
        <v>6489</v>
      </c>
      <c r="B6550" s="1832"/>
      <c r="D6550" s="2" t="str">
        <f t="shared" si="101"/>
        <v>OK</v>
      </c>
      <c r="E6550" s="4" t="s">
        <v>1991</v>
      </c>
    </row>
    <row r="6551" spans="1:5" x14ac:dyDescent="0.2">
      <c r="A6551" s="126">
        <v>6490</v>
      </c>
      <c r="B6551" s="1832"/>
      <c r="D6551" s="2" t="str">
        <f t="shared" si="101"/>
        <v>OK</v>
      </c>
      <c r="E6551" s="4" t="s">
        <v>1991</v>
      </c>
    </row>
    <row r="6552" spans="1:5" x14ac:dyDescent="0.2">
      <c r="A6552" s="126">
        <v>6491</v>
      </c>
      <c r="B6552" s="1832"/>
      <c r="D6552" s="2" t="str">
        <f t="shared" si="101"/>
        <v>OK</v>
      </c>
      <c r="E6552" s="4" t="s">
        <v>1991</v>
      </c>
    </row>
    <row r="6553" spans="1:5" x14ac:dyDescent="0.2">
      <c r="A6553" s="126">
        <v>6492</v>
      </c>
      <c r="B6553" s="1832"/>
      <c r="D6553" s="2" t="str">
        <f t="shared" si="101"/>
        <v>OK</v>
      </c>
      <c r="E6553" s="4" t="s">
        <v>1991</v>
      </c>
    </row>
    <row r="6554" spans="1:5" x14ac:dyDescent="0.2">
      <c r="A6554" s="126">
        <v>6493</v>
      </c>
      <c r="B6554" s="1832"/>
      <c r="D6554" s="2" t="str">
        <f t="shared" si="101"/>
        <v>OK</v>
      </c>
      <c r="E6554" s="4" t="s">
        <v>1991</v>
      </c>
    </row>
    <row r="6555" spans="1:5" x14ac:dyDescent="0.2">
      <c r="A6555" s="126">
        <v>6494</v>
      </c>
      <c r="B6555" s="1832"/>
      <c r="D6555" s="2" t="str">
        <f t="shared" si="101"/>
        <v>OK</v>
      </c>
      <c r="E6555" s="4" t="s">
        <v>1991</v>
      </c>
    </row>
    <row r="6556" spans="1:5" x14ac:dyDescent="0.2">
      <c r="A6556" s="126">
        <v>6495</v>
      </c>
      <c r="B6556" s="1832"/>
      <c r="D6556" s="2" t="str">
        <f t="shared" si="101"/>
        <v>OK</v>
      </c>
      <c r="E6556" s="4" t="s">
        <v>1991</v>
      </c>
    </row>
    <row r="6557" spans="1:5" x14ac:dyDescent="0.2">
      <c r="A6557" s="126">
        <v>6496</v>
      </c>
      <c r="B6557" s="1832"/>
      <c r="D6557" s="2" t="str">
        <f t="shared" si="101"/>
        <v>OK</v>
      </c>
      <c r="E6557" s="4" t="s">
        <v>1991</v>
      </c>
    </row>
    <row r="6558" spans="1:5" x14ac:dyDescent="0.2">
      <c r="A6558" s="126">
        <v>6497</v>
      </c>
      <c r="B6558" s="1832"/>
      <c r="D6558" s="2" t="str">
        <f t="shared" si="101"/>
        <v>OK</v>
      </c>
      <c r="E6558" s="4" t="s">
        <v>1991</v>
      </c>
    </row>
    <row r="6559" spans="1:5" x14ac:dyDescent="0.2">
      <c r="A6559" s="126">
        <v>6498</v>
      </c>
      <c r="B6559" s="1832"/>
      <c r="D6559" s="2" t="str">
        <f t="shared" si="101"/>
        <v>OK</v>
      </c>
      <c r="E6559" s="4" t="s">
        <v>1991</v>
      </c>
    </row>
    <row r="6560" spans="1:5" x14ac:dyDescent="0.2">
      <c r="A6560" s="126">
        <v>6499</v>
      </c>
      <c r="B6560" s="1832"/>
      <c r="D6560" s="2" t="str">
        <f t="shared" si="101"/>
        <v>OK</v>
      </c>
      <c r="E6560" s="4" t="s">
        <v>1991</v>
      </c>
    </row>
    <row r="6561" spans="1:5" x14ac:dyDescent="0.2">
      <c r="A6561" s="126">
        <v>6500</v>
      </c>
      <c r="B6561" s="1832"/>
      <c r="D6561" s="2" t="str">
        <f t="shared" si="101"/>
        <v>OK</v>
      </c>
      <c r="E6561" s="4" t="s">
        <v>1991</v>
      </c>
    </row>
    <row r="6562" spans="1:5" x14ac:dyDescent="0.2">
      <c r="A6562" s="126">
        <v>6501</v>
      </c>
      <c r="B6562" s="1832"/>
      <c r="D6562" s="2" t="str">
        <f t="shared" si="101"/>
        <v>OK</v>
      </c>
      <c r="E6562" s="4" t="s">
        <v>1991</v>
      </c>
    </row>
    <row r="6563" spans="1:5" x14ac:dyDescent="0.2">
      <c r="A6563" s="126">
        <v>6502</v>
      </c>
      <c r="B6563" s="1832"/>
      <c r="D6563" s="2" t="str">
        <f t="shared" si="101"/>
        <v>OK</v>
      </c>
      <c r="E6563" s="4" t="s">
        <v>1991</v>
      </c>
    </row>
    <row r="6564" spans="1:5" x14ac:dyDescent="0.2">
      <c r="A6564" s="126">
        <v>6503</v>
      </c>
      <c r="B6564" s="1832"/>
      <c r="D6564" s="2" t="str">
        <f t="shared" si="101"/>
        <v>OK</v>
      </c>
      <c r="E6564" s="4" t="s">
        <v>1991</v>
      </c>
    </row>
    <row r="6565" spans="1:5" x14ac:dyDescent="0.2">
      <c r="A6565" s="126">
        <v>6504</v>
      </c>
      <c r="B6565" s="1832"/>
      <c r="D6565" s="2" t="str">
        <f t="shared" si="101"/>
        <v>OK</v>
      </c>
      <c r="E6565" s="4" t="s">
        <v>1991</v>
      </c>
    </row>
    <row r="6566" spans="1:5" x14ac:dyDescent="0.2">
      <c r="A6566" s="126">
        <v>6505</v>
      </c>
      <c r="B6566" s="1832"/>
      <c r="D6566" s="2" t="str">
        <f t="shared" si="101"/>
        <v>OK</v>
      </c>
      <c r="E6566" s="4" t="s">
        <v>1991</v>
      </c>
    </row>
    <row r="6567" spans="1:5" x14ac:dyDescent="0.2">
      <c r="A6567" s="126">
        <v>6506</v>
      </c>
      <c r="B6567" s="1832"/>
      <c r="D6567" s="2" t="str">
        <f t="shared" si="101"/>
        <v>OK</v>
      </c>
      <c r="E6567" s="4" t="s">
        <v>1991</v>
      </c>
    </row>
    <row r="6568" spans="1:5" x14ac:dyDescent="0.2">
      <c r="A6568" s="126">
        <v>6507</v>
      </c>
      <c r="B6568" s="1832"/>
      <c r="D6568" s="2" t="str">
        <f t="shared" si="101"/>
        <v>OK</v>
      </c>
      <c r="E6568" s="4" t="s">
        <v>1991</v>
      </c>
    </row>
    <row r="6569" spans="1:5" x14ac:dyDescent="0.2">
      <c r="A6569" s="126">
        <v>6508</v>
      </c>
      <c r="B6569" s="1832"/>
      <c r="D6569" s="2" t="str">
        <f t="shared" si="101"/>
        <v>OK</v>
      </c>
      <c r="E6569" s="4" t="s">
        <v>1991</v>
      </c>
    </row>
    <row r="6570" spans="1:5" x14ac:dyDescent="0.2">
      <c r="A6570" s="126">
        <v>6509</v>
      </c>
      <c r="B6570" s="1832"/>
      <c r="D6570" s="2" t="str">
        <f t="shared" si="101"/>
        <v>OK</v>
      </c>
      <c r="E6570" s="4" t="s">
        <v>1991</v>
      </c>
    </row>
    <row r="6571" spans="1:5" x14ac:dyDescent="0.2">
      <c r="A6571" s="126">
        <v>6510</v>
      </c>
      <c r="B6571" s="1832"/>
      <c r="D6571" s="2" t="str">
        <f t="shared" si="101"/>
        <v>OK</v>
      </c>
      <c r="E6571" s="4" t="s">
        <v>1991</v>
      </c>
    </row>
    <row r="6572" spans="1:5" x14ac:dyDescent="0.2">
      <c r="A6572" s="126">
        <v>6511</v>
      </c>
      <c r="B6572" s="1832"/>
      <c r="D6572" s="2" t="str">
        <f t="shared" si="101"/>
        <v>OK</v>
      </c>
      <c r="E6572" s="4" t="s">
        <v>1991</v>
      </c>
    </row>
    <row r="6573" spans="1:5" x14ac:dyDescent="0.2">
      <c r="A6573" s="126">
        <v>6512</v>
      </c>
      <c r="B6573" s="1832"/>
      <c r="D6573" s="2" t="str">
        <f t="shared" si="101"/>
        <v>OK</v>
      </c>
      <c r="E6573" s="4" t="s">
        <v>1991</v>
      </c>
    </row>
    <row r="6574" spans="1:5" x14ac:dyDescent="0.2">
      <c r="A6574" s="126">
        <v>6513</v>
      </c>
      <c r="B6574" s="1832"/>
      <c r="D6574" s="2" t="str">
        <f t="shared" si="101"/>
        <v>OK</v>
      </c>
      <c r="E6574" s="4" t="s">
        <v>1991</v>
      </c>
    </row>
    <row r="6575" spans="1:5" x14ac:dyDescent="0.2">
      <c r="A6575" s="126">
        <v>6514</v>
      </c>
      <c r="B6575" s="1832"/>
      <c r="D6575" s="2" t="str">
        <f t="shared" si="101"/>
        <v>OK</v>
      </c>
      <c r="E6575" s="4" t="s">
        <v>1991</v>
      </c>
    </row>
    <row r="6576" spans="1:5" x14ac:dyDescent="0.2">
      <c r="A6576" s="126">
        <v>6515</v>
      </c>
      <c r="B6576" s="1832"/>
      <c r="D6576" s="2" t="str">
        <f t="shared" si="101"/>
        <v>OK</v>
      </c>
      <c r="E6576" s="4" t="s">
        <v>1991</v>
      </c>
    </row>
    <row r="6577" spans="1:5" x14ac:dyDescent="0.2">
      <c r="A6577" s="126">
        <v>6516</v>
      </c>
      <c r="B6577" s="1832"/>
      <c r="D6577" s="2" t="str">
        <f t="shared" si="101"/>
        <v>OK</v>
      </c>
      <c r="E6577" s="4" t="s">
        <v>1991</v>
      </c>
    </row>
    <row r="6578" spans="1:5" x14ac:dyDescent="0.2">
      <c r="A6578" s="126">
        <v>6517</v>
      </c>
      <c r="B6578" s="1832"/>
      <c r="D6578" s="2" t="str">
        <f t="shared" si="101"/>
        <v>OK</v>
      </c>
      <c r="E6578" s="4" t="s">
        <v>1991</v>
      </c>
    </row>
    <row r="6579" spans="1:5" x14ac:dyDescent="0.2">
      <c r="A6579" s="126">
        <v>6518</v>
      </c>
      <c r="B6579" s="1832"/>
      <c r="D6579" s="2" t="str">
        <f t="shared" si="101"/>
        <v>OK</v>
      </c>
      <c r="E6579" s="4" t="s">
        <v>1991</v>
      </c>
    </row>
    <row r="6580" spans="1:5" x14ac:dyDescent="0.2">
      <c r="A6580" s="126">
        <v>6519</v>
      </c>
      <c r="B6580" s="1832"/>
      <c r="D6580" s="2" t="str">
        <f t="shared" si="101"/>
        <v>OK</v>
      </c>
      <c r="E6580" s="4" t="s">
        <v>1991</v>
      </c>
    </row>
    <row r="6581" spans="1:5" x14ac:dyDescent="0.2">
      <c r="A6581" s="126">
        <v>6520</v>
      </c>
      <c r="B6581" s="1832"/>
      <c r="D6581" s="2" t="str">
        <f t="shared" si="101"/>
        <v>OK</v>
      </c>
      <c r="E6581" s="4" t="s">
        <v>1991</v>
      </c>
    </row>
    <row r="6582" spans="1:5" x14ac:dyDescent="0.2">
      <c r="A6582" s="126">
        <v>6521</v>
      </c>
      <c r="B6582" s="1832"/>
      <c r="D6582" s="2" t="str">
        <f t="shared" si="101"/>
        <v>OK</v>
      </c>
      <c r="E6582" s="4" t="s">
        <v>1991</v>
      </c>
    </row>
    <row r="6583" spans="1:5" x14ac:dyDescent="0.2">
      <c r="A6583" s="126">
        <v>6522</v>
      </c>
      <c r="B6583" s="1832"/>
      <c r="D6583" s="2" t="str">
        <f t="shared" si="101"/>
        <v>OK</v>
      </c>
      <c r="E6583" s="4" t="s">
        <v>1991</v>
      </c>
    </row>
    <row r="6584" spans="1:5" x14ac:dyDescent="0.2">
      <c r="A6584" s="126">
        <v>6523</v>
      </c>
      <c r="B6584" s="1832"/>
      <c r="D6584" s="2" t="str">
        <f t="shared" si="101"/>
        <v>OK</v>
      </c>
      <c r="E6584" s="4" t="s">
        <v>1991</v>
      </c>
    </row>
    <row r="6585" spans="1:5" x14ac:dyDescent="0.2">
      <c r="A6585" s="126">
        <v>6524</v>
      </c>
      <c r="B6585" s="1832"/>
      <c r="D6585" s="2" t="str">
        <f t="shared" si="101"/>
        <v>OK</v>
      </c>
      <c r="E6585" s="4" t="s">
        <v>1991</v>
      </c>
    </row>
    <row r="6586" spans="1:5" x14ac:dyDescent="0.2">
      <c r="A6586" s="126">
        <v>6525</v>
      </c>
      <c r="B6586" s="1832"/>
      <c r="D6586" s="2" t="str">
        <f t="shared" si="101"/>
        <v>OK</v>
      </c>
      <c r="E6586" s="4" t="s">
        <v>1991</v>
      </c>
    </row>
    <row r="6587" spans="1:5" x14ac:dyDescent="0.2">
      <c r="A6587" s="126">
        <v>6526</v>
      </c>
      <c r="B6587" s="1832"/>
      <c r="D6587" s="2" t="str">
        <f t="shared" si="101"/>
        <v>OK</v>
      </c>
      <c r="E6587" s="4" t="s">
        <v>1991</v>
      </c>
    </row>
    <row r="6588" spans="1:5" x14ac:dyDescent="0.2">
      <c r="A6588" s="126">
        <v>6527</v>
      </c>
      <c r="B6588" s="1832"/>
      <c r="D6588" s="2" t="str">
        <f t="shared" si="101"/>
        <v>OK</v>
      </c>
      <c r="E6588" s="4" t="s">
        <v>1991</v>
      </c>
    </row>
    <row r="6589" spans="1:5" x14ac:dyDescent="0.2">
      <c r="A6589" s="126">
        <v>6528</v>
      </c>
      <c r="B6589" s="1832"/>
      <c r="D6589" s="2" t="str">
        <f t="shared" si="101"/>
        <v>OK</v>
      </c>
      <c r="E6589" s="4" t="s">
        <v>1991</v>
      </c>
    </row>
    <row r="6590" spans="1:5" x14ac:dyDescent="0.2">
      <c r="A6590" s="126">
        <v>6529</v>
      </c>
      <c r="B6590" s="1832"/>
      <c r="D6590" s="2" t="str">
        <f t="shared" si="101"/>
        <v>OK</v>
      </c>
      <c r="E6590" s="4" t="s">
        <v>1991</v>
      </c>
    </row>
    <row r="6591" spans="1:5" x14ac:dyDescent="0.2">
      <c r="A6591" s="126">
        <v>6530</v>
      </c>
      <c r="B6591" s="1832"/>
      <c r="D6591" s="2" t="str">
        <f t="shared" ref="D6591:D6654" si="102">IF(ISBLANK(B6591),"OK",IF(A6591-B6591=0,"OK","Error?"))</f>
        <v>OK</v>
      </c>
      <c r="E6591" s="4" t="s">
        <v>1991</v>
      </c>
    </row>
    <row r="6592" spans="1:5" x14ac:dyDescent="0.2">
      <c r="A6592" s="126">
        <v>6531</v>
      </c>
      <c r="B6592" s="1832"/>
      <c r="D6592" s="2" t="str">
        <f t="shared" si="102"/>
        <v>OK</v>
      </c>
      <c r="E6592" s="4" t="s">
        <v>1991</v>
      </c>
    </row>
    <row r="6593" spans="1:5" x14ac:dyDescent="0.2">
      <c r="A6593" s="126">
        <v>6532</v>
      </c>
      <c r="B6593" s="1832"/>
      <c r="D6593" s="2" t="str">
        <f t="shared" si="102"/>
        <v>OK</v>
      </c>
      <c r="E6593" s="4" t="s">
        <v>1991</v>
      </c>
    </row>
    <row r="6594" spans="1:5" x14ac:dyDescent="0.2">
      <c r="A6594" s="126">
        <v>6533</v>
      </c>
      <c r="B6594" s="1832"/>
      <c r="D6594" s="2" t="str">
        <f t="shared" si="102"/>
        <v>OK</v>
      </c>
      <c r="E6594" s="4" t="s">
        <v>1991</v>
      </c>
    </row>
    <row r="6595" spans="1:5" x14ac:dyDescent="0.2">
      <c r="A6595" s="126">
        <v>6534</v>
      </c>
      <c r="B6595" s="1832"/>
      <c r="D6595" s="2" t="str">
        <f t="shared" si="102"/>
        <v>OK</v>
      </c>
      <c r="E6595" s="4" t="s">
        <v>1991</v>
      </c>
    </row>
    <row r="6596" spans="1:5" x14ac:dyDescent="0.2">
      <c r="A6596" s="126">
        <v>6535</v>
      </c>
      <c r="B6596" s="1832"/>
      <c r="D6596" s="2" t="str">
        <f t="shared" si="102"/>
        <v>OK</v>
      </c>
      <c r="E6596" s="4" t="s">
        <v>1991</v>
      </c>
    </row>
    <row r="6597" spans="1:5" x14ac:dyDescent="0.2">
      <c r="A6597" s="126">
        <v>6536</v>
      </c>
      <c r="B6597" s="1832"/>
      <c r="D6597" s="2" t="str">
        <f t="shared" si="102"/>
        <v>OK</v>
      </c>
      <c r="E6597" s="4" t="s">
        <v>1991</v>
      </c>
    </row>
    <row r="6598" spans="1:5" x14ac:dyDescent="0.2">
      <c r="A6598" s="126">
        <v>6537</v>
      </c>
      <c r="B6598" s="1832"/>
      <c r="D6598" s="2" t="str">
        <f t="shared" si="102"/>
        <v>OK</v>
      </c>
      <c r="E6598" s="4" t="s">
        <v>1991</v>
      </c>
    </row>
    <row r="6599" spans="1:5" x14ac:dyDescent="0.2">
      <c r="A6599" s="126">
        <v>6538</v>
      </c>
      <c r="B6599" s="1832"/>
      <c r="D6599" s="2" t="str">
        <f t="shared" si="102"/>
        <v>OK</v>
      </c>
      <c r="E6599" s="4" t="s">
        <v>1991</v>
      </c>
    </row>
    <row r="6600" spans="1:5" x14ac:dyDescent="0.2">
      <c r="A6600" s="126">
        <v>6539</v>
      </c>
      <c r="B6600" s="1832"/>
      <c r="D6600" s="2" t="str">
        <f t="shared" si="102"/>
        <v>OK</v>
      </c>
      <c r="E6600" s="4" t="s">
        <v>1991</v>
      </c>
    </row>
    <row r="6601" spans="1:5" x14ac:dyDescent="0.2">
      <c r="A6601" s="126">
        <v>6540</v>
      </c>
      <c r="B6601" s="1832"/>
      <c r="D6601" s="2" t="str">
        <f t="shared" si="102"/>
        <v>OK</v>
      </c>
      <c r="E6601" s="4" t="s">
        <v>1991</v>
      </c>
    </row>
    <row r="6602" spans="1:5" x14ac:dyDescent="0.2">
      <c r="A6602" s="126">
        <v>6541</v>
      </c>
      <c r="B6602" s="1832"/>
      <c r="D6602" s="2" t="str">
        <f t="shared" si="102"/>
        <v>OK</v>
      </c>
      <c r="E6602" s="4" t="s">
        <v>1991</v>
      </c>
    </row>
    <row r="6603" spans="1:5" x14ac:dyDescent="0.2">
      <c r="A6603" s="126">
        <v>6542</v>
      </c>
      <c r="B6603" s="1832"/>
      <c r="D6603" s="2" t="str">
        <f t="shared" si="102"/>
        <v>OK</v>
      </c>
      <c r="E6603" s="4" t="s">
        <v>1991</v>
      </c>
    </row>
    <row r="6604" spans="1:5" x14ac:dyDescent="0.2">
      <c r="A6604" s="126">
        <v>6543</v>
      </c>
      <c r="B6604" s="1832"/>
      <c r="D6604" s="2" t="str">
        <f t="shared" si="102"/>
        <v>OK</v>
      </c>
      <c r="E6604" s="4" t="s">
        <v>1991</v>
      </c>
    </row>
    <row r="6605" spans="1:5" x14ac:dyDescent="0.2">
      <c r="A6605" s="126">
        <v>6544</v>
      </c>
      <c r="B6605" s="1832"/>
      <c r="D6605" s="2" t="str">
        <f t="shared" si="102"/>
        <v>OK</v>
      </c>
      <c r="E6605" s="4" t="s">
        <v>1991</v>
      </c>
    </row>
    <row r="6606" spans="1:5" x14ac:dyDescent="0.2">
      <c r="A6606" s="126">
        <v>6545</v>
      </c>
      <c r="B6606" s="1832"/>
      <c r="D6606" s="2" t="str">
        <f t="shared" si="102"/>
        <v>OK</v>
      </c>
      <c r="E6606" s="4" t="s">
        <v>1991</v>
      </c>
    </row>
    <row r="6607" spans="1:5" x14ac:dyDescent="0.2">
      <c r="A6607" s="126">
        <v>6546</v>
      </c>
      <c r="B6607" s="1832"/>
      <c r="D6607" s="2" t="str">
        <f t="shared" si="102"/>
        <v>OK</v>
      </c>
      <c r="E6607" s="4" t="s">
        <v>1991</v>
      </c>
    </row>
    <row r="6608" spans="1:5" x14ac:dyDescent="0.2">
      <c r="A6608" s="126">
        <v>6547</v>
      </c>
      <c r="B6608" s="1832"/>
      <c r="D6608" s="2" t="str">
        <f t="shared" si="102"/>
        <v>OK</v>
      </c>
      <c r="E6608" s="4" t="s">
        <v>1991</v>
      </c>
    </row>
    <row r="6609" spans="1:5" x14ac:dyDescent="0.2">
      <c r="A6609" s="126">
        <v>6548</v>
      </c>
      <c r="B6609" s="1832"/>
      <c r="D6609" s="2" t="str">
        <f t="shared" si="102"/>
        <v>OK</v>
      </c>
      <c r="E6609" s="4" t="s">
        <v>1991</v>
      </c>
    </row>
    <row r="6610" spans="1:5" x14ac:dyDescent="0.2">
      <c r="A6610" s="126">
        <v>6549</v>
      </c>
      <c r="B6610" s="1832"/>
      <c r="D6610" s="2" t="str">
        <f t="shared" si="102"/>
        <v>OK</v>
      </c>
      <c r="E6610" s="4" t="s">
        <v>1991</v>
      </c>
    </row>
    <row r="6611" spans="1:5" x14ac:dyDescent="0.2">
      <c r="A6611" s="126">
        <v>6550</v>
      </c>
      <c r="B6611" s="1832"/>
      <c r="D6611" s="2" t="str">
        <f t="shared" si="102"/>
        <v>OK</v>
      </c>
      <c r="E6611" s="4" t="s">
        <v>1991</v>
      </c>
    </row>
    <row r="6612" spans="1:5" x14ac:dyDescent="0.2">
      <c r="A6612" s="126">
        <v>6551</v>
      </c>
      <c r="B6612" s="1832"/>
      <c r="D6612" s="2" t="str">
        <f t="shared" si="102"/>
        <v>OK</v>
      </c>
      <c r="E6612" s="4" t="s">
        <v>1991</v>
      </c>
    </row>
    <row r="6613" spans="1:5" x14ac:dyDescent="0.2">
      <c r="A6613" s="126">
        <v>6552</v>
      </c>
      <c r="B6613" s="1832"/>
      <c r="D6613" s="2" t="str">
        <f t="shared" si="102"/>
        <v>OK</v>
      </c>
      <c r="E6613" s="4" t="s">
        <v>1991</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0</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1895</v>
      </c>
    </row>
    <row r="6842" spans="1:5" x14ac:dyDescent="0.2">
      <c r="A6842" s="126">
        <v>6781</v>
      </c>
      <c r="B6842" s="1832"/>
      <c r="D6842" s="2" t="str">
        <f t="shared" si="105"/>
        <v>OK</v>
      </c>
      <c r="E6842" s="1" t="s">
        <v>1895</v>
      </c>
    </row>
    <row r="6843" spans="1:5" x14ac:dyDescent="0.2">
      <c r="A6843" s="126">
        <v>6782</v>
      </c>
      <c r="B6843" s="1832"/>
      <c r="D6843" s="2" t="str">
        <f t="shared" si="105"/>
        <v>OK</v>
      </c>
      <c r="E6843" s="1" t="s">
        <v>1895</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0</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130383</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48179</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92523</v>
      </c>
      <c r="D6880" s="2" t="str">
        <f t="shared" si="106"/>
        <v>Error?</v>
      </c>
    </row>
    <row r="6881" spans="1:4" x14ac:dyDescent="0.2">
      <c r="A6881">
        <v>6820</v>
      </c>
      <c r="B6881" s="1832">
        <f>'Expenditures 15-22'!K22</f>
        <v>92523</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1293</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1293</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1827</v>
      </c>
      <c r="D6981" s="2" t="str">
        <f t="shared" si="108"/>
        <v>Error?</v>
      </c>
    </row>
    <row r="6982" spans="1:4" x14ac:dyDescent="0.2">
      <c r="A6982">
        <v>6921</v>
      </c>
      <c r="B6982" s="1832">
        <f>'Expenditures 15-22'!K85</f>
        <v>1827</v>
      </c>
      <c r="D6982" s="2" t="str">
        <f t="shared" si="108"/>
        <v>Error?</v>
      </c>
    </row>
    <row r="6983" spans="1:4" x14ac:dyDescent="0.2">
      <c r="A6983">
        <v>6922</v>
      </c>
      <c r="B6983" s="1832">
        <f>'Expenditures 15-22'!H86</f>
        <v>363472</v>
      </c>
      <c r="D6983" s="2" t="str">
        <f t="shared" si="108"/>
        <v>Error?</v>
      </c>
    </row>
    <row r="6984" spans="1:4" x14ac:dyDescent="0.2">
      <c r="A6984">
        <v>6923</v>
      </c>
      <c r="B6984" s="1832">
        <f>'Expenditures 15-22'!K86</f>
        <v>363472</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365299</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448696</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611902</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0</v>
      </c>
      <c r="D7073" s="2" t="str">
        <f t="shared" si="109"/>
        <v>Error?</v>
      </c>
    </row>
    <row r="7074" spans="1:4" x14ac:dyDescent="0.2">
      <c r="A7074">
        <v>7013</v>
      </c>
      <c r="B7074" s="1832">
        <f>'Expenditures 15-22'!K216</f>
        <v>0</v>
      </c>
      <c r="D7074" s="2" t="str">
        <f t="shared" si="109"/>
        <v>Error?</v>
      </c>
    </row>
    <row r="7075" spans="1:4" x14ac:dyDescent="0.2">
      <c r="A7075">
        <v>7014</v>
      </c>
      <c r="B7075" s="1832">
        <f>'Expenditures 15-22'!D218</f>
        <v>4468</v>
      </c>
      <c r="D7075" s="2" t="str">
        <f t="shared" si="109"/>
        <v>Error?</v>
      </c>
    </row>
    <row r="7076" spans="1:4" x14ac:dyDescent="0.2">
      <c r="A7076">
        <v>7015</v>
      </c>
      <c r="B7076" s="1832">
        <f>'Expenditures 15-22'!K218</f>
        <v>4468</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710</v>
      </c>
      <c r="D7079" s="2" t="str">
        <f t="shared" si="109"/>
        <v>Error?</v>
      </c>
    </row>
    <row r="7080" spans="1:4" x14ac:dyDescent="0.2">
      <c r="A7080">
        <v>7019</v>
      </c>
      <c r="B7080" s="1832">
        <f>'Expenditures 15-22'!K226</f>
        <v>710</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7836</v>
      </c>
      <c r="D7089" s="2" t="str">
        <f t="shared" si="109"/>
        <v>Error?</v>
      </c>
    </row>
    <row r="7090" spans="1:4" x14ac:dyDescent="0.2">
      <c r="A7090">
        <v>7029</v>
      </c>
      <c r="B7090" s="1832">
        <f>'Expenditures 15-22'!K252</f>
        <v>7836</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82588</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82588</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900</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900</v>
      </c>
      <c r="D7153" s="2" t="str">
        <f t="shared" si="110"/>
        <v>Error?</v>
      </c>
    </row>
    <row r="7154" spans="1:4" x14ac:dyDescent="0.2">
      <c r="A7154">
        <v>7093</v>
      </c>
      <c r="B7154" s="1832">
        <f>'Expenditures 15-22'!C323</f>
        <v>80547</v>
      </c>
      <c r="D7154" s="2" t="str">
        <f t="shared" si="110"/>
        <v>Error?</v>
      </c>
    </row>
    <row r="7155" spans="1:4" x14ac:dyDescent="0.2">
      <c r="A7155">
        <v>7094</v>
      </c>
      <c r="B7155" s="1832">
        <f>'Expenditures 15-22'!D323</f>
        <v>10853</v>
      </c>
      <c r="D7155" s="2" t="str">
        <f t="shared" si="110"/>
        <v>Error?</v>
      </c>
    </row>
    <row r="7156" spans="1:4" x14ac:dyDescent="0.2">
      <c r="A7156">
        <v>7095</v>
      </c>
      <c r="B7156" s="1832">
        <f>'Expenditures 15-22'!E323</f>
        <v>39470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130870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52454</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52454</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6124</v>
      </c>
      <c r="D7192" s="2" t="str">
        <f t="shared" si="111"/>
        <v>Error?</v>
      </c>
    </row>
    <row r="7193" spans="1:4" x14ac:dyDescent="0.2">
      <c r="A7193">
        <v>7132</v>
      </c>
      <c r="B7193" s="1832">
        <f>'Expenditures 15-22'!F327</f>
        <v>374</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6498</v>
      </c>
      <c r="D7198" s="2" t="str">
        <f t="shared" si="111"/>
        <v>Error?</v>
      </c>
    </row>
    <row r="7199" spans="1:4" x14ac:dyDescent="0.2">
      <c r="A7199">
        <v>7138</v>
      </c>
      <c r="B7199" s="1832">
        <f>'Expenditures 15-22'!C330</f>
        <v>80547</v>
      </c>
      <c r="D7199" s="2" t="str">
        <f t="shared" si="111"/>
        <v>Error?</v>
      </c>
    </row>
    <row r="7200" spans="1:4" x14ac:dyDescent="0.2">
      <c r="A7200">
        <v>7139</v>
      </c>
      <c r="B7200" s="1832">
        <f>'Expenditures 15-22'!D330</f>
        <v>10853</v>
      </c>
      <c r="D7200" s="2" t="str">
        <f t="shared" si="111"/>
        <v>Error?</v>
      </c>
    </row>
    <row r="7201" spans="1:4" x14ac:dyDescent="0.2">
      <c r="A7201">
        <v>7140</v>
      </c>
      <c r="B7201" s="1832">
        <f>'Expenditures 15-22'!E330</f>
        <v>321752</v>
      </c>
      <c r="D7201" s="2" t="str">
        <f t="shared" si="111"/>
        <v>Error?</v>
      </c>
    </row>
    <row r="7202" spans="1:4" x14ac:dyDescent="0.2">
      <c r="A7202">
        <v>7141</v>
      </c>
      <c r="B7202" s="1832">
        <f>'Expenditures 15-22'!F330</f>
        <v>374</v>
      </c>
      <c r="D7202" s="2" t="str">
        <f t="shared" si="111"/>
        <v>Error?</v>
      </c>
    </row>
    <row r="7203" spans="1:4" x14ac:dyDescent="0.2">
      <c r="A7203">
        <v>7142</v>
      </c>
      <c r="B7203" s="1832">
        <f>'Expenditures 15-22'!G330</f>
        <v>35170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448696</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80547</v>
      </c>
      <c r="D7216" s="2" t="str">
        <f t="shared" si="111"/>
        <v>Error?</v>
      </c>
    </row>
    <row r="7217" spans="1:4" x14ac:dyDescent="0.2">
      <c r="A7217">
        <v>7156</v>
      </c>
      <c r="B7217" s="1832">
        <f>'Expenditures 15-22'!D342</f>
        <v>10853</v>
      </c>
      <c r="D7217" s="2" t="str">
        <f t="shared" si="111"/>
        <v>Error?</v>
      </c>
    </row>
    <row r="7218" spans="1:4" x14ac:dyDescent="0.2">
      <c r="A7218">
        <v>7157</v>
      </c>
      <c r="B7218" s="1832">
        <f>'Expenditures 15-22'!E342</f>
        <v>321752</v>
      </c>
      <c r="D7218" s="2" t="str">
        <f t="shared" si="111"/>
        <v>Error?</v>
      </c>
    </row>
    <row r="7219" spans="1:4" x14ac:dyDescent="0.2">
      <c r="A7219">
        <v>7158</v>
      </c>
      <c r="B7219" s="1832">
        <f>'Expenditures 15-22'!F342</f>
        <v>374</v>
      </c>
      <c r="D7219" s="2" t="str">
        <f t="shared" si="111"/>
        <v>Error?</v>
      </c>
    </row>
    <row r="7220" spans="1:4" x14ac:dyDescent="0.2">
      <c r="A7220">
        <v>7159</v>
      </c>
      <c r="B7220" s="1832">
        <f>'Expenditures 15-22'!G342</f>
        <v>35170</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448696</v>
      </c>
      <c r="D7224" s="2" t="str">
        <f t="shared" si="111"/>
        <v>Error?</v>
      </c>
    </row>
    <row r="7225" spans="1:4" x14ac:dyDescent="0.2">
      <c r="A7225">
        <v>7164</v>
      </c>
      <c r="B7225" s="1832">
        <f>'Expenditures 15-22'!K343</f>
        <v>163206</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0</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100661</v>
      </c>
      <c r="D7251" s="2" t="str">
        <f t="shared" si="112"/>
        <v>Error?</v>
      </c>
    </row>
    <row r="7252" spans="1:4" x14ac:dyDescent="0.2">
      <c r="A7252">
        <f t="shared" si="113"/>
        <v>7191</v>
      </c>
      <c r="B7252" s="1832">
        <f>'Expenditures 15-22'!D9</f>
        <v>29170</v>
      </c>
      <c r="D7252" s="2" t="str">
        <f t="shared" si="112"/>
        <v>Error?</v>
      </c>
    </row>
    <row r="7253" spans="1:4" x14ac:dyDescent="0.2">
      <c r="A7253">
        <f t="shared" si="113"/>
        <v>7192</v>
      </c>
      <c r="B7253" s="1832">
        <f>'Expenditures 15-22'!E9</f>
        <v>161</v>
      </c>
      <c r="D7253" s="2" t="str">
        <f t="shared" si="112"/>
        <v>Error?</v>
      </c>
    </row>
    <row r="7254" spans="1:4" x14ac:dyDescent="0.2">
      <c r="A7254">
        <f t="shared" si="113"/>
        <v>7193</v>
      </c>
      <c r="B7254" s="1832">
        <f>'Expenditures 15-22'!F9</f>
        <v>391</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46242</v>
      </c>
      <c r="D7263" s="2" t="str">
        <f t="shared" si="112"/>
        <v>Error?</v>
      </c>
    </row>
    <row r="7264" spans="1:4" x14ac:dyDescent="0.2">
      <c r="A7264">
        <f t="shared" si="113"/>
        <v>7203</v>
      </c>
      <c r="B7264" s="1832">
        <f>'Expenditures 15-22'!D17</f>
        <v>846</v>
      </c>
      <c r="D7264" s="2" t="str">
        <f t="shared" si="112"/>
        <v>Error?</v>
      </c>
    </row>
    <row r="7265" spans="1:5" x14ac:dyDescent="0.2">
      <c r="A7265">
        <f t="shared" si="113"/>
        <v>7204</v>
      </c>
      <c r="B7265" s="1832">
        <f>'Expenditures 15-22'!E17</f>
        <v>116</v>
      </c>
      <c r="D7265" s="2" t="str">
        <f t="shared" si="112"/>
        <v>Error?</v>
      </c>
    </row>
    <row r="7266" spans="1:5" x14ac:dyDescent="0.2">
      <c r="A7266">
        <f t="shared" si="113"/>
        <v>7205</v>
      </c>
      <c r="B7266" s="1832">
        <f>'Expenditures 15-22'!F17</f>
        <v>975</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23264</v>
      </c>
      <c r="D7615" s="2" t="str">
        <f t="shared" ref="D7615:D7678" si="124">IF(ISBLANK(B7615),"OK",IF(A7615-B7615=0,"OK","Error?"))</f>
        <v>Error?</v>
      </c>
      <c r="E7615" s="2" t="s">
        <v>19</v>
      </c>
    </row>
    <row r="7616" spans="1:5" x14ac:dyDescent="0.2">
      <c r="A7616">
        <f t="shared" si="123"/>
        <v>7555</v>
      </c>
      <c r="B7616" s="1832">
        <f>'Cap Outlay Deprec 26'!D14</f>
        <v>10450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33714</v>
      </c>
      <c r="D7618" s="2" t="str">
        <f t="shared" si="124"/>
        <v>Error?</v>
      </c>
      <c r="E7618" s="2" t="s">
        <v>19</v>
      </c>
    </row>
    <row r="7619" spans="1:5" x14ac:dyDescent="0.2">
      <c r="A7619">
        <f t="shared" si="123"/>
        <v>7558</v>
      </c>
      <c r="B7619" s="1832">
        <f>'Cap Outlay Deprec 26'!H14</f>
        <v>10456</v>
      </c>
      <c r="D7619" s="2" t="str">
        <f t="shared" si="124"/>
        <v>Error?</v>
      </c>
      <c r="E7619" s="2" t="s">
        <v>19</v>
      </c>
    </row>
    <row r="7620" spans="1:5" x14ac:dyDescent="0.2">
      <c r="A7620">
        <f t="shared" si="123"/>
        <v>7559</v>
      </c>
      <c r="B7620" s="1832">
        <f>'Cap Outlay Deprec 26'!I14</f>
        <v>9887</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20343</v>
      </c>
      <c r="D7622" s="2" t="str">
        <f t="shared" si="124"/>
        <v>Error?</v>
      </c>
      <c r="E7622" s="2" t="s">
        <v>19</v>
      </c>
    </row>
    <row r="7623" spans="1:5" x14ac:dyDescent="0.2">
      <c r="A7623">
        <f t="shared" si="123"/>
        <v>7562</v>
      </c>
      <c r="B7623" s="1832">
        <f>'Cap Outlay Deprec 26'!L14</f>
        <v>13371</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949256</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1992</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1992</v>
      </c>
    </row>
    <row r="7641" spans="1:6" x14ac:dyDescent="0.2">
      <c r="A7641" s="126">
        <f t="shared" si="125"/>
        <v>7580</v>
      </c>
      <c r="B7641" s="1833"/>
      <c r="D7641" s="2" t="str">
        <f t="shared" si="124"/>
        <v>OK</v>
      </c>
      <c r="E7641" s="4" t="s">
        <v>1992</v>
      </c>
    </row>
    <row r="7642" spans="1:6" x14ac:dyDescent="0.2">
      <c r="A7642" s="126">
        <f t="shared" si="125"/>
        <v>7581</v>
      </c>
      <c r="B7642" s="1833"/>
      <c r="D7642" s="2" t="str">
        <f t="shared" si="124"/>
        <v>OK</v>
      </c>
      <c r="E7642" s="4" t="s">
        <v>1992</v>
      </c>
    </row>
    <row r="7643" spans="1:6" x14ac:dyDescent="0.2">
      <c r="A7643" s="126">
        <f t="shared" si="125"/>
        <v>7582</v>
      </c>
      <c r="B7643" s="1833"/>
      <c r="D7643" s="2" t="str">
        <f t="shared" si="124"/>
        <v>OK</v>
      </c>
      <c r="E7643" s="4" t="s">
        <v>1992</v>
      </c>
    </row>
    <row r="7644" spans="1:6" x14ac:dyDescent="0.2">
      <c r="A7644" s="126">
        <f t="shared" si="125"/>
        <v>7583</v>
      </c>
      <c r="B7644" s="1833"/>
      <c r="D7644" s="2" t="str">
        <f t="shared" si="124"/>
        <v>OK</v>
      </c>
      <c r="E7644" s="4" t="s">
        <v>1992</v>
      </c>
    </row>
    <row r="7645" spans="1:6" x14ac:dyDescent="0.2">
      <c r="A7645" s="126">
        <f t="shared" si="125"/>
        <v>7584</v>
      </c>
      <c r="B7645" s="1833"/>
      <c r="D7645" s="2" t="str">
        <f t="shared" si="124"/>
        <v>OK</v>
      </c>
      <c r="E7645" s="4" t="s">
        <v>1992</v>
      </c>
    </row>
    <row r="7646" spans="1:6" x14ac:dyDescent="0.2">
      <c r="A7646" s="126">
        <f t="shared" si="125"/>
        <v>7585</v>
      </c>
      <c r="B7646" s="1833"/>
      <c r="D7646" s="2" t="str">
        <f t="shared" si="124"/>
        <v>OK</v>
      </c>
      <c r="E7646" s="4" t="s">
        <v>1992</v>
      </c>
    </row>
    <row r="7647" spans="1:6" x14ac:dyDescent="0.2">
      <c r="A7647" s="126">
        <f t="shared" si="125"/>
        <v>7586</v>
      </c>
      <c r="B7647" s="1833"/>
      <c r="D7647" s="2" t="str">
        <f t="shared" si="124"/>
        <v>OK</v>
      </c>
      <c r="E7647" s="4" t="s">
        <v>1992</v>
      </c>
    </row>
    <row r="7648" spans="1:6" x14ac:dyDescent="0.2">
      <c r="A7648" s="126">
        <f t="shared" si="125"/>
        <v>7587</v>
      </c>
      <c r="B7648" s="1833"/>
      <c r="D7648" s="2" t="str">
        <f t="shared" si="124"/>
        <v>OK</v>
      </c>
      <c r="E7648" s="4" t="s">
        <v>1992</v>
      </c>
    </row>
    <row r="7649" spans="1:5" x14ac:dyDescent="0.2">
      <c r="A7649" s="126">
        <f t="shared" si="125"/>
        <v>7588</v>
      </c>
      <c r="B7649" s="1833"/>
      <c r="D7649" s="2" t="str">
        <f t="shared" si="124"/>
        <v>OK</v>
      </c>
      <c r="E7649" s="4" t="s">
        <v>1992</v>
      </c>
    </row>
    <row r="7650" spans="1:5" x14ac:dyDescent="0.2">
      <c r="A7650" s="126">
        <f t="shared" si="125"/>
        <v>7589</v>
      </c>
      <c r="B7650" s="1833"/>
      <c r="D7650" s="2" t="str">
        <f t="shared" si="124"/>
        <v>OK</v>
      </c>
      <c r="E7650" s="4" t="s">
        <v>1992</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21640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839</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800000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100673</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100673</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39543</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35170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74713</v>
      </c>
      <c r="D7705" s="2" t="str">
        <f t="shared" si="126"/>
        <v>Error?</v>
      </c>
      <c r="E7705" s="2" t="s">
        <v>822</v>
      </c>
    </row>
    <row r="7706" spans="1:5" x14ac:dyDescent="0.2">
      <c r="A7706">
        <v>7645</v>
      </c>
      <c r="B7706" s="1832">
        <f>'Revenues 9-14'!H167</f>
        <v>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311897</v>
      </c>
      <c r="D7708" s="2" t="str">
        <f t="shared" si="126"/>
        <v>Error?</v>
      </c>
      <c r="E7708" s="2" t="s">
        <v>822</v>
      </c>
    </row>
    <row r="7709" spans="1:5" x14ac:dyDescent="0.2">
      <c r="A7709">
        <v>7648</v>
      </c>
      <c r="B7709" s="1832">
        <f>'Rest Tax Levies-Tort Im 25'!K3</f>
        <v>0</v>
      </c>
      <c r="D7709" s="2" t="str">
        <f t="shared" si="126"/>
        <v>Error?</v>
      </c>
      <c r="E7709" s="2" t="s">
        <v>822</v>
      </c>
    </row>
    <row r="7710" spans="1:5" x14ac:dyDescent="0.2">
      <c r="A7710">
        <v>7649</v>
      </c>
      <c r="B7710" s="1832">
        <f>'Rest Tax Levies-Tort Im 25'!J6</f>
        <v>0</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18710</v>
      </c>
      <c r="D7712" s="2" t="str">
        <f t="shared" si="126"/>
        <v>Error?</v>
      </c>
      <c r="E7712" s="2" t="s">
        <v>822</v>
      </c>
    </row>
    <row r="7713" spans="1:6" x14ac:dyDescent="0.2">
      <c r="A7713">
        <v>7652</v>
      </c>
      <c r="B7713" s="1832">
        <f>'Rest Tax Levies-Tort Im 25'!J8</f>
        <v>445300</v>
      </c>
      <c r="D7713" s="2" t="str">
        <f t="shared" si="126"/>
        <v>Error?</v>
      </c>
      <c r="E7713" s="2" t="s">
        <v>822</v>
      </c>
    </row>
    <row r="7714" spans="1:6" x14ac:dyDescent="0.2">
      <c r="A7714">
        <v>7653</v>
      </c>
      <c r="B7714" s="1832">
        <f>'Rest Tax Levies-Tort Im 25'!K9</f>
        <v>13760</v>
      </c>
      <c r="D7714" s="2" t="str">
        <f t="shared" si="126"/>
        <v>Error?</v>
      </c>
      <c r="E7714" s="2" t="s">
        <v>822</v>
      </c>
    </row>
    <row r="7715" spans="1:6" x14ac:dyDescent="0.2">
      <c r="A7715">
        <v>7654</v>
      </c>
      <c r="B7715" s="1832">
        <f>'Rest Tax Levies-Tort Im 25'!J10</f>
        <v>5001000</v>
      </c>
      <c r="D7715" s="2" t="str">
        <f t="shared" si="126"/>
        <v>Error?</v>
      </c>
      <c r="E7715" s="2" t="s">
        <v>822</v>
      </c>
    </row>
    <row r="7716" spans="1:6" x14ac:dyDescent="0.2">
      <c r="A7716">
        <v>7655</v>
      </c>
      <c r="B7716" s="1832">
        <f>'Rest Tax Levies-Tort Im 25'!K10</f>
        <v>0</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5446300</v>
      </c>
      <c r="D7718" s="2" t="str">
        <f t="shared" si="126"/>
        <v>Error?</v>
      </c>
      <c r="E7718" s="2" t="s">
        <v>822</v>
      </c>
    </row>
    <row r="7719" spans="1:6" x14ac:dyDescent="0.2">
      <c r="A7719">
        <v>7658</v>
      </c>
      <c r="B7719" s="1832">
        <f>'Rest Tax Levies-Tort Im 25'!K12</f>
        <v>32470</v>
      </c>
      <c r="D7719" s="2" t="str">
        <f t="shared" si="126"/>
        <v>Error?</v>
      </c>
      <c r="E7719" s="2" t="s">
        <v>822</v>
      </c>
    </row>
    <row r="7720" spans="1:6" x14ac:dyDescent="0.2">
      <c r="A7720">
        <v>7659</v>
      </c>
      <c r="B7720" s="1832">
        <f>'Rest Tax Levies-Tort Im 25'!H14</f>
        <v>89247</v>
      </c>
      <c r="D7720" s="2" t="str">
        <f t="shared" si="126"/>
        <v>Error?</v>
      </c>
      <c r="E7720" s="2" t="s">
        <v>822</v>
      </c>
    </row>
    <row r="7721" spans="1:6" x14ac:dyDescent="0.2">
      <c r="A7721">
        <v>7660</v>
      </c>
      <c r="B7721" s="1832">
        <f>'Rest Tax Levies-Tort Im 25'!K14</f>
        <v>32470</v>
      </c>
      <c r="D7721" s="2" t="str">
        <f t="shared" si="126"/>
        <v>Error?</v>
      </c>
      <c r="E7721" s="2" t="s">
        <v>822</v>
      </c>
    </row>
    <row r="7722" spans="1:6" x14ac:dyDescent="0.2">
      <c r="A7722">
        <v>7661</v>
      </c>
      <c r="B7722" s="1832">
        <f>'Rest Tax Levies-Tort Im 25'!J15</f>
        <v>3997142</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0</v>
      </c>
      <c r="D7724" s="2" t="str">
        <f t="shared" si="126"/>
        <v>Error?</v>
      </c>
      <c r="E7724" s="2" t="s">
        <v>822</v>
      </c>
      <c r="F7724" s="2"/>
    </row>
    <row r="7725" spans="1:6" x14ac:dyDescent="0.2">
      <c r="A7725">
        <v>7664</v>
      </c>
      <c r="B7725" s="1832">
        <f>'Rest Tax Levies-Tort Im 25'!J19</f>
        <v>0</v>
      </c>
      <c r="D7725" s="2" t="str">
        <f t="shared" si="126"/>
        <v>Error?</v>
      </c>
      <c r="E7725" s="2" t="s">
        <v>822</v>
      </c>
    </row>
    <row r="7726" spans="1:6" x14ac:dyDescent="0.2">
      <c r="A7726">
        <v>7665</v>
      </c>
      <c r="B7726" s="1832">
        <f>'Rest Tax Levies-Tort Im 25'!J20</f>
        <v>0</v>
      </c>
      <c r="D7726" s="2" t="str">
        <f t="shared" si="126"/>
        <v>Error?</v>
      </c>
      <c r="E7726" s="2" t="s">
        <v>822</v>
      </c>
    </row>
    <row r="7727" spans="1:6" x14ac:dyDescent="0.2">
      <c r="A7727">
        <v>7666</v>
      </c>
      <c r="B7727" s="1832">
        <f>'Rest Tax Levies-Tort Im 25'!J21</f>
        <v>0</v>
      </c>
      <c r="D7727" s="2" t="str">
        <f t="shared" si="126"/>
        <v>Error?</v>
      </c>
      <c r="E7727" s="2" t="s">
        <v>822</v>
      </c>
    </row>
    <row r="7728" spans="1:6" x14ac:dyDescent="0.2">
      <c r="A7728">
        <v>7667</v>
      </c>
      <c r="B7728" s="1832">
        <f>'Revenues 9-14'!E103</f>
        <v>0</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3997142</v>
      </c>
      <c r="D7730" s="2" t="str">
        <f t="shared" si="126"/>
        <v>Error?</v>
      </c>
      <c r="E7730" s="2" t="s">
        <v>822</v>
      </c>
    </row>
    <row r="7731" spans="1:6" x14ac:dyDescent="0.2">
      <c r="A7731">
        <v>7670</v>
      </c>
      <c r="B7731" s="1832">
        <f>'Revenues 9-14'!H103</f>
        <v>445300</v>
      </c>
      <c r="D7731" s="2" t="str">
        <f t="shared" si="126"/>
        <v>Error?</v>
      </c>
      <c r="E7731" s="2" t="s">
        <v>822</v>
      </c>
    </row>
    <row r="7732" spans="1:6" x14ac:dyDescent="0.2">
      <c r="A7732">
        <v>7671</v>
      </c>
      <c r="B7732" s="1832">
        <f>'Rest Tax Levies-Tort Im 25'!J24</f>
        <v>1761055</v>
      </c>
      <c r="D7732" s="2" t="str">
        <f t="shared" si="126"/>
        <v>Error?</v>
      </c>
      <c r="E7732" s="2" t="s">
        <v>822</v>
      </c>
    </row>
    <row r="7733" spans="1:6" x14ac:dyDescent="0.2">
      <c r="A7733">
        <v>7672</v>
      </c>
      <c r="B7733" s="1832">
        <f>'Rest Tax Levies-Tort Im 25'!K24</f>
        <v>0</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0</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0</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1761055</v>
      </c>
      <c r="D7742" s="2" t="str">
        <f t="shared" si="126"/>
        <v>Error?</v>
      </c>
      <c r="E7742" s="2" t="s">
        <v>822</v>
      </c>
    </row>
    <row r="7743" spans="1:6" x14ac:dyDescent="0.2">
      <c r="A7743">
        <v>7682</v>
      </c>
      <c r="B7743" s="1832">
        <f>'Rest Tax Levies-Tort Im 25'!K26</f>
        <v>0</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1500000</v>
      </c>
      <c r="D7748" s="2" t="str">
        <f t="shared" si="127"/>
        <v>Error?</v>
      </c>
      <c r="E7748" s="4" t="s">
        <v>1322</v>
      </c>
    </row>
    <row r="7749" spans="1:6" x14ac:dyDescent="0.2">
      <c r="A7749">
        <v>7688</v>
      </c>
      <c r="B7749" s="1832">
        <f>'Acct Summary 7-8'!D25</f>
        <v>200000</v>
      </c>
      <c r="D7749" s="2" t="str">
        <f t="shared" si="127"/>
        <v>Error?</v>
      </c>
      <c r="E7749" s="4" t="s">
        <v>1322</v>
      </c>
    </row>
    <row r="7750" spans="1:6" x14ac:dyDescent="0.2">
      <c r="A7750">
        <v>7689</v>
      </c>
      <c r="B7750" s="1832">
        <f>'Acct Summary 7-8'!E25</f>
        <v>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200000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1</v>
      </c>
      <c r="D7758" s="2" t="str">
        <f t="shared" si="127"/>
        <v>Error?</v>
      </c>
      <c r="E7758" s="4" t="s">
        <v>1322</v>
      </c>
    </row>
    <row r="7759" spans="1:6" x14ac:dyDescent="0.2">
      <c r="A7759">
        <v>7698</v>
      </c>
      <c r="B7759" s="1832">
        <f>'Aud Quest 2'!J88</f>
        <v>0</v>
      </c>
      <c r="D7759" s="2" t="str">
        <f t="shared" si="127"/>
        <v>Error?</v>
      </c>
      <c r="E7759" s="4" t="s">
        <v>1322</v>
      </c>
    </row>
    <row r="7760" spans="1:6" x14ac:dyDescent="0.2">
      <c r="A7760">
        <v>7699</v>
      </c>
      <c r="B7760" s="1832">
        <f>'Aud Quest 2'!J90</f>
        <v>1</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1994</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1536</v>
      </c>
    </row>
    <row r="7774" spans="1:5" x14ac:dyDescent="0.2">
      <c r="A7774">
        <v>7713</v>
      </c>
      <c r="B7774" s="1832">
        <f>'Expenditures 15-22'!E133</f>
        <v>0</v>
      </c>
      <c r="D7774" s="2" t="str">
        <f t="shared" si="127"/>
        <v>Error?</v>
      </c>
      <c r="E7774" s="4" t="s">
        <v>1823</v>
      </c>
    </row>
    <row r="7775" spans="1:5" x14ac:dyDescent="0.2">
      <c r="A7775">
        <v>7714</v>
      </c>
      <c r="B7775" s="1832">
        <f>'Expenditures 15-22'!H133</f>
        <v>0</v>
      </c>
      <c r="D7775" s="2" t="str">
        <f t="shared" si="127"/>
        <v>Error?</v>
      </c>
      <c r="E7775" s="4" t="s">
        <v>1823</v>
      </c>
    </row>
    <row r="7776" spans="1:5" x14ac:dyDescent="0.2">
      <c r="A7776">
        <v>7715</v>
      </c>
      <c r="B7776" s="1832">
        <f>'Expenditures 15-22'!K133</f>
        <v>0</v>
      </c>
      <c r="D7776" s="2" t="str">
        <f t="shared" si="127"/>
        <v>Error?</v>
      </c>
      <c r="E7776" s="4" t="s">
        <v>1823</v>
      </c>
    </row>
    <row r="7777" spans="1:5" x14ac:dyDescent="0.2">
      <c r="A7777">
        <v>7716</v>
      </c>
      <c r="B7777" s="1832">
        <f>'Expenditures 15-22'!H157</f>
        <v>0</v>
      </c>
      <c r="D7777" s="2" t="str">
        <f t="shared" si="127"/>
        <v>Error?</v>
      </c>
      <c r="E7777" s="4" t="s">
        <v>1823</v>
      </c>
    </row>
    <row r="7778" spans="1:5" x14ac:dyDescent="0.2">
      <c r="A7778">
        <v>7717</v>
      </c>
      <c r="B7778" s="1832">
        <f>'Expenditures 15-22'!K157</f>
        <v>0</v>
      </c>
      <c r="D7778" s="2" t="str">
        <f t="shared" si="127"/>
        <v>Error?</v>
      </c>
      <c r="E7778" s="4" t="s">
        <v>1823</v>
      </c>
    </row>
    <row r="7779" spans="1:5" x14ac:dyDescent="0.2">
      <c r="A7779">
        <v>7718</v>
      </c>
      <c r="B7779" s="1832">
        <f>'Expenditures 15-22'!H158</f>
        <v>0</v>
      </c>
      <c r="D7779" s="2" t="str">
        <f t="shared" si="127"/>
        <v>Error?</v>
      </c>
      <c r="E7779" s="4" t="s">
        <v>1823</v>
      </c>
    </row>
    <row r="7780" spans="1:5" x14ac:dyDescent="0.2">
      <c r="A7780">
        <v>7719</v>
      </c>
      <c r="B7780" s="1832">
        <f>'Expenditures 15-22'!K158</f>
        <v>0</v>
      </c>
      <c r="D7780" s="2" t="str">
        <f t="shared" si="127"/>
        <v>Error?</v>
      </c>
      <c r="E7780" s="4" t="s">
        <v>1823</v>
      </c>
    </row>
    <row r="7781" spans="1:5" x14ac:dyDescent="0.2">
      <c r="A7781">
        <v>7720</v>
      </c>
      <c r="B7781" s="1832">
        <f>'Expenditures 15-22'!H159</f>
        <v>0</v>
      </c>
      <c r="D7781" s="2" t="str">
        <f t="shared" si="127"/>
        <v>Error?</v>
      </c>
      <c r="E7781" s="4" t="s">
        <v>1823</v>
      </c>
    </row>
    <row r="7782" spans="1:5" x14ac:dyDescent="0.2">
      <c r="A7782">
        <v>7721</v>
      </c>
      <c r="B7782" s="1832">
        <f>'Expenditures 15-22'!K159</f>
        <v>0</v>
      </c>
      <c r="D7782" s="2" t="str">
        <f t="shared" si="127"/>
        <v>Error?</v>
      </c>
      <c r="E7782" s="4" t="s">
        <v>1823</v>
      </c>
    </row>
    <row r="7783" spans="1:5" x14ac:dyDescent="0.2">
      <c r="A7783">
        <v>7722</v>
      </c>
      <c r="B7783" s="1832">
        <f>'Expenditures 15-22'!D282</f>
        <v>0</v>
      </c>
      <c r="D7783" s="2" t="str">
        <f t="shared" si="127"/>
        <v>Error?</v>
      </c>
      <c r="E7783" s="4" t="s">
        <v>1823</v>
      </c>
    </row>
    <row r="7784" spans="1:5" x14ac:dyDescent="0.2">
      <c r="A7784">
        <v>7723</v>
      </c>
      <c r="B7784" s="1832">
        <f>'Expenditures 15-22'!K282</f>
        <v>0</v>
      </c>
      <c r="D7784" s="2" t="str">
        <f t="shared" si="127"/>
        <v>Error?</v>
      </c>
      <c r="E7784" s="4" t="s">
        <v>1823</v>
      </c>
    </row>
    <row r="7785" spans="1:5" x14ac:dyDescent="0.2">
      <c r="A7785">
        <v>7724</v>
      </c>
      <c r="B7785" s="1832">
        <f>'Expenditures 15-22'!H332</f>
        <v>0</v>
      </c>
      <c r="D7785" s="2" t="str">
        <f t="shared" si="127"/>
        <v>Error?</v>
      </c>
      <c r="E7785" s="4" t="s">
        <v>1823</v>
      </c>
    </row>
    <row r="7786" spans="1:5" x14ac:dyDescent="0.2">
      <c r="A7786">
        <v>7725</v>
      </c>
      <c r="B7786" s="1832">
        <f>'Expenditures 15-22'!K332</f>
        <v>0</v>
      </c>
      <c r="D7786" s="2" t="str">
        <f t="shared" si="127"/>
        <v>Error?</v>
      </c>
      <c r="E7786" s="4" t="s">
        <v>1823</v>
      </c>
    </row>
    <row r="7787" spans="1:5" x14ac:dyDescent="0.2">
      <c r="A7787">
        <v>7726</v>
      </c>
      <c r="B7787" s="1832">
        <f>'Expenditures 15-22'!H333</f>
        <v>0</v>
      </c>
      <c r="D7787" s="2" t="str">
        <f t="shared" si="127"/>
        <v>Error?</v>
      </c>
      <c r="E7787" s="4" t="s">
        <v>1823</v>
      </c>
    </row>
    <row r="7788" spans="1:5" x14ac:dyDescent="0.2">
      <c r="A7788">
        <v>7727</v>
      </c>
      <c r="B7788" s="1832">
        <f>'Expenditures 15-22'!K333</f>
        <v>0</v>
      </c>
      <c r="D7788" s="2" t="str">
        <f t="shared" si="127"/>
        <v>Error?</v>
      </c>
      <c r="E7788" s="4" t="s">
        <v>1823</v>
      </c>
    </row>
    <row r="7789" spans="1:5" x14ac:dyDescent="0.2">
      <c r="A7789">
        <v>7728</v>
      </c>
      <c r="B7789" s="1832">
        <f>'Expenditures 15-22'!H334</f>
        <v>0</v>
      </c>
      <c r="D7789" s="2" t="str">
        <f t="shared" si="127"/>
        <v>Error?</v>
      </c>
      <c r="E7789" s="4" t="s">
        <v>1823</v>
      </c>
    </row>
    <row r="7790" spans="1:5" x14ac:dyDescent="0.2">
      <c r="A7790">
        <v>7729</v>
      </c>
      <c r="B7790" s="1832">
        <f>'Expenditures 15-22'!K334</f>
        <v>0</v>
      </c>
      <c r="D7790" s="2" t="str">
        <f t="shared" si="127"/>
        <v>Error?</v>
      </c>
      <c r="E7790" s="4" t="s">
        <v>1823</v>
      </c>
    </row>
    <row r="7791" spans="1:5" x14ac:dyDescent="0.2">
      <c r="A7791">
        <v>7730</v>
      </c>
      <c r="B7791" s="1832">
        <f>'Expenditures 15-22'!H354</f>
        <v>0</v>
      </c>
      <c r="D7791" s="2" t="str">
        <f t="shared" si="127"/>
        <v>Error?</v>
      </c>
      <c r="E7791" s="4" t="s">
        <v>1823</v>
      </c>
    </row>
    <row r="7792" spans="1:5" x14ac:dyDescent="0.2">
      <c r="A7792">
        <v>7731</v>
      </c>
      <c r="B7792" s="1832">
        <f>'Expenditures 15-22'!K354</f>
        <v>0</v>
      </c>
      <c r="D7792" s="2" t="str">
        <f t="shared" si="127"/>
        <v>Error?</v>
      </c>
      <c r="E7792" s="4" t="s">
        <v>1823</v>
      </c>
    </row>
    <row r="7793" spans="1:5" x14ac:dyDescent="0.2">
      <c r="A7793">
        <v>7732</v>
      </c>
      <c r="B7793" s="1832">
        <f>'Expenditures 15-22'!H355</f>
        <v>0</v>
      </c>
      <c r="D7793" s="2" t="str">
        <f t="shared" si="127"/>
        <v>Error?</v>
      </c>
      <c r="E7793" s="4" t="s">
        <v>1823</v>
      </c>
    </row>
    <row r="7794" spans="1:5" x14ac:dyDescent="0.2">
      <c r="A7794">
        <v>7733</v>
      </c>
      <c r="B7794" s="1832">
        <f>'Expenditures 15-22'!K355</f>
        <v>0</v>
      </c>
      <c r="D7794" s="2" t="str">
        <f t="shared" si="127"/>
        <v>Error?</v>
      </c>
      <c r="E7794" s="4" t="s">
        <v>1823</v>
      </c>
    </row>
    <row r="7795" spans="1:5" x14ac:dyDescent="0.2">
      <c r="A7795">
        <v>7734</v>
      </c>
      <c r="B7795" s="1832">
        <f>'Expenditures 15-22'!E138</f>
        <v>0</v>
      </c>
      <c r="D7795" s="2" t="str">
        <f t="shared" si="127"/>
        <v>Error?</v>
      </c>
      <c r="E7795" s="4" t="s">
        <v>1823</v>
      </c>
    </row>
    <row r="7796" spans="1:5" x14ac:dyDescent="0.2">
      <c r="A7796">
        <v>7735</v>
      </c>
      <c r="B7796" s="1832">
        <f>'Acct Summary 7-8'!J15</f>
        <v>0</v>
      </c>
      <c r="D7796" s="2" t="str">
        <f t="shared" si="127"/>
        <v>Error?</v>
      </c>
      <c r="E7796" s="4" t="s">
        <v>1823</v>
      </c>
    </row>
    <row r="7797" spans="1:5" x14ac:dyDescent="0.2">
      <c r="A7797" s="126">
        <v>7736</v>
      </c>
      <c r="B7797" s="1832"/>
      <c r="D7797" s="2" t="str">
        <f t="shared" si="127"/>
        <v>OK</v>
      </c>
      <c r="E7797" s="4" t="s">
        <v>1976</v>
      </c>
    </row>
    <row r="7798" spans="1:5" x14ac:dyDescent="0.2">
      <c r="A7798" s="126">
        <v>7737</v>
      </c>
      <c r="B7798" s="1832"/>
      <c r="D7798" s="2" t="str">
        <f t="shared" si="127"/>
        <v>OK</v>
      </c>
      <c r="E7798" s="4" t="s">
        <v>1976</v>
      </c>
    </row>
    <row r="7799" spans="1:5" x14ac:dyDescent="0.2">
      <c r="A7799" s="126">
        <v>7738</v>
      </c>
      <c r="B7799" s="1832"/>
      <c r="D7799" s="2" t="str">
        <f t="shared" si="127"/>
        <v>OK</v>
      </c>
      <c r="E7799" s="4" t="s">
        <v>1976</v>
      </c>
    </row>
    <row r="7800" spans="1:5" x14ac:dyDescent="0.2">
      <c r="A7800">
        <v>7739</v>
      </c>
      <c r="B7800" s="1832">
        <f>'Rest Tax Levies-Tort Im 25'!K23</f>
        <v>32470</v>
      </c>
      <c r="D7800" s="2" t="str">
        <f t="shared" si="127"/>
        <v>Error?</v>
      </c>
      <c r="E7800" s="4" t="s">
        <v>1963</v>
      </c>
    </row>
    <row r="7801" spans="1:5" x14ac:dyDescent="0.2">
      <c r="A7801">
        <v>7740</v>
      </c>
      <c r="B7801" s="1832">
        <f>'Revenues 9-14'!C120</f>
        <v>0</v>
      </c>
      <c r="D7801" s="2" t="str">
        <f t="shared" si="127"/>
        <v>Error?</v>
      </c>
      <c r="E7801" s="4" t="s">
        <v>1897</v>
      </c>
    </row>
    <row r="7802" spans="1:5" x14ac:dyDescent="0.2">
      <c r="A7802">
        <v>7741</v>
      </c>
      <c r="B7802" s="1832">
        <f>'Revenues 9-14'!D120</f>
        <v>0</v>
      </c>
      <c r="D7802" s="2" t="str">
        <f t="shared" si="127"/>
        <v>Error?</v>
      </c>
      <c r="E7802" s="4" t="s">
        <v>1897</v>
      </c>
    </row>
    <row r="7803" spans="1:5" x14ac:dyDescent="0.2">
      <c r="A7803">
        <v>7742</v>
      </c>
      <c r="B7803" s="1832">
        <f>'Revenues 9-14'!E120</f>
        <v>0</v>
      </c>
      <c r="D7803" s="2" t="str">
        <f t="shared" si="127"/>
        <v>Error?</v>
      </c>
      <c r="E7803" s="4" t="s">
        <v>1897</v>
      </c>
    </row>
    <row r="7804" spans="1:5" x14ac:dyDescent="0.2">
      <c r="A7804">
        <v>7743</v>
      </c>
      <c r="B7804" s="1832">
        <f>'Revenues 9-14'!F120</f>
        <v>0</v>
      </c>
      <c r="D7804" s="2" t="str">
        <f t="shared" si="127"/>
        <v>Error?</v>
      </c>
      <c r="E7804" s="4" t="s">
        <v>1897</v>
      </c>
    </row>
    <row r="7805" spans="1:5" x14ac:dyDescent="0.2">
      <c r="A7805">
        <v>7744</v>
      </c>
      <c r="B7805" s="1832">
        <f>'Revenues 9-14'!G120</f>
        <v>0</v>
      </c>
      <c r="D7805" s="2" t="str">
        <f t="shared" si="127"/>
        <v>Error?</v>
      </c>
      <c r="E7805" s="4" t="s">
        <v>1897</v>
      </c>
    </row>
    <row r="7806" spans="1:5" x14ac:dyDescent="0.2">
      <c r="A7806">
        <v>7745</v>
      </c>
      <c r="B7806" s="1832">
        <f>'Revenues 9-14'!H120</f>
        <v>0</v>
      </c>
      <c r="D7806" s="2" t="str">
        <f t="shared" si="127"/>
        <v>Error?</v>
      </c>
      <c r="E7806" s="4" t="s">
        <v>1897</v>
      </c>
    </row>
    <row r="7807" spans="1:5" x14ac:dyDescent="0.2">
      <c r="A7807">
        <v>7746</v>
      </c>
      <c r="B7807" s="1832">
        <f>'Revenues 9-14'!J120</f>
        <v>0</v>
      </c>
      <c r="D7807" s="2" t="str">
        <f t="shared" ref="D7807:D7821" si="128">IF(ISBLANK(B7807),"OK",IF(A7807-B7807=0,"OK","Error?"))</f>
        <v>Error?</v>
      </c>
      <c r="E7807" s="4" t="s">
        <v>1897</v>
      </c>
    </row>
    <row r="7808" spans="1:5" x14ac:dyDescent="0.2">
      <c r="A7808">
        <v>7747</v>
      </c>
      <c r="B7808" s="1832">
        <f>'Revenues 9-14'!K120</f>
        <v>0</v>
      </c>
      <c r="D7808" s="2" t="str">
        <f t="shared" si="128"/>
        <v>Error?</v>
      </c>
      <c r="E7808" s="4" t="s">
        <v>1897</v>
      </c>
    </row>
    <row r="7809" spans="1:5" x14ac:dyDescent="0.2">
      <c r="A7809">
        <v>7748</v>
      </c>
      <c r="B7809" s="1832">
        <f>'Revenues 9-14'!C261</f>
        <v>0</v>
      </c>
      <c r="D7809" s="2" t="str">
        <f t="shared" si="128"/>
        <v>Error?</v>
      </c>
      <c r="E7809" s="4" t="s">
        <v>1898</v>
      </c>
    </row>
    <row r="7810" spans="1:5" x14ac:dyDescent="0.2">
      <c r="A7810">
        <v>7749</v>
      </c>
      <c r="B7810" s="1832">
        <f>'Revenues 9-14'!D261</f>
        <v>0</v>
      </c>
      <c r="D7810" s="2" t="str">
        <f t="shared" si="128"/>
        <v>Error?</v>
      </c>
      <c r="E7810" s="4" t="s">
        <v>1898</v>
      </c>
    </row>
    <row r="7811" spans="1:5" x14ac:dyDescent="0.2">
      <c r="A7811">
        <v>7750</v>
      </c>
      <c r="B7811" s="1832">
        <f>'Revenues 9-14'!F261</f>
        <v>0</v>
      </c>
      <c r="D7811" s="2" t="str">
        <f t="shared" si="128"/>
        <v>Error?</v>
      </c>
      <c r="E7811" s="4" t="s">
        <v>1898</v>
      </c>
    </row>
    <row r="7812" spans="1:5" x14ac:dyDescent="0.2">
      <c r="A7812">
        <v>7751</v>
      </c>
      <c r="B7812" s="1832">
        <f>'Revenues 9-14'!G261</f>
        <v>0</v>
      </c>
      <c r="D7812" s="2" t="str">
        <f t="shared" si="128"/>
        <v>Error?</v>
      </c>
      <c r="E7812" s="4" t="s">
        <v>1898</v>
      </c>
    </row>
    <row r="7813" spans="1:5" x14ac:dyDescent="0.2">
      <c r="A7813">
        <v>7752</v>
      </c>
      <c r="B7813" s="1832">
        <f>'Revenues 9-14'!C262</f>
        <v>0</v>
      </c>
      <c r="D7813" s="2" t="str">
        <f t="shared" si="128"/>
        <v>Error?</v>
      </c>
      <c r="E7813" s="4" t="s">
        <v>1899</v>
      </c>
    </row>
    <row r="7814" spans="1:5" x14ac:dyDescent="0.2">
      <c r="A7814">
        <v>7753</v>
      </c>
      <c r="B7814" s="1832">
        <f>'Revenues 9-14'!D262</f>
        <v>0</v>
      </c>
      <c r="D7814" s="2" t="str">
        <f t="shared" si="128"/>
        <v>Error?</v>
      </c>
      <c r="E7814" s="4" t="s">
        <v>1899</v>
      </c>
    </row>
    <row r="7815" spans="1:5" x14ac:dyDescent="0.2">
      <c r="A7815">
        <v>7754</v>
      </c>
      <c r="B7815" s="1832">
        <f>'Revenues 9-14'!F262</f>
        <v>0</v>
      </c>
      <c r="D7815" s="2" t="str">
        <f t="shared" si="128"/>
        <v>Error?</v>
      </c>
      <c r="E7815" s="4" t="s">
        <v>1899</v>
      </c>
    </row>
    <row r="7816" spans="1:5" x14ac:dyDescent="0.2">
      <c r="A7816">
        <v>7755</v>
      </c>
      <c r="B7816" s="1832">
        <f>'Revenues 9-14'!G262</f>
        <v>0</v>
      </c>
      <c r="D7816" s="2" t="str">
        <f t="shared" si="128"/>
        <v>Error?</v>
      </c>
      <c r="E7816" s="4" t="s">
        <v>1899</v>
      </c>
    </row>
    <row r="7817" spans="1:5" x14ac:dyDescent="0.2">
      <c r="A7817">
        <v>7756</v>
      </c>
      <c r="B7817" s="1832">
        <f>'Short-Term Long-Term Debt 24'!C49</f>
        <v>8591717</v>
      </c>
      <c r="D7817" s="2" t="str">
        <f t="shared" si="128"/>
        <v>Error?</v>
      </c>
      <c r="E7817" s="4" t="s">
        <v>1963</v>
      </c>
    </row>
    <row r="7818" spans="1:5" x14ac:dyDescent="0.2">
      <c r="A7818">
        <v>7757</v>
      </c>
      <c r="B7818" s="1832">
        <f>'PCTC-OEPP 27-28'!F172</f>
        <v>417545</v>
      </c>
      <c r="D7818" s="2" t="str">
        <f t="shared" si="128"/>
        <v>Error?</v>
      </c>
      <c r="E7818" s="4" t="s">
        <v>1977</v>
      </c>
    </row>
    <row r="7819" spans="1:5" x14ac:dyDescent="0.2">
      <c r="A7819">
        <v>7758</v>
      </c>
      <c r="B7819" s="1832">
        <f>'PCTC-OEPP 27-28'!F173</f>
        <v>65</v>
      </c>
      <c r="D7819" s="2" t="str">
        <f t="shared" si="128"/>
        <v>Error?</v>
      </c>
      <c r="E7819" s="4" t="s">
        <v>1977</v>
      </c>
    </row>
    <row r="7820" spans="1:5" x14ac:dyDescent="0.2">
      <c r="A7820">
        <v>7759</v>
      </c>
      <c r="B7820" s="1832">
        <f>'ICR Computation 30'!E40</f>
        <v>0</v>
      </c>
      <c r="D7820" s="2" t="str">
        <f t="shared" si="128"/>
        <v>Error?</v>
      </c>
    </row>
    <row r="7821" spans="1:5" x14ac:dyDescent="0.2">
      <c r="A7821">
        <v>7760</v>
      </c>
      <c r="B7821" s="1832">
        <f>'ICR Computation 30'!G40</f>
        <v>0</v>
      </c>
      <c r="D7821" s="2" t="str">
        <f t="shared" si="128"/>
        <v>Error?</v>
      </c>
    </row>
    <row r="7822" spans="1:5" x14ac:dyDescent="0.2">
      <c r="A7822" s="1">
        <v>7761</v>
      </c>
      <c r="B7822" s="1832">
        <f>'PCTC-OEPP 27-28'!F14</f>
        <v>16582695</v>
      </c>
      <c r="D7822" s="4" t="s">
        <v>1994</v>
      </c>
      <c r="E7822" s="4" t="s">
        <v>1995</v>
      </c>
    </row>
    <row r="7823" spans="1:5" x14ac:dyDescent="0.2">
      <c r="A7823" s="1">
        <v>7762</v>
      </c>
      <c r="B7823" s="1832">
        <f>'PCTC-OEPP 27-28'!F30</f>
        <v>0</v>
      </c>
      <c r="D7823" s="4" t="s">
        <v>1994</v>
      </c>
      <c r="E7823" s="4" t="s">
        <v>1995</v>
      </c>
    </row>
    <row r="7824" spans="1:5" x14ac:dyDescent="0.2">
      <c r="A7824" s="1">
        <v>7763</v>
      </c>
      <c r="B7824" s="1832">
        <f>'PCTC-OEPP 27-28'!F31</f>
        <v>0</v>
      </c>
      <c r="D7824" s="4" t="s">
        <v>1994</v>
      </c>
      <c r="E7824" s="4" t="s">
        <v>1995</v>
      </c>
    </row>
    <row r="7825" spans="1:5" x14ac:dyDescent="0.2">
      <c r="A7825" s="1">
        <v>7764</v>
      </c>
      <c r="B7825" s="1832">
        <f>'PCTC-OEPP 27-28'!F32</f>
        <v>0</v>
      </c>
      <c r="D7825" s="2" t="str">
        <f t="shared" ref="D7825:D7887" si="129">IF(ISBLANK(B7825),"OK",IF(A7825-B7825=0,"OK","Error?"))</f>
        <v>Error?</v>
      </c>
      <c r="E7825" s="4" t="s">
        <v>1995</v>
      </c>
    </row>
    <row r="7826" spans="1:5" x14ac:dyDescent="0.2">
      <c r="A7826">
        <v>7765</v>
      </c>
      <c r="B7826" s="1832">
        <f>'PCTC-OEPP 27-28'!F34</f>
        <v>0</v>
      </c>
      <c r="D7826" s="2" t="str">
        <f t="shared" si="129"/>
        <v>Error?</v>
      </c>
      <c r="E7826" s="4" t="s">
        <v>1995</v>
      </c>
    </row>
    <row r="7827" spans="1:5" x14ac:dyDescent="0.2">
      <c r="A7827">
        <v>7766</v>
      </c>
      <c r="B7827" s="1832">
        <f>'PCTC-OEPP 27-28'!F35</f>
        <v>130383</v>
      </c>
      <c r="D7827" s="2" t="str">
        <f t="shared" si="129"/>
        <v>Error?</v>
      </c>
      <c r="E7827" s="4" t="s">
        <v>1995</v>
      </c>
    </row>
    <row r="7828" spans="1:5" x14ac:dyDescent="0.2">
      <c r="A7828">
        <v>7767</v>
      </c>
      <c r="B7828" s="1832">
        <f>'PCTC-OEPP 27-28'!F36</f>
        <v>0</v>
      </c>
      <c r="D7828" s="2" t="str">
        <f t="shared" si="129"/>
        <v>Error?</v>
      </c>
      <c r="E7828" s="4" t="s">
        <v>1995</v>
      </c>
    </row>
    <row r="7829" spans="1:5" x14ac:dyDescent="0.2">
      <c r="A7829">
        <v>7768</v>
      </c>
      <c r="B7829" s="1832">
        <f>'PCTC-OEPP 27-28'!F37</f>
        <v>0</v>
      </c>
      <c r="D7829" s="2" t="str">
        <f t="shared" si="129"/>
        <v>Error?</v>
      </c>
      <c r="E7829" s="4" t="s">
        <v>1995</v>
      </c>
    </row>
    <row r="7830" spans="1:5" x14ac:dyDescent="0.2">
      <c r="A7830">
        <v>7769</v>
      </c>
      <c r="B7830" s="1832">
        <f>'PCTC-OEPP 27-28'!F38</f>
        <v>1287</v>
      </c>
      <c r="D7830" s="2" t="str">
        <f t="shared" si="129"/>
        <v>Error?</v>
      </c>
      <c r="E7830" s="4" t="s">
        <v>1995</v>
      </c>
    </row>
    <row r="7831" spans="1:5" x14ac:dyDescent="0.2">
      <c r="A7831">
        <v>7770</v>
      </c>
      <c r="B7831" s="1832">
        <f>'PCTC-OEPP 27-28'!F52</f>
        <v>2874</v>
      </c>
      <c r="D7831" s="2" t="str">
        <f t="shared" si="129"/>
        <v>Error?</v>
      </c>
      <c r="E7831" s="4" t="s">
        <v>1995</v>
      </c>
    </row>
    <row r="7832" spans="1:5" x14ac:dyDescent="0.2">
      <c r="A7832">
        <v>7771</v>
      </c>
      <c r="B7832" s="1832">
        <f>'PCTC-OEPP 27-28'!F56</f>
        <v>0</v>
      </c>
      <c r="D7832" s="2" t="str">
        <f t="shared" si="129"/>
        <v>Error?</v>
      </c>
      <c r="E7832" s="4" t="s">
        <v>1995</v>
      </c>
    </row>
    <row r="7833" spans="1:5" x14ac:dyDescent="0.2">
      <c r="A7833">
        <v>7772</v>
      </c>
      <c r="B7833" s="1832">
        <f>'PCTC-OEPP 27-28'!F62</f>
        <v>0</v>
      </c>
      <c r="D7833" s="2" t="str">
        <f t="shared" si="129"/>
        <v>Error?</v>
      </c>
      <c r="E7833" s="4" t="s">
        <v>1995</v>
      </c>
    </row>
    <row r="7834" spans="1:5" x14ac:dyDescent="0.2">
      <c r="A7834">
        <v>7773</v>
      </c>
      <c r="B7834" s="1832">
        <f>'PCTC-OEPP 27-28'!F77</f>
        <v>2707215</v>
      </c>
      <c r="D7834" s="2" t="str">
        <f t="shared" si="129"/>
        <v>Error?</v>
      </c>
      <c r="E7834" s="4" t="s">
        <v>1995</v>
      </c>
    </row>
    <row r="7835" spans="1:5" x14ac:dyDescent="0.2">
      <c r="A7835">
        <v>7774</v>
      </c>
      <c r="B7835" s="1832">
        <f>'PCTC-OEPP 27-28'!F78</f>
        <v>13875480</v>
      </c>
      <c r="D7835" s="2" t="str">
        <f t="shared" si="129"/>
        <v>Error?</v>
      </c>
      <c r="E7835" s="4" t="s">
        <v>1995</v>
      </c>
    </row>
    <row r="7836" spans="1:5" x14ac:dyDescent="0.2">
      <c r="A7836" s="126">
        <v>7775</v>
      </c>
      <c r="B7836" s="1832"/>
      <c r="D7836" s="2" t="str">
        <f t="shared" si="129"/>
        <v>OK</v>
      </c>
      <c r="E7836" s="4" t="s">
        <v>1997</v>
      </c>
    </row>
    <row r="7837" spans="1:5" x14ac:dyDescent="0.2">
      <c r="A7837">
        <v>7776</v>
      </c>
      <c r="B7837" s="1832">
        <f>'PCTC-OEPP 27-28'!F80</f>
        <v>9073.0922644347083</v>
      </c>
      <c r="D7837" s="2" t="str">
        <f t="shared" si="129"/>
        <v>Error?</v>
      </c>
      <c r="E7837" s="4" t="s">
        <v>1995</v>
      </c>
    </row>
    <row r="7838" spans="1:5" x14ac:dyDescent="0.2">
      <c r="A7838">
        <v>7777</v>
      </c>
      <c r="B7838" s="1832">
        <f>'PCTC-OEPP 27-28'!F96</f>
        <v>61395</v>
      </c>
      <c r="D7838" s="2" t="str">
        <f t="shared" si="129"/>
        <v>Error?</v>
      </c>
      <c r="E7838" s="4" t="s">
        <v>1995</v>
      </c>
    </row>
    <row r="7839" spans="1:5" x14ac:dyDescent="0.2">
      <c r="A7839">
        <v>7778</v>
      </c>
      <c r="B7839" s="1832">
        <f>'PCTC-OEPP 27-28'!F102</f>
        <v>13120</v>
      </c>
      <c r="D7839" s="2" t="str">
        <f t="shared" si="129"/>
        <v>Error?</v>
      </c>
      <c r="E7839" s="4" t="s">
        <v>1995</v>
      </c>
    </row>
    <row r="7840" spans="1:5" x14ac:dyDescent="0.2">
      <c r="A7840">
        <v>7779</v>
      </c>
      <c r="B7840" s="1832">
        <f>'PCTC-OEPP 27-28'!F103</f>
        <v>0</v>
      </c>
      <c r="D7840" s="2" t="str">
        <f t="shared" si="129"/>
        <v>Error?</v>
      </c>
      <c r="E7840" s="4" t="s">
        <v>1995</v>
      </c>
    </row>
    <row r="7841" spans="1:5" x14ac:dyDescent="0.2">
      <c r="A7841">
        <v>7780</v>
      </c>
      <c r="B7841" s="1832">
        <f>'PCTC-OEPP 27-28'!F104</f>
        <v>0</v>
      </c>
      <c r="D7841" s="2" t="str">
        <f t="shared" si="129"/>
        <v>Error?</v>
      </c>
      <c r="E7841" s="4" t="s">
        <v>1995</v>
      </c>
    </row>
    <row r="7842" spans="1:5" x14ac:dyDescent="0.2">
      <c r="A7842">
        <v>7781</v>
      </c>
      <c r="B7842" s="1832">
        <f>'PCTC-OEPP 27-28'!F106</f>
        <v>187938</v>
      </c>
      <c r="D7842" s="2" t="str">
        <f t="shared" si="129"/>
        <v>Error?</v>
      </c>
      <c r="E7842" s="4" t="s">
        <v>1995</v>
      </c>
    </row>
    <row r="7843" spans="1:5" x14ac:dyDescent="0.2">
      <c r="A7843">
        <v>7782</v>
      </c>
      <c r="B7843" s="1832">
        <f>'PCTC-OEPP 27-28'!F107</f>
        <v>44070</v>
      </c>
      <c r="D7843" s="2" t="str">
        <f t="shared" si="129"/>
        <v>Error?</v>
      </c>
      <c r="E7843" s="4" t="s">
        <v>1995</v>
      </c>
    </row>
    <row r="7844" spans="1:5" x14ac:dyDescent="0.2">
      <c r="A7844">
        <v>7783</v>
      </c>
      <c r="B7844" s="1832">
        <f>'PCTC-OEPP 27-28'!F108</f>
        <v>0</v>
      </c>
      <c r="D7844" s="2" t="str">
        <f t="shared" si="129"/>
        <v>Error?</v>
      </c>
      <c r="E7844" s="4" t="s">
        <v>1995</v>
      </c>
    </row>
    <row r="7845" spans="1:5" x14ac:dyDescent="0.2">
      <c r="A7845">
        <v>7784</v>
      </c>
      <c r="B7845" s="1832">
        <f>'PCTC-OEPP 27-28'!F110</f>
        <v>0</v>
      </c>
      <c r="D7845" s="2" t="str">
        <f t="shared" si="129"/>
        <v>Error?</v>
      </c>
      <c r="E7845" s="4" t="s">
        <v>1995</v>
      </c>
    </row>
    <row r="7846" spans="1:5" x14ac:dyDescent="0.2">
      <c r="A7846">
        <v>7785</v>
      </c>
      <c r="B7846" s="1832">
        <f>'PCTC-OEPP 27-28'!F111</f>
        <v>13760</v>
      </c>
      <c r="D7846" s="2" t="str">
        <f t="shared" si="129"/>
        <v>Error?</v>
      </c>
      <c r="E7846" s="4" t="s">
        <v>1995</v>
      </c>
    </row>
    <row r="7847" spans="1:5" x14ac:dyDescent="0.2">
      <c r="A7847">
        <v>7786</v>
      </c>
      <c r="B7847" s="1832">
        <f>'PCTC-OEPP 27-28'!F112</f>
        <v>286173</v>
      </c>
      <c r="D7847" s="2" t="str">
        <f t="shared" si="129"/>
        <v>Error?</v>
      </c>
      <c r="E7847" s="4" t="s">
        <v>1995</v>
      </c>
    </row>
    <row r="7848" spans="1:5" x14ac:dyDescent="0.2">
      <c r="A7848">
        <v>7787</v>
      </c>
      <c r="B7848" s="1832">
        <f>'PCTC-OEPP 27-28'!F114</f>
        <v>0</v>
      </c>
      <c r="D7848" s="2" t="str">
        <f t="shared" si="129"/>
        <v>Error?</v>
      </c>
      <c r="E7848" s="4" t="s">
        <v>1995</v>
      </c>
    </row>
    <row r="7849" spans="1:5" x14ac:dyDescent="0.2">
      <c r="A7849">
        <v>7788</v>
      </c>
      <c r="B7849" s="1832">
        <f>'PCTC-OEPP 27-28'!F115</f>
        <v>0</v>
      </c>
      <c r="D7849" s="2" t="str">
        <f t="shared" si="129"/>
        <v>Error?</v>
      </c>
      <c r="E7849" s="4" t="s">
        <v>1995</v>
      </c>
    </row>
    <row r="7850" spans="1:5" x14ac:dyDescent="0.2">
      <c r="A7850">
        <v>7789</v>
      </c>
      <c r="B7850" s="1832">
        <f>'PCTC-OEPP 27-28'!F116</f>
        <v>0</v>
      </c>
      <c r="D7850" s="2" t="str">
        <f t="shared" si="129"/>
        <v>Error?</v>
      </c>
      <c r="E7850" s="4" t="s">
        <v>1995</v>
      </c>
    </row>
    <row r="7851" spans="1:5" x14ac:dyDescent="0.2">
      <c r="A7851">
        <v>7790</v>
      </c>
      <c r="B7851" s="1832">
        <f>'PCTC-OEPP 27-28'!F117</f>
        <v>0</v>
      </c>
      <c r="D7851" s="2" t="str">
        <f t="shared" si="129"/>
        <v>Error?</v>
      </c>
      <c r="E7851" s="4" t="s">
        <v>1995</v>
      </c>
    </row>
    <row r="7852" spans="1:5" x14ac:dyDescent="0.2">
      <c r="A7852">
        <v>7791</v>
      </c>
      <c r="B7852" s="1832">
        <f>'PCTC-OEPP 27-28'!F118</f>
        <v>0</v>
      </c>
      <c r="D7852" s="2" t="str">
        <f t="shared" si="129"/>
        <v>Error?</v>
      </c>
      <c r="E7852" s="4" t="s">
        <v>1995</v>
      </c>
    </row>
    <row r="7853" spans="1:5" x14ac:dyDescent="0.2">
      <c r="A7853">
        <v>7792</v>
      </c>
      <c r="B7853" s="1832">
        <f>'PCTC-OEPP 27-28'!F119</f>
        <v>0</v>
      </c>
      <c r="D7853" s="2" t="str">
        <f t="shared" si="129"/>
        <v>Error?</v>
      </c>
      <c r="E7853" s="4" t="s">
        <v>1995</v>
      </c>
    </row>
    <row r="7854" spans="1:5" x14ac:dyDescent="0.2">
      <c r="A7854">
        <v>7793</v>
      </c>
      <c r="B7854" s="1832">
        <f>'PCTC-OEPP 27-28'!F120</f>
        <v>0</v>
      </c>
      <c r="D7854" s="2" t="str">
        <f t="shared" si="129"/>
        <v>Error?</v>
      </c>
      <c r="E7854" s="4" t="s">
        <v>1995</v>
      </c>
    </row>
    <row r="7855" spans="1:5" x14ac:dyDescent="0.2">
      <c r="A7855">
        <v>7794</v>
      </c>
      <c r="B7855" s="1832">
        <f>'PCTC-OEPP 27-28'!F122</f>
        <v>1885</v>
      </c>
      <c r="D7855" s="2" t="str">
        <f t="shared" si="129"/>
        <v>Error?</v>
      </c>
      <c r="E7855" s="4" t="s">
        <v>1995</v>
      </c>
    </row>
    <row r="7856" spans="1:5" x14ac:dyDescent="0.2">
      <c r="A7856">
        <v>7795</v>
      </c>
      <c r="B7856" s="1832">
        <f>'PCTC-OEPP 27-28'!F124</f>
        <v>0</v>
      </c>
      <c r="D7856" s="2" t="str">
        <f t="shared" si="129"/>
        <v>Error?</v>
      </c>
      <c r="E7856" s="4" t="s">
        <v>1995</v>
      </c>
    </row>
    <row r="7857" spans="1:5" x14ac:dyDescent="0.2">
      <c r="A7857">
        <v>7796</v>
      </c>
      <c r="B7857" s="1832">
        <f>'PCTC-OEPP 27-28'!F125</f>
        <v>0</v>
      </c>
      <c r="D7857" s="2" t="str">
        <f t="shared" si="129"/>
        <v>Error?</v>
      </c>
      <c r="E7857" s="4" t="s">
        <v>1995</v>
      </c>
    </row>
    <row r="7858" spans="1:5" x14ac:dyDescent="0.2">
      <c r="A7858">
        <v>7797</v>
      </c>
      <c r="B7858" s="1832">
        <f>'PCTC-OEPP 27-28'!F126</f>
        <v>183467</v>
      </c>
      <c r="D7858" s="2" t="str">
        <f t="shared" si="129"/>
        <v>Error?</v>
      </c>
      <c r="E7858" s="4" t="s">
        <v>1995</v>
      </c>
    </row>
    <row r="7859" spans="1:5" x14ac:dyDescent="0.2">
      <c r="A7859">
        <v>7798</v>
      </c>
      <c r="B7859" s="1832">
        <f>'PCTC-OEPP 27-28'!F127</f>
        <v>148815</v>
      </c>
      <c r="D7859" s="2" t="str">
        <f t="shared" si="129"/>
        <v>Error?</v>
      </c>
      <c r="E7859" s="4" t="s">
        <v>1995</v>
      </c>
    </row>
    <row r="7860" spans="1:5" x14ac:dyDescent="0.2">
      <c r="A7860">
        <v>7799</v>
      </c>
      <c r="B7860" s="1832">
        <f>'PCTC-OEPP 27-28'!F128</f>
        <v>0</v>
      </c>
      <c r="D7860" s="2" t="str">
        <f t="shared" si="129"/>
        <v>Error?</v>
      </c>
      <c r="E7860" s="4" t="s">
        <v>1995</v>
      </c>
    </row>
    <row r="7861" spans="1:5" x14ac:dyDescent="0.2">
      <c r="A7861">
        <v>7800</v>
      </c>
      <c r="B7861" s="1832">
        <f>'PCTC-OEPP 27-28'!F129</f>
        <v>358673</v>
      </c>
      <c r="D7861" s="2" t="str">
        <f t="shared" si="129"/>
        <v>Error?</v>
      </c>
      <c r="E7861" s="4" t="s">
        <v>1995</v>
      </c>
    </row>
    <row r="7862" spans="1:5" x14ac:dyDescent="0.2">
      <c r="A7862">
        <v>7801</v>
      </c>
      <c r="B7862" s="1832">
        <f>'PCTC-OEPP 27-28'!F130</f>
        <v>0</v>
      </c>
      <c r="D7862" s="2" t="str">
        <f t="shared" si="129"/>
        <v>Error?</v>
      </c>
      <c r="E7862" s="4" t="s">
        <v>1995</v>
      </c>
    </row>
    <row r="7863" spans="1:5" x14ac:dyDescent="0.2">
      <c r="A7863">
        <v>7802</v>
      </c>
      <c r="B7863" s="1832">
        <f>'PCTC-OEPP 27-28'!F131</f>
        <v>0</v>
      </c>
      <c r="D7863" s="2" t="str">
        <f t="shared" si="129"/>
        <v>Error?</v>
      </c>
      <c r="E7863" s="4" t="s">
        <v>1995</v>
      </c>
    </row>
    <row r="7864" spans="1:5" x14ac:dyDescent="0.2">
      <c r="A7864">
        <v>7803</v>
      </c>
      <c r="B7864" s="1832">
        <f>'PCTC-OEPP 27-28'!F132</f>
        <v>0</v>
      </c>
      <c r="D7864" s="2" t="str">
        <f t="shared" si="129"/>
        <v>Error?</v>
      </c>
      <c r="E7864" s="4" t="s">
        <v>1995</v>
      </c>
    </row>
    <row r="7865" spans="1:5" x14ac:dyDescent="0.2">
      <c r="A7865">
        <v>7804</v>
      </c>
      <c r="B7865" s="1832">
        <f>'PCTC-OEPP 27-28'!F133</f>
        <v>0</v>
      </c>
      <c r="D7865" s="2" t="str">
        <f t="shared" si="129"/>
        <v>Error?</v>
      </c>
      <c r="E7865" s="4" t="s">
        <v>1995</v>
      </c>
    </row>
    <row r="7866" spans="1:5" x14ac:dyDescent="0.2">
      <c r="A7866">
        <v>7805</v>
      </c>
      <c r="B7866" s="1832">
        <f>'PCTC-OEPP 27-28'!F158</f>
        <v>0</v>
      </c>
      <c r="D7866" s="2" t="str">
        <f t="shared" si="129"/>
        <v>Error?</v>
      </c>
      <c r="E7866" s="4" t="s">
        <v>1995</v>
      </c>
    </row>
    <row r="7867" spans="1:5" x14ac:dyDescent="0.2">
      <c r="A7867">
        <v>7806</v>
      </c>
      <c r="B7867" s="1832">
        <f>'PCTC-OEPP 27-28'!F160</f>
        <v>0</v>
      </c>
      <c r="D7867" s="2" t="str">
        <f t="shared" si="129"/>
        <v>Error?</v>
      </c>
      <c r="E7867" s="4" t="s">
        <v>1995</v>
      </c>
    </row>
    <row r="7868" spans="1:5" x14ac:dyDescent="0.2">
      <c r="A7868">
        <v>7807</v>
      </c>
      <c r="B7868" s="1832">
        <f>'PCTC-OEPP 27-28'!F161</f>
        <v>0</v>
      </c>
      <c r="D7868" s="2" t="str">
        <f t="shared" si="129"/>
        <v>Error?</v>
      </c>
      <c r="E7868" s="4" t="s">
        <v>1995</v>
      </c>
    </row>
    <row r="7869" spans="1:5" x14ac:dyDescent="0.2">
      <c r="A7869">
        <v>7808</v>
      </c>
      <c r="B7869" s="1832">
        <f>'PCTC-OEPP 27-28'!F162</f>
        <v>0</v>
      </c>
      <c r="D7869" s="2" t="str">
        <f t="shared" si="129"/>
        <v>Error?</v>
      </c>
      <c r="E7869" s="4" t="s">
        <v>1995</v>
      </c>
    </row>
    <row r="7870" spans="1:5" x14ac:dyDescent="0.2">
      <c r="A7870">
        <v>7809</v>
      </c>
      <c r="B7870" s="1832">
        <f>'PCTC-OEPP 27-28'!F163</f>
        <v>0</v>
      </c>
      <c r="D7870" s="2" t="str">
        <f t="shared" si="129"/>
        <v>Error?</v>
      </c>
      <c r="E7870" s="4" t="s">
        <v>1995</v>
      </c>
    </row>
    <row r="7871" spans="1:5" x14ac:dyDescent="0.2">
      <c r="A7871">
        <v>7810</v>
      </c>
      <c r="B7871" s="1832">
        <f>'PCTC-OEPP 27-28'!F164</f>
        <v>0</v>
      </c>
      <c r="D7871" s="2" t="str">
        <f t="shared" si="129"/>
        <v>Error?</v>
      </c>
      <c r="E7871" s="4" t="s">
        <v>1995</v>
      </c>
    </row>
    <row r="7872" spans="1:5" x14ac:dyDescent="0.2">
      <c r="A7872">
        <v>7811</v>
      </c>
      <c r="B7872" s="1832">
        <f>'PCTC-OEPP 27-28'!F165</f>
        <v>42840</v>
      </c>
      <c r="D7872" s="2" t="str">
        <f t="shared" si="129"/>
        <v>Error?</v>
      </c>
      <c r="E7872" s="4" t="s">
        <v>1995</v>
      </c>
    </row>
    <row r="7873" spans="1:5" x14ac:dyDescent="0.2">
      <c r="A7873">
        <v>7812</v>
      </c>
      <c r="B7873" s="1832">
        <f>'PCTC-OEPP 27-28'!F166</f>
        <v>0</v>
      </c>
      <c r="D7873" s="2" t="str">
        <f t="shared" si="129"/>
        <v>Error?</v>
      </c>
      <c r="E7873" s="4" t="s">
        <v>1995</v>
      </c>
    </row>
    <row r="7874" spans="1:5" x14ac:dyDescent="0.2">
      <c r="A7874">
        <v>7813</v>
      </c>
      <c r="B7874" s="1832">
        <f>'PCTC-OEPP 27-28'!F169</f>
        <v>16175</v>
      </c>
      <c r="D7874" s="2" t="str">
        <f t="shared" si="129"/>
        <v>Error?</v>
      </c>
      <c r="E7874" s="4" t="s">
        <v>1995</v>
      </c>
    </row>
    <row r="7875" spans="1:5" x14ac:dyDescent="0.2">
      <c r="A7875">
        <v>7814</v>
      </c>
      <c r="B7875" s="1832">
        <f>'PCTC-OEPP 27-28'!F170</f>
        <v>12463</v>
      </c>
      <c r="D7875" s="2" t="str">
        <f t="shared" si="129"/>
        <v>Error?</v>
      </c>
      <c r="E7875" s="4" t="s">
        <v>1995</v>
      </c>
    </row>
    <row r="7876" spans="1:5" x14ac:dyDescent="0.2">
      <c r="A7876">
        <v>7815</v>
      </c>
      <c r="B7876" s="1832">
        <f>'PCTC-OEPP 27-28'!F171</f>
        <v>0</v>
      </c>
      <c r="D7876" s="2" t="str">
        <f t="shared" si="129"/>
        <v>Error?</v>
      </c>
      <c r="E7876" s="4" t="s">
        <v>1995</v>
      </c>
    </row>
    <row r="7877" spans="1:5" x14ac:dyDescent="0.2">
      <c r="A7877">
        <v>7816</v>
      </c>
      <c r="B7877" s="1832">
        <f>'PCTC-OEPP 27-28'!F175</f>
        <v>2252836</v>
      </c>
      <c r="D7877" s="2" t="str">
        <f t="shared" si="129"/>
        <v>Error?</v>
      </c>
      <c r="E7877" s="4" t="s">
        <v>1995</v>
      </c>
    </row>
    <row r="7878" spans="1:5" x14ac:dyDescent="0.2">
      <c r="A7878">
        <v>7817</v>
      </c>
      <c r="B7878" s="1832">
        <f>'PCTC-OEPP 27-28'!F176</f>
        <v>11622644</v>
      </c>
      <c r="D7878" s="2" t="str">
        <f t="shared" si="129"/>
        <v>Error?</v>
      </c>
      <c r="E7878" s="4" t="s">
        <v>1995</v>
      </c>
    </row>
    <row r="7879" spans="1:5" x14ac:dyDescent="0.2">
      <c r="A7879">
        <v>7818</v>
      </c>
      <c r="B7879" s="1832">
        <f>'PCTC-OEPP 27-28'!F178</f>
        <v>12571900</v>
      </c>
      <c r="D7879" s="2" t="str">
        <f t="shared" si="129"/>
        <v>Error?</v>
      </c>
      <c r="E7879" s="4" t="s">
        <v>1995</v>
      </c>
    </row>
    <row r="7880" spans="1:5" x14ac:dyDescent="0.2">
      <c r="A7880">
        <v>7819</v>
      </c>
      <c r="B7880" s="1832">
        <f>'PCTC-OEPP 27-28'!F180</f>
        <v>8220.6892042110776</v>
      </c>
      <c r="D7880" s="2" t="str">
        <f t="shared" si="129"/>
        <v>Error?</v>
      </c>
      <c r="E7880" s="4" t="s">
        <v>1995</v>
      </c>
    </row>
    <row r="7881" spans="1:5" x14ac:dyDescent="0.2">
      <c r="A7881">
        <v>7820</v>
      </c>
      <c r="B7881" s="135">
        <f>'PCTC-OEPP 27-28'!F29</f>
        <v>0</v>
      </c>
      <c r="D7881" s="2" t="str">
        <f t="shared" si="129"/>
        <v>Error?</v>
      </c>
      <c r="E7881" s="4" t="s">
        <v>1995</v>
      </c>
    </row>
    <row r="7882" spans="1:5" x14ac:dyDescent="0.2">
      <c r="A7882">
        <v>7821</v>
      </c>
      <c r="B7882" s="135">
        <f>'Revenues 9-14'!H117</f>
        <v>0</v>
      </c>
      <c r="D7882" s="2" t="str">
        <f t="shared" si="129"/>
        <v>Error?</v>
      </c>
      <c r="E7882" s="4" t="s">
        <v>1996</v>
      </c>
    </row>
    <row r="7883" spans="1:5" x14ac:dyDescent="0.2">
      <c r="A7883">
        <v>7822</v>
      </c>
      <c r="B7883" s="135">
        <f>'Revenues 9-14'!H118</f>
        <v>0</v>
      </c>
      <c r="D7883" s="2" t="str">
        <f t="shared" si="129"/>
        <v>Error?</v>
      </c>
      <c r="E7883" s="4" t="s">
        <v>1996</v>
      </c>
    </row>
    <row r="7884" spans="1:5" x14ac:dyDescent="0.2">
      <c r="A7884">
        <v>7823</v>
      </c>
      <c r="B7884" s="135">
        <f>'Revenues 9-14'!H119</f>
        <v>0</v>
      </c>
      <c r="D7884" s="2" t="str">
        <f t="shared" si="129"/>
        <v>Error?</v>
      </c>
      <c r="E7884" s="4" t="s">
        <v>1996</v>
      </c>
    </row>
    <row r="7885" spans="1:5" x14ac:dyDescent="0.2">
      <c r="A7885">
        <v>7824</v>
      </c>
      <c r="B7885" s="135">
        <f>'Revenues 9-14'!H121</f>
        <v>0</v>
      </c>
      <c r="D7885" s="2" t="str">
        <f t="shared" si="129"/>
        <v>Error?</v>
      </c>
      <c r="E7885" s="4" t="s">
        <v>1996</v>
      </c>
    </row>
    <row r="7886" spans="1:5" x14ac:dyDescent="0.2">
      <c r="A7886">
        <v>7825</v>
      </c>
      <c r="B7886" s="135">
        <f>'PCTC-OEPP 27-28'!F75</f>
        <v>35170</v>
      </c>
      <c r="D7886" s="2" t="str">
        <f t="shared" si="129"/>
        <v>Error?</v>
      </c>
      <c r="E7886" s="4" t="s">
        <v>1995</v>
      </c>
    </row>
    <row r="7887" spans="1:5" x14ac:dyDescent="0.2">
      <c r="A7887">
        <v>7826</v>
      </c>
      <c r="B7887" s="135">
        <f>'PCTC-OEPP 27-28'!F76</f>
        <v>0</v>
      </c>
      <c r="D7887" s="2" t="str">
        <f t="shared" si="129"/>
        <v>Error?</v>
      </c>
      <c r="E7887" s="4" t="s">
        <v>1995</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620" t="s">
        <v>1181</v>
      </c>
      <c r="B2" s="2620"/>
      <c r="C2" s="2620"/>
      <c r="D2" s="2620"/>
      <c r="E2" s="2620"/>
      <c r="F2" s="2620"/>
      <c r="G2" s="2620"/>
      <c r="H2" s="2620"/>
      <c r="I2" s="2620"/>
      <c r="J2" s="2620"/>
      <c r="K2" s="2620"/>
      <c r="L2" s="2620"/>
    </row>
    <row r="3" spans="1:29" ht="13.5" customHeight="1" x14ac:dyDescent="0.2">
      <c r="A3" s="2606" t="s">
        <v>1180</v>
      </c>
      <c r="B3" s="2606"/>
      <c r="C3" s="2606"/>
      <c r="D3" s="2606"/>
      <c r="E3" s="2606"/>
      <c r="F3" s="2606"/>
      <c r="G3" s="2606"/>
      <c r="H3" s="2606"/>
      <c r="I3" s="2606"/>
      <c r="J3" s="2606"/>
      <c r="K3" s="2606"/>
      <c r="L3" s="2606"/>
    </row>
    <row r="4" spans="1:29" ht="13.5" customHeight="1" x14ac:dyDescent="0.2">
      <c r="A4" s="2637" t="str">
        <f>"Year Ending June 30, "&amp;'AFR20'!E2</f>
        <v>Year Ending June 30, 2020</v>
      </c>
      <c r="B4" s="2638"/>
      <c r="C4" s="2638"/>
      <c r="D4" s="2638"/>
      <c r="E4" s="2638"/>
      <c r="F4" s="2638"/>
      <c r="G4" s="2638"/>
      <c r="H4" s="2638"/>
      <c r="I4" s="2638"/>
      <c r="J4" s="2638"/>
      <c r="K4" s="2638"/>
      <c r="L4" s="2638"/>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600" t="str">
        <f>COVER!A17</f>
        <v>Community Unit School District No. 140</v>
      </c>
      <c r="B7" s="2601"/>
      <c r="C7" s="2601"/>
      <c r="D7" s="2639"/>
      <c r="E7" s="2640" t="str">
        <f>COVER!A13</f>
        <v>53-102-1400-26</v>
      </c>
      <c r="F7" s="2641"/>
      <c r="G7" s="2607" t="str">
        <f>COVER!T23</f>
        <v>066-005027</v>
      </c>
      <c r="H7" s="2608"/>
      <c r="I7" s="2608"/>
      <c r="J7" s="2608"/>
      <c r="K7" s="2608"/>
      <c r="L7" s="2609"/>
    </row>
    <row r="8" spans="1:29" ht="13.5" customHeight="1" x14ac:dyDescent="0.2">
      <c r="A8" s="963" t="s">
        <v>1500</v>
      </c>
      <c r="B8" s="964"/>
      <c r="C8" s="965"/>
      <c r="D8" s="965"/>
      <c r="E8" s="970"/>
      <c r="F8" s="969"/>
      <c r="G8" s="971" t="s">
        <v>1176</v>
      </c>
      <c r="H8" s="972"/>
      <c r="I8" s="972"/>
      <c r="J8" s="972"/>
      <c r="K8" s="972"/>
      <c r="L8" s="973"/>
    </row>
    <row r="9" spans="1:29" ht="13.5" customHeight="1" x14ac:dyDescent="0.2">
      <c r="A9" s="2610"/>
      <c r="B9" s="2611"/>
      <c r="C9" s="2611"/>
      <c r="D9" s="2611"/>
      <c r="E9" s="2611"/>
      <c r="F9" s="2612"/>
      <c r="G9" s="2613" t="str">
        <f>COVER!T13</f>
        <v>Gorenz and Associates, Ltd.</v>
      </c>
      <c r="H9" s="2614"/>
      <c r="I9" s="2614"/>
      <c r="J9" s="2614"/>
      <c r="K9" s="2614"/>
      <c r="L9" s="2615"/>
    </row>
    <row r="10" spans="1:29" ht="13.5" customHeight="1" x14ac:dyDescent="0.2">
      <c r="A10" s="2597" t="str">
        <f>COVER!A38</f>
        <v>Robert Bardwell</v>
      </c>
      <c r="B10" s="2598"/>
      <c r="C10" s="2598"/>
      <c r="D10" s="2598"/>
      <c r="E10" s="2598"/>
      <c r="F10" s="2599"/>
      <c r="G10" s="2613" t="str">
        <f>COVER!T17</f>
        <v>4200 N Knoxville Ave.</v>
      </c>
      <c r="H10" s="2626"/>
      <c r="I10" s="2626"/>
      <c r="J10" s="2626"/>
      <c r="K10" s="2626"/>
      <c r="L10" s="2627"/>
    </row>
    <row r="11" spans="1:29" ht="13.5" customHeight="1" x14ac:dyDescent="0.2">
      <c r="A11" s="963" t="s">
        <v>1502</v>
      </c>
      <c r="B11" s="964"/>
      <c r="C11" s="965"/>
      <c r="D11" s="970"/>
      <c r="E11" s="965"/>
      <c r="F11" s="969"/>
      <c r="G11" s="2613" t="str">
        <f>COVER!T19</f>
        <v>Peoria</v>
      </c>
      <c r="H11" s="2626"/>
      <c r="I11" s="2626"/>
      <c r="J11" s="2626"/>
      <c r="K11" s="2626"/>
      <c r="L11" s="2627"/>
    </row>
    <row r="12" spans="1:29" ht="13.5" customHeight="1" x14ac:dyDescent="0.2">
      <c r="A12" s="2631" t="s">
        <v>1501</v>
      </c>
      <c r="B12" s="2632"/>
      <c r="C12" s="2632"/>
      <c r="D12" s="2632"/>
      <c r="E12" s="2632"/>
      <c r="F12" s="2633"/>
      <c r="G12" s="2628"/>
      <c r="H12" s="2629"/>
      <c r="I12" s="2629"/>
      <c r="J12" s="2629"/>
      <c r="K12" s="2629"/>
      <c r="L12" s="2630"/>
    </row>
    <row r="13" spans="1:29" ht="13.5" customHeight="1" x14ac:dyDescent="0.2">
      <c r="A13" s="2613"/>
      <c r="B13" s="2626"/>
      <c r="C13" s="2626"/>
      <c r="D13" s="2626"/>
      <c r="E13" s="2626"/>
      <c r="F13" s="2627"/>
      <c r="G13" s="2621" t="s">
        <v>1503</v>
      </c>
      <c r="H13" s="2622"/>
      <c r="I13" s="2634" t="str">
        <f>COVER!T25</f>
        <v>tcustis@gorenzcpa.com</v>
      </c>
      <c r="J13" s="2635"/>
      <c r="K13" s="2635"/>
      <c r="L13" s="2636"/>
    </row>
    <row r="14" spans="1:29" ht="13.5" customHeight="1" x14ac:dyDescent="0.2">
      <c r="A14" s="2613" t="str">
        <f>COVER!A19</f>
        <v>109 W. Cruger Ave.</v>
      </c>
      <c r="B14" s="2626"/>
      <c r="C14" s="2626"/>
      <c r="D14" s="2626"/>
      <c r="E14" s="2626"/>
      <c r="F14" s="2627"/>
      <c r="G14" s="974" t="s">
        <v>1175</v>
      </c>
      <c r="H14" s="972"/>
      <c r="I14" s="972"/>
      <c r="J14" s="972"/>
      <c r="K14" s="972"/>
      <c r="L14" s="973"/>
    </row>
    <row r="15" spans="1:29" ht="13.5" customHeight="1" x14ac:dyDescent="0.2">
      <c r="A15" s="2613" t="str">
        <f>COVER!A21</f>
        <v>Eureka, Illinois</v>
      </c>
      <c r="B15" s="2626"/>
      <c r="C15" s="2626"/>
      <c r="D15" s="2626"/>
      <c r="E15" s="2626"/>
      <c r="F15" s="2627"/>
      <c r="G15" s="2623" t="str">
        <f>COVER!T15</f>
        <v>Tim C. Custis, CPA</v>
      </c>
      <c r="H15" s="2624"/>
      <c r="I15" s="2624"/>
      <c r="J15" s="2624"/>
      <c r="K15" s="2624"/>
      <c r="L15" s="2625"/>
    </row>
    <row r="16" spans="1:29" ht="12.2" customHeight="1" x14ac:dyDescent="0.2">
      <c r="A16" s="2603">
        <f>COVER!A25</f>
        <v>61530</v>
      </c>
      <c r="B16" s="2604"/>
      <c r="C16" s="2604"/>
      <c r="D16" s="2604"/>
      <c r="E16" s="2604"/>
      <c r="F16" s="2605"/>
      <c r="G16" s="2616"/>
      <c r="H16" s="2617"/>
      <c r="I16" s="2617"/>
      <c r="J16" s="2617"/>
      <c r="K16" s="2617"/>
      <c r="L16" s="2618"/>
    </row>
    <row r="17" spans="1:13" ht="12.2" customHeight="1" x14ac:dyDescent="0.2">
      <c r="A17" s="2619"/>
      <c r="B17" s="2604"/>
      <c r="C17" s="2604"/>
      <c r="D17" s="2604"/>
      <c r="E17" s="2604"/>
      <c r="F17" s="2605"/>
      <c r="G17" s="974" t="s">
        <v>1174</v>
      </c>
      <c r="H17" s="972"/>
      <c r="I17" s="972"/>
      <c r="J17" s="972"/>
      <c r="K17" s="976" t="s">
        <v>1173</v>
      </c>
      <c r="L17" s="969"/>
      <c r="M17" s="962"/>
    </row>
    <row r="18" spans="1:13" ht="12.2" customHeight="1" x14ac:dyDescent="0.2">
      <c r="A18" s="2597"/>
      <c r="B18" s="2598"/>
      <c r="C18" s="2598"/>
      <c r="D18" s="2598"/>
      <c r="E18" s="2598"/>
      <c r="F18" s="2599"/>
      <c r="G18" s="2600" t="str">
        <f>COVER!T21</f>
        <v>309-685-7621</v>
      </c>
      <c r="H18" s="2601"/>
      <c r="I18" s="2601"/>
      <c r="J18" s="2601"/>
      <c r="K18" s="2600" t="str">
        <f>COVER!X21</f>
        <v>309-685-4758</v>
      </c>
      <c r="L18" s="2602"/>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t="s">
        <v>2048</v>
      </c>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t="s">
        <v>2048</v>
      </c>
      <c r="C26" s="981" t="s">
        <v>1677</v>
      </c>
    </row>
    <row r="27" spans="1:13" s="977" customFormat="1" ht="9" customHeight="1" x14ac:dyDescent="0.2">
      <c r="B27" s="982"/>
      <c r="C27" s="981"/>
    </row>
    <row r="28" spans="1:13" s="977" customFormat="1" ht="12.2" customHeight="1" x14ac:dyDescent="0.2">
      <c r="A28" s="984"/>
      <c r="B28" s="980" t="s">
        <v>2048</v>
      </c>
      <c r="C28" s="981" t="s">
        <v>1678</v>
      </c>
    </row>
    <row r="29" spans="1:13" s="977" customFormat="1" ht="9" customHeight="1" x14ac:dyDescent="0.2">
      <c r="A29" s="984"/>
      <c r="B29" s="982"/>
      <c r="C29" s="981"/>
    </row>
    <row r="30" spans="1:13" s="977" customFormat="1" ht="12.2" customHeight="1" x14ac:dyDescent="0.2">
      <c r="B30" s="980" t="s">
        <v>2048</v>
      </c>
      <c r="C30" s="981" t="s">
        <v>1545</v>
      </c>
      <c r="D30" s="975"/>
      <c r="E30" s="975"/>
    </row>
    <row r="31" spans="1:13" s="977" customFormat="1" ht="9" customHeight="1" x14ac:dyDescent="0.2">
      <c r="B31" s="982"/>
      <c r="C31" s="981"/>
      <c r="D31" s="975"/>
      <c r="E31" s="975"/>
    </row>
    <row r="32" spans="1:13" s="977" customFormat="1" ht="12.2" customHeight="1" x14ac:dyDescent="0.2">
      <c r="B32" s="980" t="s">
        <v>2048</v>
      </c>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t="s">
        <v>2048</v>
      </c>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t="s">
        <v>2048</v>
      </c>
      <c r="C38" s="981" t="s">
        <v>1549</v>
      </c>
    </row>
    <row r="39" spans="1:8" ht="9" customHeight="1" x14ac:dyDescent="0.2">
      <c r="B39" s="982"/>
      <c r="C39" s="985"/>
    </row>
    <row r="40" spans="1:8" s="977" customFormat="1" ht="13.5" customHeight="1" x14ac:dyDescent="0.2">
      <c r="B40" s="980" t="s">
        <v>2048</v>
      </c>
      <c r="C40" s="981" t="s">
        <v>1550</v>
      </c>
    </row>
    <row r="41" spans="1:8" ht="9" customHeight="1" x14ac:dyDescent="0.2">
      <c r="A41" s="986"/>
      <c r="B41" s="982"/>
      <c r="C41" s="985"/>
    </row>
    <row r="42" spans="1:8" s="977" customFormat="1" ht="13.5" customHeight="1" x14ac:dyDescent="0.2">
      <c r="B42" s="980"/>
      <c r="C42" s="981" t="s">
        <v>1806</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t="s">
        <v>2048</v>
      </c>
      <c r="C46" s="988" t="s">
        <v>1551</v>
      </c>
      <c r="D46" s="975"/>
      <c r="E46" s="975"/>
      <c r="F46" s="975"/>
      <c r="G46" s="975"/>
      <c r="H46" s="975"/>
    </row>
    <row r="47" spans="1:8" ht="9" customHeight="1" x14ac:dyDescent="0.2"/>
    <row r="48" spans="1:8" ht="12.2" customHeight="1" x14ac:dyDescent="0.2">
      <c r="B48" s="1541"/>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rintOptions horizontalCentered="1"/>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642" t="str">
        <f>'Single Audit Cover'!A7</f>
        <v>Community Unit School District No. 140</v>
      </c>
      <c r="B1" s="2643"/>
      <c r="C1" s="2643"/>
      <c r="D1" s="2643"/>
    </row>
    <row r="2" spans="1:11" s="991" customFormat="1" ht="12.75" x14ac:dyDescent="0.2">
      <c r="A2" s="2644" t="str">
        <f>'Single Audit Cover'!E7</f>
        <v>53-102-1400-26</v>
      </c>
      <c r="B2" s="2645"/>
      <c r="C2" s="2645"/>
      <c r="D2" s="2645"/>
    </row>
    <row r="3" spans="1:11" s="991" customFormat="1" ht="12.75" x14ac:dyDescent="0.2">
      <c r="A3" s="2642" t="s">
        <v>1496</v>
      </c>
      <c r="B3" s="2643"/>
      <c r="C3" s="2643"/>
      <c r="D3" s="2643"/>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c r="C42" s="1008">
        <v>11</v>
      </c>
      <c r="D42" s="1019" t="s">
        <v>1557</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1966</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1558</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1686</v>
      </c>
    </row>
    <row r="57" spans="1:4" ht="10.5" customHeight="1" x14ac:dyDescent="0.2">
      <c r="A57" s="998"/>
      <c r="D57" s="1013" t="s">
        <v>1687</v>
      </c>
    </row>
    <row r="58" spans="1:4" x14ac:dyDescent="0.2">
      <c r="A58" s="998"/>
      <c r="C58" s="1020"/>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c r="D69" s="1013" t="s">
        <v>1691</v>
      </c>
    </row>
    <row r="70" spans="1:4" x14ac:dyDescent="0.2">
      <c r="A70" s="998"/>
      <c r="D70" s="1022" t="s">
        <v>1196</v>
      </c>
    </row>
    <row r="71" spans="1:4" ht="3" customHeight="1" x14ac:dyDescent="0.2">
      <c r="A71" s="998"/>
      <c r="D71" s="997"/>
    </row>
    <row r="72" spans="1:4" x14ac:dyDescent="0.2">
      <c r="A72" s="998"/>
      <c r="B72" s="1001"/>
      <c r="C72" s="1002">
        <f>C56+1</f>
        <v>18</v>
      </c>
      <c r="D72" s="1023" t="s">
        <v>1692</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1693</v>
      </c>
    </row>
    <row r="77" spans="1:4" ht="3" customHeight="1" x14ac:dyDescent="0.2">
      <c r="A77" s="998"/>
      <c r="B77" s="1005"/>
      <c r="C77" s="1002"/>
      <c r="D77" s="1024"/>
    </row>
    <row r="78" spans="1:4" x14ac:dyDescent="0.2">
      <c r="A78" s="998"/>
      <c r="B78" s="1001"/>
      <c r="C78" s="1002">
        <f>C76+1</f>
        <v>21</v>
      </c>
      <c r="D78" s="997" t="s">
        <v>1694</v>
      </c>
    </row>
    <row r="79" spans="1:4" ht="3" customHeight="1" x14ac:dyDescent="0.2">
      <c r="A79" s="998"/>
      <c r="B79" s="1005"/>
      <c r="C79" s="1002"/>
      <c r="D79" s="997"/>
    </row>
    <row r="80" spans="1:4" x14ac:dyDescent="0.2">
      <c r="A80" s="998"/>
      <c r="B80" s="1001"/>
      <c r="C80" s="1002">
        <f>C78+1</f>
        <v>22</v>
      </c>
      <c r="D80" s="1025" t="s">
        <v>1695</v>
      </c>
    </row>
    <row r="81" spans="1:4" ht="3" customHeight="1" x14ac:dyDescent="0.2">
      <c r="A81" s="998"/>
      <c r="B81" s="1005"/>
      <c r="C81" s="1002"/>
      <c r="D81" s="1025"/>
    </row>
    <row r="82" spans="1:4" x14ac:dyDescent="0.2">
      <c r="A82" s="998"/>
      <c r="B82" s="1001"/>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1697</v>
      </c>
    </row>
    <row r="92" spans="1:4" x14ac:dyDescent="0.2">
      <c r="A92" s="998"/>
      <c r="B92" s="1026"/>
      <c r="C92" s="1020"/>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c r="C96" s="1002">
        <f>C91+1</f>
        <v>28</v>
      </c>
      <c r="D96" s="1013" t="s">
        <v>1698</v>
      </c>
    </row>
    <row r="97" spans="1:4" ht="3" customHeight="1" x14ac:dyDescent="0.2">
      <c r="A97" s="998"/>
      <c r="B97" s="1005"/>
      <c r="C97" s="1002"/>
      <c r="D97" s="1013"/>
    </row>
    <row r="98" spans="1:4" x14ac:dyDescent="0.2">
      <c r="A98" s="998"/>
      <c r="B98" s="1001"/>
      <c r="C98" s="1002">
        <f>C96+1</f>
        <v>29</v>
      </c>
      <c r="D98" s="1027" t="s">
        <v>1699</v>
      </c>
    </row>
    <row r="99" spans="1:4" ht="3" customHeight="1" x14ac:dyDescent="0.2">
      <c r="A99" s="998"/>
      <c r="B99" s="1005"/>
      <c r="C99" s="1002"/>
      <c r="D99" s="1027"/>
    </row>
    <row r="100" spans="1:4" x14ac:dyDescent="0.2">
      <c r="A100" s="998"/>
      <c r="B100" s="1001"/>
      <c r="C100" s="1002">
        <f>C98+1</f>
        <v>30</v>
      </c>
      <c r="D100" s="1013" t="s">
        <v>1700</v>
      </c>
    </row>
    <row r="101" spans="1:4" ht="3" customHeight="1" x14ac:dyDescent="0.2">
      <c r="A101" s="998"/>
      <c r="B101" s="1005"/>
      <c r="C101" s="1002"/>
      <c r="D101" s="1028"/>
    </row>
    <row r="102" spans="1:4" x14ac:dyDescent="0.2">
      <c r="A102" s="998"/>
      <c r="B102" s="1001"/>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1563</v>
      </c>
    </row>
    <row r="107" spans="1:4" ht="3" customHeight="1" x14ac:dyDescent="0.2">
      <c r="A107" s="998"/>
      <c r="B107" s="1005"/>
      <c r="C107" s="1002"/>
      <c r="D107" s="997"/>
    </row>
    <row r="108" spans="1:4" x14ac:dyDescent="0.2">
      <c r="A108" s="998"/>
      <c r="B108" s="1001"/>
      <c r="C108" s="1002">
        <v>33</v>
      </c>
      <c r="D108" s="997" t="s">
        <v>1701</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1702</v>
      </c>
    </row>
    <row r="118" spans="1:4" ht="3" customHeight="1" x14ac:dyDescent="0.2">
      <c r="A118" s="998"/>
      <c r="B118" s="1005"/>
      <c r="C118" s="1002"/>
      <c r="D118" s="1013"/>
    </row>
    <row r="119" spans="1:4" x14ac:dyDescent="0.2">
      <c r="A119" s="998"/>
      <c r="B119" s="1001"/>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1807</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G39" sqref="G39"/>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647" t="str">
        <f>'Single Audit Cover'!A7</f>
        <v>Community Unit School District No. 140</v>
      </c>
      <c r="B1" s="2647"/>
      <c r="C1" s="2647"/>
      <c r="D1" s="2647"/>
      <c r="E1" s="2647"/>
    </row>
    <row r="2" spans="1:5" x14ac:dyDescent="0.2">
      <c r="A2" s="2648" t="str">
        <f>'Single Audit Cover'!E7</f>
        <v>53-102-1400-26</v>
      </c>
      <c r="B2" s="2648"/>
      <c r="C2" s="2648"/>
      <c r="D2" s="2648"/>
      <c r="E2" s="2648"/>
    </row>
    <row r="3" spans="1:5" ht="4.5" customHeight="1" x14ac:dyDescent="0.2"/>
    <row r="4" spans="1:5" x14ac:dyDescent="0.2">
      <c r="A4" s="2647" t="s">
        <v>1234</v>
      </c>
      <c r="B4" s="2647"/>
      <c r="C4" s="2647"/>
      <c r="D4" s="2647"/>
      <c r="E4" s="2647"/>
    </row>
    <row r="5" spans="1:5" x14ac:dyDescent="0.2">
      <c r="A5" s="2650" t="str">
        <f>'Single Audit Cover'!A4</f>
        <v>Year Ending June 30, 2020</v>
      </c>
      <c r="B5" s="2650"/>
      <c r="C5" s="2650"/>
      <c r="D5" s="2650"/>
      <c r="E5" s="2650"/>
    </row>
    <row r="6" spans="1:5" x14ac:dyDescent="0.2">
      <c r="A6" s="2647" t="s">
        <v>1233</v>
      </c>
      <c r="B6" s="2647"/>
      <c r="C6" s="2647"/>
      <c r="D6" s="2647"/>
      <c r="E6" s="2647"/>
    </row>
    <row r="8" spans="1:5" x14ac:dyDescent="0.2">
      <c r="A8" s="1036" t="s">
        <v>1232</v>
      </c>
    </row>
    <row r="10" spans="1:5" x14ac:dyDescent="0.2">
      <c r="A10" s="1037" t="s">
        <v>1231</v>
      </c>
      <c r="B10" s="1038" t="s">
        <v>1230</v>
      </c>
      <c r="C10" s="1038"/>
      <c r="D10" s="1039">
        <f>SUM('Acct Summary 7-8'!C7:K7)</f>
        <v>783992</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2001</v>
      </c>
      <c r="B14" s="1038"/>
      <c r="C14" s="1038"/>
      <c r="D14" s="1040">
        <f>'ICR Computation 30'!E11</f>
        <v>52261</v>
      </c>
    </row>
    <row r="15" spans="1:5" x14ac:dyDescent="0.2">
      <c r="A15" s="1037"/>
      <c r="B15" s="1038"/>
      <c r="C15" s="1038"/>
    </row>
    <row r="16" spans="1:5" x14ac:dyDescent="0.2">
      <c r="A16" s="1037" t="s">
        <v>1812</v>
      </c>
      <c r="B16" s="1038"/>
      <c r="C16" s="1038"/>
    </row>
    <row r="17" spans="1:4" x14ac:dyDescent="0.2">
      <c r="A17" s="1037" t="s">
        <v>1961</v>
      </c>
      <c r="B17" s="1038" t="s">
        <v>1225</v>
      </c>
      <c r="C17" s="1038"/>
      <c r="D17" s="1040">
        <f>-SUM('Revenues 9-14'!C264:D264,'Revenues 9-14'!F264:G264)</f>
        <v>-12463</v>
      </c>
    </row>
    <row r="19" spans="1:4" ht="13.5" thickBot="1" x14ac:dyDescent="0.25">
      <c r="A19" s="1041" t="s">
        <v>1224</v>
      </c>
      <c r="D19" s="1042">
        <f>SUM(D10:D17)</f>
        <v>823790</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649"/>
      <c r="B24" s="2649"/>
      <c r="D24" s="1044"/>
    </row>
    <row r="25" spans="1:4" x14ac:dyDescent="0.2">
      <c r="A25" s="2646"/>
      <c r="B25" s="2646"/>
      <c r="D25" s="1044"/>
    </row>
    <row r="26" spans="1:4" x14ac:dyDescent="0.2">
      <c r="A26" s="2646"/>
      <c r="B26" s="2646"/>
      <c r="D26" s="1044"/>
    </row>
    <row r="27" spans="1:4" x14ac:dyDescent="0.2">
      <c r="A27" s="2646"/>
      <c r="B27" s="2646"/>
      <c r="D27" s="1044"/>
    </row>
    <row r="28" spans="1:4" x14ac:dyDescent="0.2">
      <c r="A28" s="2646"/>
      <c r="B28" s="2646"/>
      <c r="D28" s="1044"/>
    </row>
    <row r="29" spans="1:4" x14ac:dyDescent="0.2">
      <c r="A29" s="2646"/>
      <c r="B29" s="2646"/>
      <c r="D29" s="1044"/>
    </row>
    <row r="30" spans="1:4" x14ac:dyDescent="0.2">
      <c r="A30" s="2646"/>
      <c r="B30" s="2646"/>
      <c r="D30" s="1044"/>
    </row>
    <row r="32" spans="1:4" x14ac:dyDescent="0.2">
      <c r="A32" s="1036" t="s">
        <v>1222</v>
      </c>
      <c r="D32" s="1039">
        <f>SUM(D19:D30)</f>
        <v>823790</v>
      </c>
    </row>
    <row r="33" spans="1:4" x14ac:dyDescent="0.2">
      <c r="D33" s="1045"/>
    </row>
    <row r="34" spans="1:4" x14ac:dyDescent="0.2">
      <c r="A34" s="295" t="s">
        <v>1221</v>
      </c>
    </row>
    <row r="35" spans="1:4" x14ac:dyDescent="0.2">
      <c r="A35" s="295" t="s">
        <v>1220</v>
      </c>
      <c r="B35" s="1034" t="s">
        <v>1219</v>
      </c>
      <c r="D35" s="1046"/>
    </row>
    <row r="37" spans="1:4" x14ac:dyDescent="0.2">
      <c r="A37" s="1036" t="s">
        <v>1218</v>
      </c>
    </row>
    <row r="39" spans="1:4" ht="13.35" customHeight="1" x14ac:dyDescent="0.2">
      <c r="A39" s="1043" t="s">
        <v>1217</v>
      </c>
    </row>
    <row r="40" spans="1:4" x14ac:dyDescent="0.2">
      <c r="A40" s="2646"/>
      <c r="B40" s="2646"/>
      <c r="D40" s="1044"/>
    </row>
    <row r="41" spans="1:4" x14ac:dyDescent="0.2">
      <c r="A41" s="2646"/>
      <c r="B41" s="2646"/>
      <c r="D41" s="1047"/>
    </row>
    <row r="42" spans="1:4" x14ac:dyDescent="0.2">
      <c r="A42" s="2646"/>
      <c r="B42" s="2646"/>
      <c r="D42" s="1047"/>
    </row>
    <row r="43" spans="1:4" x14ac:dyDescent="0.2">
      <c r="A43" s="2646"/>
      <c r="B43" s="2646"/>
      <c r="D43" s="1047"/>
    </row>
    <row r="44" spans="1:4" x14ac:dyDescent="0.2">
      <c r="A44" s="2646"/>
      <c r="B44" s="2646"/>
      <c r="D44" s="1047"/>
    </row>
    <row r="45" spans="1:4" x14ac:dyDescent="0.2">
      <c r="A45" s="2646"/>
      <c r="B45" s="2646"/>
      <c r="D45" s="1047"/>
    </row>
    <row r="47" spans="1:4" x14ac:dyDescent="0.2">
      <c r="B47" s="1048" t="s">
        <v>1216</v>
      </c>
      <c r="C47" s="1048"/>
      <c r="D47" s="1049">
        <f>SUM(D35:D45)</f>
        <v>0</v>
      </c>
    </row>
    <row r="49" spans="2:4" x14ac:dyDescent="0.2">
      <c r="B49" s="1048" t="s">
        <v>1215</v>
      </c>
      <c r="C49" s="1048"/>
      <c r="D49" s="1049">
        <f>D32-D47</f>
        <v>823790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4B7A2-AEF2-4A74-8978-FFD0C592D736}">
  <sheetPr transitionEvaluation="1"/>
  <dimension ref="A1:M112"/>
  <sheetViews>
    <sheetView showGridLines="0" zoomScale="85" zoomScaleNormal="85" zoomScaleSheetLayoutView="55" workbookViewId="0">
      <pane xSplit="1" ySplit="11" topLeftCell="B12" activePane="bottomRight" state="frozen"/>
      <selection activeCell="A4" sqref="A4"/>
      <selection pane="topRight" activeCell="A4" sqref="A4"/>
      <selection pane="bottomLeft" activeCell="A4" sqref="A4"/>
      <selection pane="bottomRight" activeCell="B12" sqref="B12"/>
    </sheetView>
  </sheetViews>
  <sheetFormatPr defaultColWidth="16.7109375" defaultRowHeight="12" x14ac:dyDescent="0.2"/>
  <cols>
    <col min="1" max="1" width="50.140625" style="2037" customWidth="1"/>
    <col min="2" max="2" width="9.85546875" style="2037" customWidth="1"/>
    <col min="3" max="3" width="13" style="2037" customWidth="1"/>
    <col min="4" max="4" width="4.85546875" style="2096" customWidth="1"/>
    <col min="5" max="5" width="12.85546875" style="2037" customWidth="1"/>
    <col min="6" max="6" width="13.85546875" style="2120" customWidth="1"/>
    <col min="7" max="7" width="13.140625" style="2037" bestFit="1" customWidth="1"/>
    <col min="8" max="8" width="12.28515625" style="2037" customWidth="1"/>
    <col min="9" max="9" width="1.85546875" style="2037" customWidth="1"/>
    <col min="10" max="10" width="11" style="2037" customWidth="1"/>
    <col min="11" max="11" width="4.140625" style="2096" bestFit="1" customWidth="1"/>
    <col min="12" max="12" width="13.28515625" style="2037" bestFit="1" customWidth="1"/>
    <col min="13" max="13" width="12.42578125" style="2037" bestFit="1" customWidth="1"/>
    <col min="14" max="250" width="16.7109375" style="2037"/>
    <col min="251" max="251" width="50.140625" style="2037" customWidth="1"/>
    <col min="252" max="252" width="9.85546875" style="2037" customWidth="1"/>
    <col min="253" max="253" width="13" style="2037" customWidth="1"/>
    <col min="254" max="254" width="4.85546875" style="2037" customWidth="1"/>
    <col min="255" max="255" width="12.85546875" style="2037" customWidth="1"/>
    <col min="256" max="256" width="13.85546875" style="2037" customWidth="1"/>
    <col min="257" max="257" width="13.140625" style="2037" bestFit="1" customWidth="1"/>
    <col min="258" max="258" width="12.28515625" style="2037" customWidth="1"/>
    <col min="259" max="259" width="1.85546875" style="2037" customWidth="1"/>
    <col min="260" max="260" width="11" style="2037" customWidth="1"/>
    <col min="261" max="261" width="3.5703125" style="2037" bestFit="1" customWidth="1"/>
    <col min="262" max="262" width="13.28515625" style="2037" bestFit="1" customWidth="1"/>
    <col min="263" max="263" width="12.42578125" style="2037" bestFit="1" customWidth="1"/>
    <col min="264" max="506" width="16.7109375" style="2037"/>
    <col min="507" max="507" width="50.140625" style="2037" customWidth="1"/>
    <col min="508" max="508" width="9.85546875" style="2037" customWidth="1"/>
    <col min="509" max="509" width="13" style="2037" customWidth="1"/>
    <col min="510" max="510" width="4.85546875" style="2037" customWidth="1"/>
    <col min="511" max="511" width="12.85546875" style="2037" customWidth="1"/>
    <col min="512" max="512" width="13.85546875" style="2037" customWidth="1"/>
    <col min="513" max="513" width="13.140625" style="2037" bestFit="1" customWidth="1"/>
    <col min="514" max="514" width="12.28515625" style="2037" customWidth="1"/>
    <col min="515" max="515" width="1.85546875" style="2037" customWidth="1"/>
    <col min="516" max="516" width="11" style="2037" customWidth="1"/>
    <col min="517" max="517" width="3.5703125" style="2037" bestFit="1" customWidth="1"/>
    <col min="518" max="518" width="13.28515625" style="2037" bestFit="1" customWidth="1"/>
    <col min="519" max="519" width="12.42578125" style="2037" bestFit="1" customWidth="1"/>
    <col min="520" max="762" width="16.7109375" style="2037"/>
    <col min="763" max="763" width="50.140625" style="2037" customWidth="1"/>
    <col min="764" max="764" width="9.85546875" style="2037" customWidth="1"/>
    <col min="765" max="765" width="13" style="2037" customWidth="1"/>
    <col min="766" max="766" width="4.85546875" style="2037" customWidth="1"/>
    <col min="767" max="767" width="12.85546875" style="2037" customWidth="1"/>
    <col min="768" max="768" width="13.85546875" style="2037" customWidth="1"/>
    <col min="769" max="769" width="13.140625" style="2037" bestFit="1" customWidth="1"/>
    <col min="770" max="770" width="12.28515625" style="2037" customWidth="1"/>
    <col min="771" max="771" width="1.85546875" style="2037" customWidth="1"/>
    <col min="772" max="772" width="11" style="2037" customWidth="1"/>
    <col min="773" max="773" width="3.5703125" style="2037" bestFit="1" customWidth="1"/>
    <col min="774" max="774" width="13.28515625" style="2037" bestFit="1" customWidth="1"/>
    <col min="775" max="775" width="12.42578125" style="2037" bestFit="1" customWidth="1"/>
    <col min="776" max="1018" width="16.7109375" style="2037"/>
    <col min="1019" max="1019" width="50.140625" style="2037" customWidth="1"/>
    <col min="1020" max="1020" width="9.85546875" style="2037" customWidth="1"/>
    <col min="1021" max="1021" width="13" style="2037" customWidth="1"/>
    <col min="1022" max="1022" width="4.85546875" style="2037" customWidth="1"/>
    <col min="1023" max="1023" width="12.85546875" style="2037" customWidth="1"/>
    <col min="1024" max="1024" width="13.85546875" style="2037" customWidth="1"/>
    <col min="1025" max="1025" width="13.140625" style="2037" bestFit="1" customWidth="1"/>
    <col min="1026" max="1026" width="12.28515625" style="2037" customWidth="1"/>
    <col min="1027" max="1027" width="1.85546875" style="2037" customWidth="1"/>
    <col min="1028" max="1028" width="11" style="2037" customWidth="1"/>
    <col min="1029" max="1029" width="3.5703125" style="2037" bestFit="1" customWidth="1"/>
    <col min="1030" max="1030" width="13.28515625" style="2037" bestFit="1" customWidth="1"/>
    <col min="1031" max="1031" width="12.42578125" style="2037" bestFit="1" customWidth="1"/>
    <col min="1032" max="1274" width="16.7109375" style="2037"/>
    <col min="1275" max="1275" width="50.140625" style="2037" customWidth="1"/>
    <col min="1276" max="1276" width="9.85546875" style="2037" customWidth="1"/>
    <col min="1277" max="1277" width="13" style="2037" customWidth="1"/>
    <col min="1278" max="1278" width="4.85546875" style="2037" customWidth="1"/>
    <col min="1279" max="1279" width="12.85546875" style="2037" customWidth="1"/>
    <col min="1280" max="1280" width="13.85546875" style="2037" customWidth="1"/>
    <col min="1281" max="1281" width="13.140625" style="2037" bestFit="1" customWidth="1"/>
    <col min="1282" max="1282" width="12.28515625" style="2037" customWidth="1"/>
    <col min="1283" max="1283" width="1.85546875" style="2037" customWidth="1"/>
    <col min="1284" max="1284" width="11" style="2037" customWidth="1"/>
    <col min="1285" max="1285" width="3.5703125" style="2037" bestFit="1" customWidth="1"/>
    <col min="1286" max="1286" width="13.28515625" style="2037" bestFit="1" customWidth="1"/>
    <col min="1287" max="1287" width="12.42578125" style="2037" bestFit="1" customWidth="1"/>
    <col min="1288" max="1530" width="16.7109375" style="2037"/>
    <col min="1531" max="1531" width="50.140625" style="2037" customWidth="1"/>
    <col min="1532" max="1532" width="9.85546875" style="2037" customWidth="1"/>
    <col min="1533" max="1533" width="13" style="2037" customWidth="1"/>
    <col min="1534" max="1534" width="4.85546875" style="2037" customWidth="1"/>
    <col min="1535" max="1535" width="12.85546875" style="2037" customWidth="1"/>
    <col min="1536" max="1536" width="13.85546875" style="2037" customWidth="1"/>
    <col min="1537" max="1537" width="13.140625" style="2037" bestFit="1" customWidth="1"/>
    <col min="1538" max="1538" width="12.28515625" style="2037" customWidth="1"/>
    <col min="1539" max="1539" width="1.85546875" style="2037" customWidth="1"/>
    <col min="1540" max="1540" width="11" style="2037" customWidth="1"/>
    <col min="1541" max="1541" width="3.5703125" style="2037" bestFit="1" customWidth="1"/>
    <col min="1542" max="1542" width="13.28515625" style="2037" bestFit="1" customWidth="1"/>
    <col min="1543" max="1543" width="12.42578125" style="2037" bestFit="1" customWidth="1"/>
    <col min="1544" max="1786" width="16.7109375" style="2037"/>
    <col min="1787" max="1787" width="50.140625" style="2037" customWidth="1"/>
    <col min="1788" max="1788" width="9.85546875" style="2037" customWidth="1"/>
    <col min="1789" max="1789" width="13" style="2037" customWidth="1"/>
    <col min="1790" max="1790" width="4.85546875" style="2037" customWidth="1"/>
    <col min="1791" max="1791" width="12.85546875" style="2037" customWidth="1"/>
    <col min="1792" max="1792" width="13.85546875" style="2037" customWidth="1"/>
    <col min="1793" max="1793" width="13.140625" style="2037" bestFit="1" customWidth="1"/>
    <col min="1794" max="1794" width="12.28515625" style="2037" customWidth="1"/>
    <col min="1795" max="1795" width="1.85546875" style="2037" customWidth="1"/>
    <col min="1796" max="1796" width="11" style="2037" customWidth="1"/>
    <col min="1797" max="1797" width="3.5703125" style="2037" bestFit="1" customWidth="1"/>
    <col min="1798" max="1798" width="13.28515625" style="2037" bestFit="1" customWidth="1"/>
    <col min="1799" max="1799" width="12.42578125" style="2037" bestFit="1" customWidth="1"/>
    <col min="1800" max="2042" width="16.7109375" style="2037"/>
    <col min="2043" max="2043" width="50.140625" style="2037" customWidth="1"/>
    <col min="2044" max="2044" width="9.85546875" style="2037" customWidth="1"/>
    <col min="2045" max="2045" width="13" style="2037" customWidth="1"/>
    <col min="2046" max="2046" width="4.85546875" style="2037" customWidth="1"/>
    <col min="2047" max="2047" width="12.85546875" style="2037" customWidth="1"/>
    <col min="2048" max="2048" width="13.85546875" style="2037" customWidth="1"/>
    <col min="2049" max="2049" width="13.140625" style="2037" bestFit="1" customWidth="1"/>
    <col min="2050" max="2050" width="12.28515625" style="2037" customWidth="1"/>
    <col min="2051" max="2051" width="1.85546875" style="2037" customWidth="1"/>
    <col min="2052" max="2052" width="11" style="2037" customWidth="1"/>
    <col min="2053" max="2053" width="3.5703125" style="2037" bestFit="1" customWidth="1"/>
    <col min="2054" max="2054" width="13.28515625" style="2037" bestFit="1" customWidth="1"/>
    <col min="2055" max="2055" width="12.42578125" style="2037" bestFit="1" customWidth="1"/>
    <col min="2056" max="2298" width="16.7109375" style="2037"/>
    <col min="2299" max="2299" width="50.140625" style="2037" customWidth="1"/>
    <col min="2300" max="2300" width="9.85546875" style="2037" customWidth="1"/>
    <col min="2301" max="2301" width="13" style="2037" customWidth="1"/>
    <col min="2302" max="2302" width="4.85546875" style="2037" customWidth="1"/>
    <col min="2303" max="2303" width="12.85546875" style="2037" customWidth="1"/>
    <col min="2304" max="2304" width="13.85546875" style="2037" customWidth="1"/>
    <col min="2305" max="2305" width="13.140625" style="2037" bestFit="1" customWidth="1"/>
    <col min="2306" max="2306" width="12.28515625" style="2037" customWidth="1"/>
    <col min="2307" max="2307" width="1.85546875" style="2037" customWidth="1"/>
    <col min="2308" max="2308" width="11" style="2037" customWidth="1"/>
    <col min="2309" max="2309" width="3.5703125" style="2037" bestFit="1" customWidth="1"/>
    <col min="2310" max="2310" width="13.28515625" style="2037" bestFit="1" customWidth="1"/>
    <col min="2311" max="2311" width="12.42578125" style="2037" bestFit="1" customWidth="1"/>
    <col min="2312" max="2554" width="16.7109375" style="2037"/>
    <col min="2555" max="2555" width="50.140625" style="2037" customWidth="1"/>
    <col min="2556" max="2556" width="9.85546875" style="2037" customWidth="1"/>
    <col min="2557" max="2557" width="13" style="2037" customWidth="1"/>
    <col min="2558" max="2558" width="4.85546875" style="2037" customWidth="1"/>
    <col min="2559" max="2559" width="12.85546875" style="2037" customWidth="1"/>
    <col min="2560" max="2560" width="13.85546875" style="2037" customWidth="1"/>
    <col min="2561" max="2561" width="13.140625" style="2037" bestFit="1" customWidth="1"/>
    <col min="2562" max="2562" width="12.28515625" style="2037" customWidth="1"/>
    <col min="2563" max="2563" width="1.85546875" style="2037" customWidth="1"/>
    <col min="2564" max="2564" width="11" style="2037" customWidth="1"/>
    <col min="2565" max="2565" width="3.5703125" style="2037" bestFit="1" customWidth="1"/>
    <col min="2566" max="2566" width="13.28515625" style="2037" bestFit="1" customWidth="1"/>
    <col min="2567" max="2567" width="12.42578125" style="2037" bestFit="1" customWidth="1"/>
    <col min="2568" max="2810" width="16.7109375" style="2037"/>
    <col min="2811" max="2811" width="50.140625" style="2037" customWidth="1"/>
    <col min="2812" max="2812" width="9.85546875" style="2037" customWidth="1"/>
    <col min="2813" max="2813" width="13" style="2037" customWidth="1"/>
    <col min="2814" max="2814" width="4.85546875" style="2037" customWidth="1"/>
    <col min="2815" max="2815" width="12.85546875" style="2037" customWidth="1"/>
    <col min="2816" max="2816" width="13.85546875" style="2037" customWidth="1"/>
    <col min="2817" max="2817" width="13.140625" style="2037" bestFit="1" customWidth="1"/>
    <col min="2818" max="2818" width="12.28515625" style="2037" customWidth="1"/>
    <col min="2819" max="2819" width="1.85546875" style="2037" customWidth="1"/>
    <col min="2820" max="2820" width="11" style="2037" customWidth="1"/>
    <col min="2821" max="2821" width="3.5703125" style="2037" bestFit="1" customWidth="1"/>
    <col min="2822" max="2822" width="13.28515625" style="2037" bestFit="1" customWidth="1"/>
    <col min="2823" max="2823" width="12.42578125" style="2037" bestFit="1" customWidth="1"/>
    <col min="2824" max="3066" width="16.7109375" style="2037"/>
    <col min="3067" max="3067" width="50.140625" style="2037" customWidth="1"/>
    <col min="3068" max="3068" width="9.85546875" style="2037" customWidth="1"/>
    <col min="3069" max="3069" width="13" style="2037" customWidth="1"/>
    <col min="3070" max="3070" width="4.85546875" style="2037" customWidth="1"/>
    <col min="3071" max="3071" width="12.85546875" style="2037" customWidth="1"/>
    <col min="3072" max="3072" width="13.85546875" style="2037" customWidth="1"/>
    <col min="3073" max="3073" width="13.140625" style="2037" bestFit="1" customWidth="1"/>
    <col min="3074" max="3074" width="12.28515625" style="2037" customWidth="1"/>
    <col min="3075" max="3075" width="1.85546875" style="2037" customWidth="1"/>
    <col min="3076" max="3076" width="11" style="2037" customWidth="1"/>
    <col min="3077" max="3077" width="3.5703125" style="2037" bestFit="1" customWidth="1"/>
    <col min="3078" max="3078" width="13.28515625" style="2037" bestFit="1" customWidth="1"/>
    <col min="3079" max="3079" width="12.42578125" style="2037" bestFit="1" customWidth="1"/>
    <col min="3080" max="3322" width="16.7109375" style="2037"/>
    <col min="3323" max="3323" width="50.140625" style="2037" customWidth="1"/>
    <col min="3324" max="3324" width="9.85546875" style="2037" customWidth="1"/>
    <col min="3325" max="3325" width="13" style="2037" customWidth="1"/>
    <col min="3326" max="3326" width="4.85546875" style="2037" customWidth="1"/>
    <col min="3327" max="3327" width="12.85546875" style="2037" customWidth="1"/>
    <col min="3328" max="3328" width="13.85546875" style="2037" customWidth="1"/>
    <col min="3329" max="3329" width="13.140625" style="2037" bestFit="1" customWidth="1"/>
    <col min="3330" max="3330" width="12.28515625" style="2037" customWidth="1"/>
    <col min="3331" max="3331" width="1.85546875" style="2037" customWidth="1"/>
    <col min="3332" max="3332" width="11" style="2037" customWidth="1"/>
    <col min="3333" max="3333" width="3.5703125" style="2037" bestFit="1" customWidth="1"/>
    <col min="3334" max="3334" width="13.28515625" style="2037" bestFit="1" customWidth="1"/>
    <col min="3335" max="3335" width="12.42578125" style="2037" bestFit="1" customWidth="1"/>
    <col min="3336" max="3578" width="16.7109375" style="2037"/>
    <col min="3579" max="3579" width="50.140625" style="2037" customWidth="1"/>
    <col min="3580" max="3580" width="9.85546875" style="2037" customWidth="1"/>
    <col min="3581" max="3581" width="13" style="2037" customWidth="1"/>
    <col min="3582" max="3582" width="4.85546875" style="2037" customWidth="1"/>
    <col min="3583" max="3583" width="12.85546875" style="2037" customWidth="1"/>
    <col min="3584" max="3584" width="13.85546875" style="2037" customWidth="1"/>
    <col min="3585" max="3585" width="13.140625" style="2037" bestFit="1" customWidth="1"/>
    <col min="3586" max="3586" width="12.28515625" style="2037" customWidth="1"/>
    <col min="3587" max="3587" width="1.85546875" style="2037" customWidth="1"/>
    <col min="3588" max="3588" width="11" style="2037" customWidth="1"/>
    <col min="3589" max="3589" width="3.5703125" style="2037" bestFit="1" customWidth="1"/>
    <col min="3590" max="3590" width="13.28515625" style="2037" bestFit="1" customWidth="1"/>
    <col min="3591" max="3591" width="12.42578125" style="2037" bestFit="1" customWidth="1"/>
    <col min="3592" max="3834" width="16.7109375" style="2037"/>
    <col min="3835" max="3835" width="50.140625" style="2037" customWidth="1"/>
    <col min="3836" max="3836" width="9.85546875" style="2037" customWidth="1"/>
    <col min="3837" max="3837" width="13" style="2037" customWidth="1"/>
    <col min="3838" max="3838" width="4.85546875" style="2037" customWidth="1"/>
    <col min="3839" max="3839" width="12.85546875" style="2037" customWidth="1"/>
    <col min="3840" max="3840" width="13.85546875" style="2037" customWidth="1"/>
    <col min="3841" max="3841" width="13.140625" style="2037" bestFit="1" customWidth="1"/>
    <col min="3842" max="3842" width="12.28515625" style="2037" customWidth="1"/>
    <col min="3843" max="3843" width="1.85546875" style="2037" customWidth="1"/>
    <col min="3844" max="3844" width="11" style="2037" customWidth="1"/>
    <col min="3845" max="3845" width="3.5703125" style="2037" bestFit="1" customWidth="1"/>
    <col min="3846" max="3846" width="13.28515625" style="2037" bestFit="1" customWidth="1"/>
    <col min="3847" max="3847" width="12.42578125" style="2037" bestFit="1" customWidth="1"/>
    <col min="3848" max="4090" width="16.7109375" style="2037"/>
    <col min="4091" max="4091" width="50.140625" style="2037" customWidth="1"/>
    <col min="4092" max="4092" width="9.85546875" style="2037" customWidth="1"/>
    <col min="4093" max="4093" width="13" style="2037" customWidth="1"/>
    <col min="4094" max="4094" width="4.85546875" style="2037" customWidth="1"/>
    <col min="4095" max="4095" width="12.85546875" style="2037" customWidth="1"/>
    <col min="4096" max="4096" width="13.85546875" style="2037" customWidth="1"/>
    <col min="4097" max="4097" width="13.140625" style="2037" bestFit="1" customWidth="1"/>
    <col min="4098" max="4098" width="12.28515625" style="2037" customWidth="1"/>
    <col min="4099" max="4099" width="1.85546875" style="2037" customWidth="1"/>
    <col min="4100" max="4100" width="11" style="2037" customWidth="1"/>
    <col min="4101" max="4101" width="3.5703125" style="2037" bestFit="1" customWidth="1"/>
    <col min="4102" max="4102" width="13.28515625" style="2037" bestFit="1" customWidth="1"/>
    <col min="4103" max="4103" width="12.42578125" style="2037" bestFit="1" customWidth="1"/>
    <col min="4104" max="4346" width="16.7109375" style="2037"/>
    <col min="4347" max="4347" width="50.140625" style="2037" customWidth="1"/>
    <col min="4348" max="4348" width="9.85546875" style="2037" customWidth="1"/>
    <col min="4349" max="4349" width="13" style="2037" customWidth="1"/>
    <col min="4350" max="4350" width="4.85546875" style="2037" customWidth="1"/>
    <col min="4351" max="4351" width="12.85546875" style="2037" customWidth="1"/>
    <col min="4352" max="4352" width="13.85546875" style="2037" customWidth="1"/>
    <col min="4353" max="4353" width="13.140625" style="2037" bestFit="1" customWidth="1"/>
    <col min="4354" max="4354" width="12.28515625" style="2037" customWidth="1"/>
    <col min="4355" max="4355" width="1.85546875" style="2037" customWidth="1"/>
    <col min="4356" max="4356" width="11" style="2037" customWidth="1"/>
    <col min="4357" max="4357" width="3.5703125" style="2037" bestFit="1" customWidth="1"/>
    <col min="4358" max="4358" width="13.28515625" style="2037" bestFit="1" customWidth="1"/>
    <col min="4359" max="4359" width="12.42578125" style="2037" bestFit="1" customWidth="1"/>
    <col min="4360" max="4602" width="16.7109375" style="2037"/>
    <col min="4603" max="4603" width="50.140625" style="2037" customWidth="1"/>
    <col min="4604" max="4604" width="9.85546875" style="2037" customWidth="1"/>
    <col min="4605" max="4605" width="13" style="2037" customWidth="1"/>
    <col min="4606" max="4606" width="4.85546875" style="2037" customWidth="1"/>
    <col min="4607" max="4607" width="12.85546875" style="2037" customWidth="1"/>
    <col min="4608" max="4608" width="13.85546875" style="2037" customWidth="1"/>
    <col min="4609" max="4609" width="13.140625" style="2037" bestFit="1" customWidth="1"/>
    <col min="4610" max="4610" width="12.28515625" style="2037" customWidth="1"/>
    <col min="4611" max="4611" width="1.85546875" style="2037" customWidth="1"/>
    <col min="4612" max="4612" width="11" style="2037" customWidth="1"/>
    <col min="4613" max="4613" width="3.5703125" style="2037" bestFit="1" customWidth="1"/>
    <col min="4614" max="4614" width="13.28515625" style="2037" bestFit="1" customWidth="1"/>
    <col min="4615" max="4615" width="12.42578125" style="2037" bestFit="1" customWidth="1"/>
    <col min="4616" max="4858" width="16.7109375" style="2037"/>
    <col min="4859" max="4859" width="50.140625" style="2037" customWidth="1"/>
    <col min="4860" max="4860" width="9.85546875" style="2037" customWidth="1"/>
    <col min="4861" max="4861" width="13" style="2037" customWidth="1"/>
    <col min="4862" max="4862" width="4.85546875" style="2037" customWidth="1"/>
    <col min="4863" max="4863" width="12.85546875" style="2037" customWidth="1"/>
    <col min="4864" max="4864" width="13.85546875" style="2037" customWidth="1"/>
    <col min="4865" max="4865" width="13.140625" style="2037" bestFit="1" customWidth="1"/>
    <col min="4866" max="4866" width="12.28515625" style="2037" customWidth="1"/>
    <col min="4867" max="4867" width="1.85546875" style="2037" customWidth="1"/>
    <col min="4868" max="4868" width="11" style="2037" customWidth="1"/>
    <col min="4869" max="4869" width="3.5703125" style="2037" bestFit="1" customWidth="1"/>
    <col min="4870" max="4870" width="13.28515625" style="2037" bestFit="1" customWidth="1"/>
    <col min="4871" max="4871" width="12.42578125" style="2037" bestFit="1" customWidth="1"/>
    <col min="4872" max="5114" width="16.7109375" style="2037"/>
    <col min="5115" max="5115" width="50.140625" style="2037" customWidth="1"/>
    <col min="5116" max="5116" width="9.85546875" style="2037" customWidth="1"/>
    <col min="5117" max="5117" width="13" style="2037" customWidth="1"/>
    <col min="5118" max="5118" width="4.85546875" style="2037" customWidth="1"/>
    <col min="5119" max="5119" width="12.85546875" style="2037" customWidth="1"/>
    <col min="5120" max="5120" width="13.85546875" style="2037" customWidth="1"/>
    <col min="5121" max="5121" width="13.140625" style="2037" bestFit="1" customWidth="1"/>
    <col min="5122" max="5122" width="12.28515625" style="2037" customWidth="1"/>
    <col min="5123" max="5123" width="1.85546875" style="2037" customWidth="1"/>
    <col min="5124" max="5124" width="11" style="2037" customWidth="1"/>
    <col min="5125" max="5125" width="3.5703125" style="2037" bestFit="1" customWidth="1"/>
    <col min="5126" max="5126" width="13.28515625" style="2037" bestFit="1" customWidth="1"/>
    <col min="5127" max="5127" width="12.42578125" style="2037" bestFit="1" customWidth="1"/>
    <col min="5128" max="5370" width="16.7109375" style="2037"/>
    <col min="5371" max="5371" width="50.140625" style="2037" customWidth="1"/>
    <col min="5372" max="5372" width="9.85546875" style="2037" customWidth="1"/>
    <col min="5373" max="5373" width="13" style="2037" customWidth="1"/>
    <col min="5374" max="5374" width="4.85546875" style="2037" customWidth="1"/>
    <col min="5375" max="5375" width="12.85546875" style="2037" customWidth="1"/>
    <col min="5376" max="5376" width="13.85546875" style="2037" customWidth="1"/>
    <col min="5377" max="5377" width="13.140625" style="2037" bestFit="1" customWidth="1"/>
    <col min="5378" max="5378" width="12.28515625" style="2037" customWidth="1"/>
    <col min="5379" max="5379" width="1.85546875" style="2037" customWidth="1"/>
    <col min="5380" max="5380" width="11" style="2037" customWidth="1"/>
    <col min="5381" max="5381" width="3.5703125" style="2037" bestFit="1" customWidth="1"/>
    <col min="5382" max="5382" width="13.28515625" style="2037" bestFit="1" customWidth="1"/>
    <col min="5383" max="5383" width="12.42578125" style="2037" bestFit="1" customWidth="1"/>
    <col min="5384" max="5626" width="16.7109375" style="2037"/>
    <col min="5627" max="5627" width="50.140625" style="2037" customWidth="1"/>
    <col min="5628" max="5628" width="9.85546875" style="2037" customWidth="1"/>
    <col min="5629" max="5629" width="13" style="2037" customWidth="1"/>
    <col min="5630" max="5630" width="4.85546875" style="2037" customWidth="1"/>
    <col min="5631" max="5631" width="12.85546875" style="2037" customWidth="1"/>
    <col min="5632" max="5632" width="13.85546875" style="2037" customWidth="1"/>
    <col min="5633" max="5633" width="13.140625" style="2037" bestFit="1" customWidth="1"/>
    <col min="5634" max="5634" width="12.28515625" style="2037" customWidth="1"/>
    <col min="5635" max="5635" width="1.85546875" style="2037" customWidth="1"/>
    <col min="5636" max="5636" width="11" style="2037" customWidth="1"/>
    <col min="5637" max="5637" width="3.5703125" style="2037" bestFit="1" customWidth="1"/>
    <col min="5638" max="5638" width="13.28515625" style="2037" bestFit="1" customWidth="1"/>
    <col min="5639" max="5639" width="12.42578125" style="2037" bestFit="1" customWidth="1"/>
    <col min="5640" max="5882" width="16.7109375" style="2037"/>
    <col min="5883" max="5883" width="50.140625" style="2037" customWidth="1"/>
    <col min="5884" max="5884" width="9.85546875" style="2037" customWidth="1"/>
    <col min="5885" max="5885" width="13" style="2037" customWidth="1"/>
    <col min="5886" max="5886" width="4.85546875" style="2037" customWidth="1"/>
    <col min="5887" max="5887" width="12.85546875" style="2037" customWidth="1"/>
    <col min="5888" max="5888" width="13.85546875" style="2037" customWidth="1"/>
    <col min="5889" max="5889" width="13.140625" style="2037" bestFit="1" customWidth="1"/>
    <col min="5890" max="5890" width="12.28515625" style="2037" customWidth="1"/>
    <col min="5891" max="5891" width="1.85546875" style="2037" customWidth="1"/>
    <col min="5892" max="5892" width="11" style="2037" customWidth="1"/>
    <col min="5893" max="5893" width="3.5703125" style="2037" bestFit="1" customWidth="1"/>
    <col min="5894" max="5894" width="13.28515625" style="2037" bestFit="1" customWidth="1"/>
    <col min="5895" max="5895" width="12.42578125" style="2037" bestFit="1" customWidth="1"/>
    <col min="5896" max="6138" width="16.7109375" style="2037"/>
    <col min="6139" max="6139" width="50.140625" style="2037" customWidth="1"/>
    <col min="6140" max="6140" width="9.85546875" style="2037" customWidth="1"/>
    <col min="6141" max="6141" width="13" style="2037" customWidth="1"/>
    <col min="6142" max="6142" width="4.85546875" style="2037" customWidth="1"/>
    <col min="6143" max="6143" width="12.85546875" style="2037" customWidth="1"/>
    <col min="6144" max="6144" width="13.85546875" style="2037" customWidth="1"/>
    <col min="6145" max="6145" width="13.140625" style="2037" bestFit="1" customWidth="1"/>
    <col min="6146" max="6146" width="12.28515625" style="2037" customWidth="1"/>
    <col min="6147" max="6147" width="1.85546875" style="2037" customWidth="1"/>
    <col min="6148" max="6148" width="11" style="2037" customWidth="1"/>
    <col min="6149" max="6149" width="3.5703125" style="2037" bestFit="1" customWidth="1"/>
    <col min="6150" max="6150" width="13.28515625" style="2037" bestFit="1" customWidth="1"/>
    <col min="6151" max="6151" width="12.42578125" style="2037" bestFit="1" customWidth="1"/>
    <col min="6152" max="6394" width="16.7109375" style="2037"/>
    <col min="6395" max="6395" width="50.140625" style="2037" customWidth="1"/>
    <col min="6396" max="6396" width="9.85546875" style="2037" customWidth="1"/>
    <col min="6397" max="6397" width="13" style="2037" customWidth="1"/>
    <col min="6398" max="6398" width="4.85546875" style="2037" customWidth="1"/>
    <col min="6399" max="6399" width="12.85546875" style="2037" customWidth="1"/>
    <col min="6400" max="6400" width="13.85546875" style="2037" customWidth="1"/>
    <col min="6401" max="6401" width="13.140625" style="2037" bestFit="1" customWidth="1"/>
    <col min="6402" max="6402" width="12.28515625" style="2037" customWidth="1"/>
    <col min="6403" max="6403" width="1.85546875" style="2037" customWidth="1"/>
    <col min="6404" max="6404" width="11" style="2037" customWidth="1"/>
    <col min="6405" max="6405" width="3.5703125" style="2037" bestFit="1" customWidth="1"/>
    <col min="6406" max="6406" width="13.28515625" style="2037" bestFit="1" customWidth="1"/>
    <col min="6407" max="6407" width="12.42578125" style="2037" bestFit="1" customWidth="1"/>
    <col min="6408" max="6650" width="16.7109375" style="2037"/>
    <col min="6651" max="6651" width="50.140625" style="2037" customWidth="1"/>
    <col min="6652" max="6652" width="9.85546875" style="2037" customWidth="1"/>
    <col min="6653" max="6653" width="13" style="2037" customWidth="1"/>
    <col min="6654" max="6654" width="4.85546875" style="2037" customWidth="1"/>
    <col min="6655" max="6655" width="12.85546875" style="2037" customWidth="1"/>
    <col min="6656" max="6656" width="13.85546875" style="2037" customWidth="1"/>
    <col min="6657" max="6657" width="13.140625" style="2037" bestFit="1" customWidth="1"/>
    <col min="6658" max="6658" width="12.28515625" style="2037" customWidth="1"/>
    <col min="6659" max="6659" width="1.85546875" style="2037" customWidth="1"/>
    <col min="6660" max="6660" width="11" style="2037" customWidth="1"/>
    <col min="6661" max="6661" width="3.5703125" style="2037" bestFit="1" customWidth="1"/>
    <col min="6662" max="6662" width="13.28515625" style="2037" bestFit="1" customWidth="1"/>
    <col min="6663" max="6663" width="12.42578125" style="2037" bestFit="1" customWidth="1"/>
    <col min="6664" max="6906" width="16.7109375" style="2037"/>
    <col min="6907" max="6907" width="50.140625" style="2037" customWidth="1"/>
    <col min="6908" max="6908" width="9.85546875" style="2037" customWidth="1"/>
    <col min="6909" max="6909" width="13" style="2037" customWidth="1"/>
    <col min="6910" max="6910" width="4.85546875" style="2037" customWidth="1"/>
    <col min="6911" max="6911" width="12.85546875" style="2037" customWidth="1"/>
    <col min="6912" max="6912" width="13.85546875" style="2037" customWidth="1"/>
    <col min="6913" max="6913" width="13.140625" style="2037" bestFit="1" customWidth="1"/>
    <col min="6914" max="6914" width="12.28515625" style="2037" customWidth="1"/>
    <col min="6915" max="6915" width="1.85546875" style="2037" customWidth="1"/>
    <col min="6916" max="6916" width="11" style="2037" customWidth="1"/>
    <col min="6917" max="6917" width="3.5703125" style="2037" bestFit="1" customWidth="1"/>
    <col min="6918" max="6918" width="13.28515625" style="2037" bestFit="1" customWidth="1"/>
    <col min="6919" max="6919" width="12.42578125" style="2037" bestFit="1" customWidth="1"/>
    <col min="6920" max="7162" width="16.7109375" style="2037"/>
    <col min="7163" max="7163" width="50.140625" style="2037" customWidth="1"/>
    <col min="7164" max="7164" width="9.85546875" style="2037" customWidth="1"/>
    <col min="7165" max="7165" width="13" style="2037" customWidth="1"/>
    <col min="7166" max="7166" width="4.85546875" style="2037" customWidth="1"/>
    <col min="7167" max="7167" width="12.85546875" style="2037" customWidth="1"/>
    <col min="7168" max="7168" width="13.85546875" style="2037" customWidth="1"/>
    <col min="7169" max="7169" width="13.140625" style="2037" bestFit="1" customWidth="1"/>
    <col min="7170" max="7170" width="12.28515625" style="2037" customWidth="1"/>
    <col min="7171" max="7171" width="1.85546875" style="2037" customWidth="1"/>
    <col min="7172" max="7172" width="11" style="2037" customWidth="1"/>
    <col min="7173" max="7173" width="3.5703125" style="2037" bestFit="1" customWidth="1"/>
    <col min="7174" max="7174" width="13.28515625" style="2037" bestFit="1" customWidth="1"/>
    <col min="7175" max="7175" width="12.42578125" style="2037" bestFit="1" customWidth="1"/>
    <col min="7176" max="7418" width="16.7109375" style="2037"/>
    <col min="7419" max="7419" width="50.140625" style="2037" customWidth="1"/>
    <col min="7420" max="7420" width="9.85546875" style="2037" customWidth="1"/>
    <col min="7421" max="7421" width="13" style="2037" customWidth="1"/>
    <col min="7422" max="7422" width="4.85546875" style="2037" customWidth="1"/>
    <col min="7423" max="7423" width="12.85546875" style="2037" customWidth="1"/>
    <col min="7424" max="7424" width="13.85546875" style="2037" customWidth="1"/>
    <col min="7425" max="7425" width="13.140625" style="2037" bestFit="1" customWidth="1"/>
    <col min="7426" max="7426" width="12.28515625" style="2037" customWidth="1"/>
    <col min="7427" max="7427" width="1.85546875" style="2037" customWidth="1"/>
    <col min="7428" max="7428" width="11" style="2037" customWidth="1"/>
    <col min="7429" max="7429" width="3.5703125" style="2037" bestFit="1" customWidth="1"/>
    <col min="7430" max="7430" width="13.28515625" style="2037" bestFit="1" customWidth="1"/>
    <col min="7431" max="7431" width="12.42578125" style="2037" bestFit="1" customWidth="1"/>
    <col min="7432" max="7674" width="16.7109375" style="2037"/>
    <col min="7675" max="7675" width="50.140625" style="2037" customWidth="1"/>
    <col min="7676" max="7676" width="9.85546875" style="2037" customWidth="1"/>
    <col min="7677" max="7677" width="13" style="2037" customWidth="1"/>
    <col min="7678" max="7678" width="4.85546875" style="2037" customWidth="1"/>
    <col min="7679" max="7679" width="12.85546875" style="2037" customWidth="1"/>
    <col min="7680" max="7680" width="13.85546875" style="2037" customWidth="1"/>
    <col min="7681" max="7681" width="13.140625" style="2037" bestFit="1" customWidth="1"/>
    <col min="7682" max="7682" width="12.28515625" style="2037" customWidth="1"/>
    <col min="7683" max="7683" width="1.85546875" style="2037" customWidth="1"/>
    <col min="7684" max="7684" width="11" style="2037" customWidth="1"/>
    <col min="7685" max="7685" width="3.5703125" style="2037" bestFit="1" customWidth="1"/>
    <col min="7686" max="7686" width="13.28515625" style="2037" bestFit="1" customWidth="1"/>
    <col min="7687" max="7687" width="12.42578125" style="2037" bestFit="1" customWidth="1"/>
    <col min="7688" max="7930" width="16.7109375" style="2037"/>
    <col min="7931" max="7931" width="50.140625" style="2037" customWidth="1"/>
    <col min="7932" max="7932" width="9.85546875" style="2037" customWidth="1"/>
    <col min="7933" max="7933" width="13" style="2037" customWidth="1"/>
    <col min="7934" max="7934" width="4.85546875" style="2037" customWidth="1"/>
    <col min="7935" max="7935" width="12.85546875" style="2037" customWidth="1"/>
    <col min="7936" max="7936" width="13.85546875" style="2037" customWidth="1"/>
    <col min="7937" max="7937" width="13.140625" style="2037" bestFit="1" customWidth="1"/>
    <col min="7938" max="7938" width="12.28515625" style="2037" customWidth="1"/>
    <col min="7939" max="7939" width="1.85546875" style="2037" customWidth="1"/>
    <col min="7940" max="7940" width="11" style="2037" customWidth="1"/>
    <col min="7941" max="7941" width="3.5703125" style="2037" bestFit="1" customWidth="1"/>
    <col min="7942" max="7942" width="13.28515625" style="2037" bestFit="1" customWidth="1"/>
    <col min="7943" max="7943" width="12.42578125" style="2037" bestFit="1" customWidth="1"/>
    <col min="7944" max="8186" width="16.7109375" style="2037"/>
    <col min="8187" max="8187" width="50.140625" style="2037" customWidth="1"/>
    <col min="8188" max="8188" width="9.85546875" style="2037" customWidth="1"/>
    <col min="8189" max="8189" width="13" style="2037" customWidth="1"/>
    <col min="8190" max="8190" width="4.85546875" style="2037" customWidth="1"/>
    <col min="8191" max="8191" width="12.85546875" style="2037" customWidth="1"/>
    <col min="8192" max="8192" width="13.85546875" style="2037" customWidth="1"/>
    <col min="8193" max="8193" width="13.140625" style="2037" bestFit="1" customWidth="1"/>
    <col min="8194" max="8194" width="12.28515625" style="2037" customWidth="1"/>
    <col min="8195" max="8195" width="1.85546875" style="2037" customWidth="1"/>
    <col min="8196" max="8196" width="11" style="2037" customWidth="1"/>
    <col min="8197" max="8197" width="3.5703125" style="2037" bestFit="1" customWidth="1"/>
    <col min="8198" max="8198" width="13.28515625" style="2037" bestFit="1" customWidth="1"/>
    <col min="8199" max="8199" width="12.42578125" style="2037" bestFit="1" customWidth="1"/>
    <col min="8200" max="8442" width="16.7109375" style="2037"/>
    <col min="8443" max="8443" width="50.140625" style="2037" customWidth="1"/>
    <col min="8444" max="8444" width="9.85546875" style="2037" customWidth="1"/>
    <col min="8445" max="8445" width="13" style="2037" customWidth="1"/>
    <col min="8446" max="8446" width="4.85546875" style="2037" customWidth="1"/>
    <col min="8447" max="8447" width="12.85546875" style="2037" customWidth="1"/>
    <col min="8448" max="8448" width="13.85546875" style="2037" customWidth="1"/>
    <col min="8449" max="8449" width="13.140625" style="2037" bestFit="1" customWidth="1"/>
    <col min="8450" max="8450" width="12.28515625" style="2037" customWidth="1"/>
    <col min="8451" max="8451" width="1.85546875" style="2037" customWidth="1"/>
    <col min="8452" max="8452" width="11" style="2037" customWidth="1"/>
    <col min="8453" max="8453" width="3.5703125" style="2037" bestFit="1" customWidth="1"/>
    <col min="8454" max="8454" width="13.28515625" style="2037" bestFit="1" customWidth="1"/>
    <col min="8455" max="8455" width="12.42578125" style="2037" bestFit="1" customWidth="1"/>
    <col min="8456" max="8698" width="16.7109375" style="2037"/>
    <col min="8699" max="8699" width="50.140625" style="2037" customWidth="1"/>
    <col min="8700" max="8700" width="9.85546875" style="2037" customWidth="1"/>
    <col min="8701" max="8701" width="13" style="2037" customWidth="1"/>
    <col min="8702" max="8702" width="4.85546875" style="2037" customWidth="1"/>
    <col min="8703" max="8703" width="12.85546875" style="2037" customWidth="1"/>
    <col min="8704" max="8704" width="13.85546875" style="2037" customWidth="1"/>
    <col min="8705" max="8705" width="13.140625" style="2037" bestFit="1" customWidth="1"/>
    <col min="8706" max="8706" width="12.28515625" style="2037" customWidth="1"/>
    <col min="8707" max="8707" width="1.85546875" style="2037" customWidth="1"/>
    <col min="8708" max="8708" width="11" style="2037" customWidth="1"/>
    <col min="8709" max="8709" width="3.5703125" style="2037" bestFit="1" customWidth="1"/>
    <col min="8710" max="8710" width="13.28515625" style="2037" bestFit="1" customWidth="1"/>
    <col min="8711" max="8711" width="12.42578125" style="2037" bestFit="1" customWidth="1"/>
    <col min="8712" max="8954" width="16.7109375" style="2037"/>
    <col min="8955" max="8955" width="50.140625" style="2037" customWidth="1"/>
    <col min="8956" max="8956" width="9.85546875" style="2037" customWidth="1"/>
    <col min="8957" max="8957" width="13" style="2037" customWidth="1"/>
    <col min="8958" max="8958" width="4.85546875" style="2037" customWidth="1"/>
    <col min="8959" max="8959" width="12.85546875" style="2037" customWidth="1"/>
    <col min="8960" max="8960" width="13.85546875" style="2037" customWidth="1"/>
    <col min="8961" max="8961" width="13.140625" style="2037" bestFit="1" customWidth="1"/>
    <col min="8962" max="8962" width="12.28515625" style="2037" customWidth="1"/>
    <col min="8963" max="8963" width="1.85546875" style="2037" customWidth="1"/>
    <col min="8964" max="8964" width="11" style="2037" customWidth="1"/>
    <col min="8965" max="8965" width="3.5703125" style="2037" bestFit="1" customWidth="1"/>
    <col min="8966" max="8966" width="13.28515625" style="2037" bestFit="1" customWidth="1"/>
    <col min="8967" max="8967" width="12.42578125" style="2037" bestFit="1" customWidth="1"/>
    <col min="8968" max="9210" width="16.7109375" style="2037"/>
    <col min="9211" max="9211" width="50.140625" style="2037" customWidth="1"/>
    <col min="9212" max="9212" width="9.85546875" style="2037" customWidth="1"/>
    <col min="9213" max="9213" width="13" style="2037" customWidth="1"/>
    <col min="9214" max="9214" width="4.85546875" style="2037" customWidth="1"/>
    <col min="9215" max="9215" width="12.85546875" style="2037" customWidth="1"/>
    <col min="9216" max="9216" width="13.85546875" style="2037" customWidth="1"/>
    <col min="9217" max="9217" width="13.140625" style="2037" bestFit="1" customWidth="1"/>
    <col min="9218" max="9218" width="12.28515625" style="2037" customWidth="1"/>
    <col min="9219" max="9219" width="1.85546875" style="2037" customWidth="1"/>
    <col min="9220" max="9220" width="11" style="2037" customWidth="1"/>
    <col min="9221" max="9221" width="3.5703125" style="2037" bestFit="1" customWidth="1"/>
    <col min="9222" max="9222" width="13.28515625" style="2037" bestFit="1" customWidth="1"/>
    <col min="9223" max="9223" width="12.42578125" style="2037" bestFit="1" customWidth="1"/>
    <col min="9224" max="9466" width="16.7109375" style="2037"/>
    <col min="9467" max="9467" width="50.140625" style="2037" customWidth="1"/>
    <col min="9468" max="9468" width="9.85546875" style="2037" customWidth="1"/>
    <col min="9469" max="9469" width="13" style="2037" customWidth="1"/>
    <col min="9470" max="9470" width="4.85546875" style="2037" customWidth="1"/>
    <col min="9471" max="9471" width="12.85546875" style="2037" customWidth="1"/>
    <col min="9472" max="9472" width="13.85546875" style="2037" customWidth="1"/>
    <col min="9473" max="9473" width="13.140625" style="2037" bestFit="1" customWidth="1"/>
    <col min="9474" max="9474" width="12.28515625" style="2037" customWidth="1"/>
    <col min="9475" max="9475" width="1.85546875" style="2037" customWidth="1"/>
    <col min="9476" max="9476" width="11" style="2037" customWidth="1"/>
    <col min="9477" max="9477" width="3.5703125" style="2037" bestFit="1" customWidth="1"/>
    <col min="9478" max="9478" width="13.28515625" style="2037" bestFit="1" customWidth="1"/>
    <col min="9479" max="9479" width="12.42578125" style="2037" bestFit="1" customWidth="1"/>
    <col min="9480" max="9722" width="16.7109375" style="2037"/>
    <col min="9723" max="9723" width="50.140625" style="2037" customWidth="1"/>
    <col min="9724" max="9724" width="9.85546875" style="2037" customWidth="1"/>
    <col min="9725" max="9725" width="13" style="2037" customWidth="1"/>
    <col min="9726" max="9726" width="4.85546875" style="2037" customWidth="1"/>
    <col min="9727" max="9727" width="12.85546875" style="2037" customWidth="1"/>
    <col min="9728" max="9728" width="13.85546875" style="2037" customWidth="1"/>
    <col min="9729" max="9729" width="13.140625" style="2037" bestFit="1" customWidth="1"/>
    <col min="9730" max="9730" width="12.28515625" style="2037" customWidth="1"/>
    <col min="9731" max="9731" width="1.85546875" style="2037" customWidth="1"/>
    <col min="9732" max="9732" width="11" style="2037" customWidth="1"/>
    <col min="9733" max="9733" width="3.5703125" style="2037" bestFit="1" customWidth="1"/>
    <col min="9734" max="9734" width="13.28515625" style="2037" bestFit="1" customWidth="1"/>
    <col min="9735" max="9735" width="12.42578125" style="2037" bestFit="1" customWidth="1"/>
    <col min="9736" max="9978" width="16.7109375" style="2037"/>
    <col min="9979" max="9979" width="50.140625" style="2037" customWidth="1"/>
    <col min="9980" max="9980" width="9.85546875" style="2037" customWidth="1"/>
    <col min="9981" max="9981" width="13" style="2037" customWidth="1"/>
    <col min="9982" max="9982" width="4.85546875" style="2037" customWidth="1"/>
    <col min="9983" max="9983" width="12.85546875" style="2037" customWidth="1"/>
    <col min="9984" max="9984" width="13.85546875" style="2037" customWidth="1"/>
    <col min="9985" max="9985" width="13.140625" style="2037" bestFit="1" customWidth="1"/>
    <col min="9986" max="9986" width="12.28515625" style="2037" customWidth="1"/>
    <col min="9987" max="9987" width="1.85546875" style="2037" customWidth="1"/>
    <col min="9988" max="9988" width="11" style="2037" customWidth="1"/>
    <col min="9989" max="9989" width="3.5703125" style="2037" bestFit="1" customWidth="1"/>
    <col min="9990" max="9990" width="13.28515625" style="2037" bestFit="1" customWidth="1"/>
    <col min="9991" max="9991" width="12.42578125" style="2037" bestFit="1" customWidth="1"/>
    <col min="9992" max="10234" width="16.7109375" style="2037"/>
    <col min="10235" max="10235" width="50.140625" style="2037" customWidth="1"/>
    <col min="10236" max="10236" width="9.85546875" style="2037" customWidth="1"/>
    <col min="10237" max="10237" width="13" style="2037" customWidth="1"/>
    <col min="10238" max="10238" width="4.85546875" style="2037" customWidth="1"/>
    <col min="10239" max="10239" width="12.85546875" style="2037" customWidth="1"/>
    <col min="10240" max="10240" width="13.85546875" style="2037" customWidth="1"/>
    <col min="10241" max="10241" width="13.140625" style="2037" bestFit="1" customWidth="1"/>
    <col min="10242" max="10242" width="12.28515625" style="2037" customWidth="1"/>
    <col min="10243" max="10243" width="1.85546875" style="2037" customWidth="1"/>
    <col min="10244" max="10244" width="11" style="2037" customWidth="1"/>
    <col min="10245" max="10245" width="3.5703125" style="2037" bestFit="1" customWidth="1"/>
    <col min="10246" max="10246" width="13.28515625" style="2037" bestFit="1" customWidth="1"/>
    <col min="10247" max="10247" width="12.42578125" style="2037" bestFit="1" customWidth="1"/>
    <col min="10248" max="10490" width="16.7109375" style="2037"/>
    <col min="10491" max="10491" width="50.140625" style="2037" customWidth="1"/>
    <col min="10492" max="10492" width="9.85546875" style="2037" customWidth="1"/>
    <col min="10493" max="10493" width="13" style="2037" customWidth="1"/>
    <col min="10494" max="10494" width="4.85546875" style="2037" customWidth="1"/>
    <col min="10495" max="10495" width="12.85546875" style="2037" customWidth="1"/>
    <col min="10496" max="10496" width="13.85546875" style="2037" customWidth="1"/>
    <col min="10497" max="10497" width="13.140625" style="2037" bestFit="1" customWidth="1"/>
    <col min="10498" max="10498" width="12.28515625" style="2037" customWidth="1"/>
    <col min="10499" max="10499" width="1.85546875" style="2037" customWidth="1"/>
    <col min="10500" max="10500" width="11" style="2037" customWidth="1"/>
    <col min="10501" max="10501" width="3.5703125" style="2037" bestFit="1" customWidth="1"/>
    <col min="10502" max="10502" width="13.28515625" style="2037" bestFit="1" customWidth="1"/>
    <col min="10503" max="10503" width="12.42578125" style="2037" bestFit="1" customWidth="1"/>
    <col min="10504" max="10746" width="16.7109375" style="2037"/>
    <col min="10747" max="10747" width="50.140625" style="2037" customWidth="1"/>
    <col min="10748" max="10748" width="9.85546875" style="2037" customWidth="1"/>
    <col min="10749" max="10749" width="13" style="2037" customWidth="1"/>
    <col min="10750" max="10750" width="4.85546875" style="2037" customWidth="1"/>
    <col min="10751" max="10751" width="12.85546875" style="2037" customWidth="1"/>
    <col min="10752" max="10752" width="13.85546875" style="2037" customWidth="1"/>
    <col min="10753" max="10753" width="13.140625" style="2037" bestFit="1" customWidth="1"/>
    <col min="10754" max="10754" width="12.28515625" style="2037" customWidth="1"/>
    <col min="10755" max="10755" width="1.85546875" style="2037" customWidth="1"/>
    <col min="10756" max="10756" width="11" style="2037" customWidth="1"/>
    <col min="10757" max="10757" width="3.5703125" style="2037" bestFit="1" customWidth="1"/>
    <col min="10758" max="10758" width="13.28515625" style="2037" bestFit="1" customWidth="1"/>
    <col min="10759" max="10759" width="12.42578125" style="2037" bestFit="1" customWidth="1"/>
    <col min="10760" max="11002" width="16.7109375" style="2037"/>
    <col min="11003" max="11003" width="50.140625" style="2037" customWidth="1"/>
    <col min="11004" max="11004" width="9.85546875" style="2037" customWidth="1"/>
    <col min="11005" max="11005" width="13" style="2037" customWidth="1"/>
    <col min="11006" max="11006" width="4.85546875" style="2037" customWidth="1"/>
    <col min="11007" max="11007" width="12.85546875" style="2037" customWidth="1"/>
    <col min="11008" max="11008" width="13.85546875" style="2037" customWidth="1"/>
    <col min="11009" max="11009" width="13.140625" style="2037" bestFit="1" customWidth="1"/>
    <col min="11010" max="11010" width="12.28515625" style="2037" customWidth="1"/>
    <col min="11011" max="11011" width="1.85546875" style="2037" customWidth="1"/>
    <col min="11012" max="11012" width="11" style="2037" customWidth="1"/>
    <col min="11013" max="11013" width="3.5703125" style="2037" bestFit="1" customWidth="1"/>
    <col min="11014" max="11014" width="13.28515625" style="2037" bestFit="1" customWidth="1"/>
    <col min="11015" max="11015" width="12.42578125" style="2037" bestFit="1" customWidth="1"/>
    <col min="11016" max="11258" width="16.7109375" style="2037"/>
    <col min="11259" max="11259" width="50.140625" style="2037" customWidth="1"/>
    <col min="11260" max="11260" width="9.85546875" style="2037" customWidth="1"/>
    <col min="11261" max="11261" width="13" style="2037" customWidth="1"/>
    <col min="11262" max="11262" width="4.85546875" style="2037" customWidth="1"/>
    <col min="11263" max="11263" width="12.85546875" style="2037" customWidth="1"/>
    <col min="11264" max="11264" width="13.85546875" style="2037" customWidth="1"/>
    <col min="11265" max="11265" width="13.140625" style="2037" bestFit="1" customWidth="1"/>
    <col min="11266" max="11266" width="12.28515625" style="2037" customWidth="1"/>
    <col min="11267" max="11267" width="1.85546875" style="2037" customWidth="1"/>
    <col min="11268" max="11268" width="11" style="2037" customWidth="1"/>
    <col min="11269" max="11269" width="3.5703125" style="2037" bestFit="1" customWidth="1"/>
    <col min="11270" max="11270" width="13.28515625" style="2037" bestFit="1" customWidth="1"/>
    <col min="11271" max="11271" width="12.42578125" style="2037" bestFit="1" customWidth="1"/>
    <col min="11272" max="11514" width="16.7109375" style="2037"/>
    <col min="11515" max="11515" width="50.140625" style="2037" customWidth="1"/>
    <col min="11516" max="11516" width="9.85546875" style="2037" customWidth="1"/>
    <col min="11517" max="11517" width="13" style="2037" customWidth="1"/>
    <col min="11518" max="11518" width="4.85546875" style="2037" customWidth="1"/>
    <col min="11519" max="11519" width="12.85546875" style="2037" customWidth="1"/>
    <col min="11520" max="11520" width="13.85546875" style="2037" customWidth="1"/>
    <col min="11521" max="11521" width="13.140625" style="2037" bestFit="1" customWidth="1"/>
    <col min="11522" max="11522" width="12.28515625" style="2037" customWidth="1"/>
    <col min="11523" max="11523" width="1.85546875" style="2037" customWidth="1"/>
    <col min="11524" max="11524" width="11" style="2037" customWidth="1"/>
    <col min="11525" max="11525" width="3.5703125" style="2037" bestFit="1" customWidth="1"/>
    <col min="11526" max="11526" width="13.28515625" style="2037" bestFit="1" customWidth="1"/>
    <col min="11527" max="11527" width="12.42578125" style="2037" bestFit="1" customWidth="1"/>
    <col min="11528" max="11770" width="16.7109375" style="2037"/>
    <col min="11771" max="11771" width="50.140625" style="2037" customWidth="1"/>
    <col min="11772" max="11772" width="9.85546875" style="2037" customWidth="1"/>
    <col min="11773" max="11773" width="13" style="2037" customWidth="1"/>
    <col min="11774" max="11774" width="4.85546875" style="2037" customWidth="1"/>
    <col min="11775" max="11775" width="12.85546875" style="2037" customWidth="1"/>
    <col min="11776" max="11776" width="13.85546875" style="2037" customWidth="1"/>
    <col min="11777" max="11777" width="13.140625" style="2037" bestFit="1" customWidth="1"/>
    <col min="11778" max="11778" width="12.28515625" style="2037" customWidth="1"/>
    <col min="11779" max="11779" width="1.85546875" style="2037" customWidth="1"/>
    <col min="11780" max="11780" width="11" style="2037" customWidth="1"/>
    <col min="11781" max="11781" width="3.5703125" style="2037" bestFit="1" customWidth="1"/>
    <col min="11782" max="11782" width="13.28515625" style="2037" bestFit="1" customWidth="1"/>
    <col min="11783" max="11783" width="12.42578125" style="2037" bestFit="1" customWidth="1"/>
    <col min="11784" max="12026" width="16.7109375" style="2037"/>
    <col min="12027" max="12027" width="50.140625" style="2037" customWidth="1"/>
    <col min="12028" max="12028" width="9.85546875" style="2037" customWidth="1"/>
    <col min="12029" max="12029" width="13" style="2037" customWidth="1"/>
    <col min="12030" max="12030" width="4.85546875" style="2037" customWidth="1"/>
    <col min="12031" max="12031" width="12.85546875" style="2037" customWidth="1"/>
    <col min="12032" max="12032" width="13.85546875" style="2037" customWidth="1"/>
    <col min="12033" max="12033" width="13.140625" style="2037" bestFit="1" customWidth="1"/>
    <col min="12034" max="12034" width="12.28515625" style="2037" customWidth="1"/>
    <col min="12035" max="12035" width="1.85546875" style="2037" customWidth="1"/>
    <col min="12036" max="12036" width="11" style="2037" customWidth="1"/>
    <col min="12037" max="12037" width="3.5703125" style="2037" bestFit="1" customWidth="1"/>
    <col min="12038" max="12038" width="13.28515625" style="2037" bestFit="1" customWidth="1"/>
    <col min="12039" max="12039" width="12.42578125" style="2037" bestFit="1" customWidth="1"/>
    <col min="12040" max="12282" width="16.7109375" style="2037"/>
    <col min="12283" max="12283" width="50.140625" style="2037" customWidth="1"/>
    <col min="12284" max="12284" width="9.85546875" style="2037" customWidth="1"/>
    <col min="12285" max="12285" width="13" style="2037" customWidth="1"/>
    <col min="12286" max="12286" width="4.85546875" style="2037" customWidth="1"/>
    <col min="12287" max="12287" width="12.85546875" style="2037" customWidth="1"/>
    <col min="12288" max="12288" width="13.85546875" style="2037" customWidth="1"/>
    <col min="12289" max="12289" width="13.140625" style="2037" bestFit="1" customWidth="1"/>
    <col min="12290" max="12290" width="12.28515625" style="2037" customWidth="1"/>
    <col min="12291" max="12291" width="1.85546875" style="2037" customWidth="1"/>
    <col min="12292" max="12292" width="11" style="2037" customWidth="1"/>
    <col min="12293" max="12293" width="3.5703125" style="2037" bestFit="1" customWidth="1"/>
    <col min="12294" max="12294" width="13.28515625" style="2037" bestFit="1" customWidth="1"/>
    <col min="12295" max="12295" width="12.42578125" style="2037" bestFit="1" customWidth="1"/>
    <col min="12296" max="12538" width="16.7109375" style="2037"/>
    <col min="12539" max="12539" width="50.140625" style="2037" customWidth="1"/>
    <col min="12540" max="12540" width="9.85546875" style="2037" customWidth="1"/>
    <col min="12541" max="12541" width="13" style="2037" customWidth="1"/>
    <col min="12542" max="12542" width="4.85546875" style="2037" customWidth="1"/>
    <col min="12543" max="12543" width="12.85546875" style="2037" customWidth="1"/>
    <col min="12544" max="12544" width="13.85546875" style="2037" customWidth="1"/>
    <col min="12545" max="12545" width="13.140625" style="2037" bestFit="1" customWidth="1"/>
    <col min="12546" max="12546" width="12.28515625" style="2037" customWidth="1"/>
    <col min="12547" max="12547" width="1.85546875" style="2037" customWidth="1"/>
    <col min="12548" max="12548" width="11" style="2037" customWidth="1"/>
    <col min="12549" max="12549" width="3.5703125" style="2037" bestFit="1" customWidth="1"/>
    <col min="12550" max="12550" width="13.28515625" style="2037" bestFit="1" customWidth="1"/>
    <col min="12551" max="12551" width="12.42578125" style="2037" bestFit="1" customWidth="1"/>
    <col min="12552" max="12794" width="16.7109375" style="2037"/>
    <col min="12795" max="12795" width="50.140625" style="2037" customWidth="1"/>
    <col min="12796" max="12796" width="9.85546875" style="2037" customWidth="1"/>
    <col min="12797" max="12797" width="13" style="2037" customWidth="1"/>
    <col min="12798" max="12798" width="4.85546875" style="2037" customWidth="1"/>
    <col min="12799" max="12799" width="12.85546875" style="2037" customWidth="1"/>
    <col min="12800" max="12800" width="13.85546875" style="2037" customWidth="1"/>
    <col min="12801" max="12801" width="13.140625" style="2037" bestFit="1" customWidth="1"/>
    <col min="12802" max="12802" width="12.28515625" style="2037" customWidth="1"/>
    <col min="12803" max="12803" width="1.85546875" style="2037" customWidth="1"/>
    <col min="12804" max="12804" width="11" style="2037" customWidth="1"/>
    <col min="12805" max="12805" width="3.5703125" style="2037" bestFit="1" customWidth="1"/>
    <col min="12806" max="12806" width="13.28515625" style="2037" bestFit="1" customWidth="1"/>
    <col min="12807" max="12807" width="12.42578125" style="2037" bestFit="1" customWidth="1"/>
    <col min="12808" max="13050" width="16.7109375" style="2037"/>
    <col min="13051" max="13051" width="50.140625" style="2037" customWidth="1"/>
    <col min="13052" max="13052" width="9.85546875" style="2037" customWidth="1"/>
    <col min="13053" max="13053" width="13" style="2037" customWidth="1"/>
    <col min="13054" max="13054" width="4.85546875" style="2037" customWidth="1"/>
    <col min="13055" max="13055" width="12.85546875" style="2037" customWidth="1"/>
    <col min="13056" max="13056" width="13.85546875" style="2037" customWidth="1"/>
    <col min="13057" max="13057" width="13.140625" style="2037" bestFit="1" customWidth="1"/>
    <col min="13058" max="13058" width="12.28515625" style="2037" customWidth="1"/>
    <col min="13059" max="13059" width="1.85546875" style="2037" customWidth="1"/>
    <col min="13060" max="13060" width="11" style="2037" customWidth="1"/>
    <col min="13061" max="13061" width="3.5703125" style="2037" bestFit="1" customWidth="1"/>
    <col min="13062" max="13062" width="13.28515625" style="2037" bestFit="1" customWidth="1"/>
    <col min="13063" max="13063" width="12.42578125" style="2037" bestFit="1" customWidth="1"/>
    <col min="13064" max="13306" width="16.7109375" style="2037"/>
    <col min="13307" max="13307" width="50.140625" style="2037" customWidth="1"/>
    <col min="13308" max="13308" width="9.85546875" style="2037" customWidth="1"/>
    <col min="13309" max="13309" width="13" style="2037" customWidth="1"/>
    <col min="13310" max="13310" width="4.85546875" style="2037" customWidth="1"/>
    <col min="13311" max="13311" width="12.85546875" style="2037" customWidth="1"/>
    <col min="13312" max="13312" width="13.85546875" style="2037" customWidth="1"/>
    <col min="13313" max="13313" width="13.140625" style="2037" bestFit="1" customWidth="1"/>
    <col min="13314" max="13314" width="12.28515625" style="2037" customWidth="1"/>
    <col min="13315" max="13315" width="1.85546875" style="2037" customWidth="1"/>
    <col min="13316" max="13316" width="11" style="2037" customWidth="1"/>
    <col min="13317" max="13317" width="3.5703125" style="2037" bestFit="1" customWidth="1"/>
    <col min="13318" max="13318" width="13.28515625" style="2037" bestFit="1" customWidth="1"/>
    <col min="13319" max="13319" width="12.42578125" style="2037" bestFit="1" customWidth="1"/>
    <col min="13320" max="13562" width="16.7109375" style="2037"/>
    <col min="13563" max="13563" width="50.140625" style="2037" customWidth="1"/>
    <col min="13564" max="13564" width="9.85546875" style="2037" customWidth="1"/>
    <col min="13565" max="13565" width="13" style="2037" customWidth="1"/>
    <col min="13566" max="13566" width="4.85546875" style="2037" customWidth="1"/>
    <col min="13567" max="13567" width="12.85546875" style="2037" customWidth="1"/>
    <col min="13568" max="13568" width="13.85546875" style="2037" customWidth="1"/>
    <col min="13569" max="13569" width="13.140625" style="2037" bestFit="1" customWidth="1"/>
    <col min="13570" max="13570" width="12.28515625" style="2037" customWidth="1"/>
    <col min="13571" max="13571" width="1.85546875" style="2037" customWidth="1"/>
    <col min="13572" max="13572" width="11" style="2037" customWidth="1"/>
    <col min="13573" max="13573" width="3.5703125" style="2037" bestFit="1" customWidth="1"/>
    <col min="13574" max="13574" width="13.28515625" style="2037" bestFit="1" customWidth="1"/>
    <col min="13575" max="13575" width="12.42578125" style="2037" bestFit="1" customWidth="1"/>
    <col min="13576" max="13818" width="16.7109375" style="2037"/>
    <col min="13819" max="13819" width="50.140625" style="2037" customWidth="1"/>
    <col min="13820" max="13820" width="9.85546875" style="2037" customWidth="1"/>
    <col min="13821" max="13821" width="13" style="2037" customWidth="1"/>
    <col min="13822" max="13822" width="4.85546875" style="2037" customWidth="1"/>
    <col min="13823" max="13823" width="12.85546875" style="2037" customWidth="1"/>
    <col min="13824" max="13824" width="13.85546875" style="2037" customWidth="1"/>
    <col min="13825" max="13825" width="13.140625" style="2037" bestFit="1" customWidth="1"/>
    <col min="13826" max="13826" width="12.28515625" style="2037" customWidth="1"/>
    <col min="13827" max="13827" width="1.85546875" style="2037" customWidth="1"/>
    <col min="13828" max="13828" width="11" style="2037" customWidth="1"/>
    <col min="13829" max="13829" width="3.5703125" style="2037" bestFit="1" customWidth="1"/>
    <col min="13830" max="13830" width="13.28515625" style="2037" bestFit="1" customWidth="1"/>
    <col min="13831" max="13831" width="12.42578125" style="2037" bestFit="1" customWidth="1"/>
    <col min="13832" max="14074" width="16.7109375" style="2037"/>
    <col min="14075" max="14075" width="50.140625" style="2037" customWidth="1"/>
    <col min="14076" max="14076" width="9.85546875" style="2037" customWidth="1"/>
    <col min="14077" max="14077" width="13" style="2037" customWidth="1"/>
    <col min="14078" max="14078" width="4.85546875" style="2037" customWidth="1"/>
    <col min="14079" max="14079" width="12.85546875" style="2037" customWidth="1"/>
    <col min="14080" max="14080" width="13.85546875" style="2037" customWidth="1"/>
    <col min="14081" max="14081" width="13.140625" style="2037" bestFit="1" customWidth="1"/>
    <col min="14082" max="14082" width="12.28515625" style="2037" customWidth="1"/>
    <col min="14083" max="14083" width="1.85546875" style="2037" customWidth="1"/>
    <col min="14084" max="14084" width="11" style="2037" customWidth="1"/>
    <col min="14085" max="14085" width="3.5703125" style="2037" bestFit="1" customWidth="1"/>
    <col min="14086" max="14086" width="13.28515625" style="2037" bestFit="1" customWidth="1"/>
    <col min="14087" max="14087" width="12.42578125" style="2037" bestFit="1" customWidth="1"/>
    <col min="14088" max="14330" width="16.7109375" style="2037"/>
    <col min="14331" max="14331" width="50.140625" style="2037" customWidth="1"/>
    <col min="14332" max="14332" width="9.85546875" style="2037" customWidth="1"/>
    <col min="14333" max="14333" width="13" style="2037" customWidth="1"/>
    <col min="14334" max="14334" width="4.85546875" style="2037" customWidth="1"/>
    <col min="14335" max="14335" width="12.85546875" style="2037" customWidth="1"/>
    <col min="14336" max="14336" width="13.85546875" style="2037" customWidth="1"/>
    <col min="14337" max="14337" width="13.140625" style="2037" bestFit="1" customWidth="1"/>
    <col min="14338" max="14338" width="12.28515625" style="2037" customWidth="1"/>
    <col min="14339" max="14339" width="1.85546875" style="2037" customWidth="1"/>
    <col min="14340" max="14340" width="11" style="2037" customWidth="1"/>
    <col min="14341" max="14341" width="3.5703125" style="2037" bestFit="1" customWidth="1"/>
    <col min="14342" max="14342" width="13.28515625" style="2037" bestFit="1" customWidth="1"/>
    <col min="14343" max="14343" width="12.42578125" style="2037" bestFit="1" customWidth="1"/>
    <col min="14344" max="14586" width="16.7109375" style="2037"/>
    <col min="14587" max="14587" width="50.140625" style="2037" customWidth="1"/>
    <col min="14588" max="14588" width="9.85546875" style="2037" customWidth="1"/>
    <col min="14589" max="14589" width="13" style="2037" customWidth="1"/>
    <col min="14590" max="14590" width="4.85546875" style="2037" customWidth="1"/>
    <col min="14591" max="14591" width="12.85546875" style="2037" customWidth="1"/>
    <col min="14592" max="14592" width="13.85546875" style="2037" customWidth="1"/>
    <col min="14593" max="14593" width="13.140625" style="2037" bestFit="1" customWidth="1"/>
    <col min="14594" max="14594" width="12.28515625" style="2037" customWidth="1"/>
    <col min="14595" max="14595" width="1.85546875" style="2037" customWidth="1"/>
    <col min="14596" max="14596" width="11" style="2037" customWidth="1"/>
    <col min="14597" max="14597" width="3.5703125" style="2037" bestFit="1" customWidth="1"/>
    <col min="14598" max="14598" width="13.28515625" style="2037" bestFit="1" customWidth="1"/>
    <col min="14599" max="14599" width="12.42578125" style="2037" bestFit="1" customWidth="1"/>
    <col min="14600" max="14842" width="16.7109375" style="2037"/>
    <col min="14843" max="14843" width="50.140625" style="2037" customWidth="1"/>
    <col min="14844" max="14844" width="9.85546875" style="2037" customWidth="1"/>
    <col min="14845" max="14845" width="13" style="2037" customWidth="1"/>
    <col min="14846" max="14846" width="4.85546875" style="2037" customWidth="1"/>
    <col min="14847" max="14847" width="12.85546875" style="2037" customWidth="1"/>
    <col min="14848" max="14848" width="13.85546875" style="2037" customWidth="1"/>
    <col min="14849" max="14849" width="13.140625" style="2037" bestFit="1" customWidth="1"/>
    <col min="14850" max="14850" width="12.28515625" style="2037" customWidth="1"/>
    <col min="14851" max="14851" width="1.85546875" style="2037" customWidth="1"/>
    <col min="14852" max="14852" width="11" style="2037" customWidth="1"/>
    <col min="14853" max="14853" width="3.5703125" style="2037" bestFit="1" customWidth="1"/>
    <col min="14854" max="14854" width="13.28515625" style="2037" bestFit="1" customWidth="1"/>
    <col min="14855" max="14855" width="12.42578125" style="2037" bestFit="1" customWidth="1"/>
    <col min="14856" max="15098" width="16.7109375" style="2037"/>
    <col min="15099" max="15099" width="50.140625" style="2037" customWidth="1"/>
    <col min="15100" max="15100" width="9.85546875" style="2037" customWidth="1"/>
    <col min="15101" max="15101" width="13" style="2037" customWidth="1"/>
    <col min="15102" max="15102" width="4.85546875" style="2037" customWidth="1"/>
    <col min="15103" max="15103" width="12.85546875" style="2037" customWidth="1"/>
    <col min="15104" max="15104" width="13.85546875" style="2037" customWidth="1"/>
    <col min="15105" max="15105" width="13.140625" style="2037" bestFit="1" customWidth="1"/>
    <col min="15106" max="15106" width="12.28515625" style="2037" customWidth="1"/>
    <col min="15107" max="15107" width="1.85546875" style="2037" customWidth="1"/>
    <col min="15108" max="15108" width="11" style="2037" customWidth="1"/>
    <col min="15109" max="15109" width="3.5703125" style="2037" bestFit="1" customWidth="1"/>
    <col min="15110" max="15110" width="13.28515625" style="2037" bestFit="1" customWidth="1"/>
    <col min="15111" max="15111" width="12.42578125" style="2037" bestFit="1" customWidth="1"/>
    <col min="15112" max="15354" width="16.7109375" style="2037"/>
    <col min="15355" max="15355" width="50.140625" style="2037" customWidth="1"/>
    <col min="15356" max="15356" width="9.85546875" style="2037" customWidth="1"/>
    <col min="15357" max="15357" width="13" style="2037" customWidth="1"/>
    <col min="15358" max="15358" width="4.85546875" style="2037" customWidth="1"/>
    <col min="15359" max="15359" width="12.85546875" style="2037" customWidth="1"/>
    <col min="15360" max="15360" width="13.85546875" style="2037" customWidth="1"/>
    <col min="15361" max="15361" width="13.140625" style="2037" bestFit="1" customWidth="1"/>
    <col min="15362" max="15362" width="12.28515625" style="2037" customWidth="1"/>
    <col min="15363" max="15363" width="1.85546875" style="2037" customWidth="1"/>
    <col min="15364" max="15364" width="11" style="2037" customWidth="1"/>
    <col min="15365" max="15365" width="3.5703125" style="2037" bestFit="1" customWidth="1"/>
    <col min="15366" max="15366" width="13.28515625" style="2037" bestFit="1" customWidth="1"/>
    <col min="15367" max="15367" width="12.42578125" style="2037" bestFit="1" customWidth="1"/>
    <col min="15368" max="15610" width="16.7109375" style="2037"/>
    <col min="15611" max="15611" width="50.140625" style="2037" customWidth="1"/>
    <col min="15612" max="15612" width="9.85546875" style="2037" customWidth="1"/>
    <col min="15613" max="15613" width="13" style="2037" customWidth="1"/>
    <col min="15614" max="15614" width="4.85546875" style="2037" customWidth="1"/>
    <col min="15615" max="15615" width="12.85546875" style="2037" customWidth="1"/>
    <col min="15616" max="15616" width="13.85546875" style="2037" customWidth="1"/>
    <col min="15617" max="15617" width="13.140625" style="2037" bestFit="1" customWidth="1"/>
    <col min="15618" max="15618" width="12.28515625" style="2037" customWidth="1"/>
    <col min="15619" max="15619" width="1.85546875" style="2037" customWidth="1"/>
    <col min="15620" max="15620" width="11" style="2037" customWidth="1"/>
    <col min="15621" max="15621" width="3.5703125" style="2037" bestFit="1" customWidth="1"/>
    <col min="15622" max="15622" width="13.28515625" style="2037" bestFit="1" customWidth="1"/>
    <col min="15623" max="15623" width="12.42578125" style="2037" bestFit="1" customWidth="1"/>
    <col min="15624" max="15866" width="16.7109375" style="2037"/>
    <col min="15867" max="15867" width="50.140625" style="2037" customWidth="1"/>
    <col min="15868" max="15868" width="9.85546875" style="2037" customWidth="1"/>
    <col min="15869" max="15869" width="13" style="2037" customWidth="1"/>
    <col min="15870" max="15870" width="4.85546875" style="2037" customWidth="1"/>
    <col min="15871" max="15871" width="12.85546875" style="2037" customWidth="1"/>
    <col min="15872" max="15872" width="13.85546875" style="2037" customWidth="1"/>
    <col min="15873" max="15873" width="13.140625" style="2037" bestFit="1" customWidth="1"/>
    <col min="15874" max="15874" width="12.28515625" style="2037" customWidth="1"/>
    <col min="15875" max="15875" width="1.85546875" style="2037" customWidth="1"/>
    <col min="15876" max="15876" width="11" style="2037" customWidth="1"/>
    <col min="15877" max="15877" width="3.5703125" style="2037" bestFit="1" customWidth="1"/>
    <col min="15878" max="15878" width="13.28515625" style="2037" bestFit="1" customWidth="1"/>
    <col min="15879" max="15879" width="12.42578125" style="2037" bestFit="1" customWidth="1"/>
    <col min="15880" max="16122" width="16.7109375" style="2037"/>
    <col min="16123" max="16123" width="50.140625" style="2037" customWidth="1"/>
    <col min="16124" max="16124" width="9.85546875" style="2037" customWidth="1"/>
    <col min="16125" max="16125" width="13" style="2037" customWidth="1"/>
    <col min="16126" max="16126" width="4.85546875" style="2037" customWidth="1"/>
    <col min="16127" max="16127" width="12.85546875" style="2037" customWidth="1"/>
    <col min="16128" max="16128" width="13.85546875" style="2037" customWidth="1"/>
    <col min="16129" max="16129" width="13.140625" style="2037" bestFit="1" customWidth="1"/>
    <col min="16130" max="16130" width="12.28515625" style="2037" customWidth="1"/>
    <col min="16131" max="16131" width="1.85546875" style="2037" customWidth="1"/>
    <col min="16132" max="16132" width="11" style="2037" customWidth="1"/>
    <col min="16133" max="16133" width="3.5703125" style="2037" bestFit="1" customWidth="1"/>
    <col min="16134" max="16134" width="13.28515625" style="2037" bestFit="1" customWidth="1"/>
    <col min="16135" max="16135" width="12.42578125" style="2037" bestFit="1" customWidth="1"/>
    <col min="16136" max="16384" width="16.7109375" style="2037"/>
  </cols>
  <sheetData>
    <row r="1" spans="1:13" s="2036" customFormat="1" ht="15.75" x14ac:dyDescent="0.15">
      <c r="A1" s="2651" t="s">
        <v>2057</v>
      </c>
      <c r="B1" s="2651"/>
      <c r="C1" s="2651"/>
      <c r="D1" s="2651"/>
      <c r="E1" s="2651"/>
      <c r="F1" s="2651"/>
      <c r="G1" s="2651"/>
      <c r="H1" s="2651"/>
      <c r="I1" s="2651"/>
      <c r="J1" s="2651"/>
      <c r="K1" s="2651"/>
      <c r="L1" s="2651"/>
      <c r="M1" s="2651"/>
    </row>
    <row r="2" spans="1:13" ht="18" customHeight="1" x14ac:dyDescent="0.2">
      <c r="A2" s="2652" t="s">
        <v>2058</v>
      </c>
      <c r="B2" s="2652"/>
      <c r="C2" s="2652"/>
      <c r="D2" s="2652"/>
      <c r="E2" s="2652"/>
      <c r="F2" s="2652"/>
      <c r="G2" s="2652"/>
      <c r="H2" s="2652"/>
      <c r="I2" s="2652"/>
      <c r="J2" s="2652"/>
      <c r="K2" s="2652"/>
      <c r="L2" s="2652"/>
      <c r="M2" s="2652"/>
    </row>
    <row r="3" spans="1:13" ht="20.25" customHeight="1" x14ac:dyDescent="0.2">
      <c r="A3" s="2652" t="s">
        <v>1208</v>
      </c>
      <c r="B3" s="2652"/>
      <c r="C3" s="2652"/>
      <c r="D3" s="2652"/>
      <c r="E3" s="2652"/>
      <c r="F3" s="2652"/>
      <c r="G3" s="2652"/>
      <c r="H3" s="2652"/>
      <c r="I3" s="2652"/>
      <c r="J3" s="2652"/>
      <c r="K3" s="2652"/>
      <c r="L3" s="2652"/>
      <c r="M3" s="2652"/>
    </row>
    <row r="4" spans="1:13" ht="14.25" x14ac:dyDescent="0.2">
      <c r="A4" s="2653" t="s">
        <v>2059</v>
      </c>
      <c r="B4" s="2653"/>
      <c r="C4" s="2653"/>
      <c r="D4" s="2653"/>
      <c r="E4" s="2653"/>
      <c r="F4" s="2653"/>
      <c r="G4" s="2653"/>
      <c r="H4" s="2653"/>
      <c r="I4" s="2653"/>
      <c r="J4" s="2653"/>
      <c r="K4" s="2653"/>
      <c r="L4" s="2653"/>
      <c r="M4" s="2653"/>
    </row>
    <row r="5" spans="1:13" ht="12.75" x14ac:dyDescent="0.2">
      <c r="A5" s="2040"/>
      <c r="B5" s="2040"/>
      <c r="C5" s="2040"/>
      <c r="D5" s="2040"/>
      <c r="E5" s="2041"/>
      <c r="F5" s="2099"/>
      <c r="G5" s="2041"/>
      <c r="H5" s="2038"/>
      <c r="I5" s="2038"/>
      <c r="J5" s="2038"/>
      <c r="K5" s="2039"/>
      <c r="L5" s="2038"/>
      <c r="M5" s="2038"/>
    </row>
    <row r="6" spans="1:13" s="2046" customFormat="1" ht="15" x14ac:dyDescent="0.2">
      <c r="A6" s="2042"/>
      <c r="B6" s="2042"/>
      <c r="C6" s="2042"/>
      <c r="D6" s="2042"/>
      <c r="E6" s="2043"/>
      <c r="F6" s="2100"/>
      <c r="G6" s="2043"/>
      <c r="H6" s="2044"/>
      <c r="I6" s="2044"/>
      <c r="J6" s="2044"/>
      <c r="K6" s="2045"/>
      <c r="L6" s="2044"/>
      <c r="M6" s="2044"/>
    </row>
    <row r="7" spans="1:13" s="2047" customFormat="1" ht="17.25" x14ac:dyDescent="0.2">
      <c r="A7" s="2043"/>
      <c r="B7" s="2044"/>
      <c r="C7" s="2045" t="s">
        <v>2060</v>
      </c>
      <c r="D7" s="2045"/>
      <c r="E7" s="2654" t="s">
        <v>524</v>
      </c>
      <c r="F7" s="2654"/>
      <c r="G7" s="2654" t="s">
        <v>2061</v>
      </c>
      <c r="H7" s="2654"/>
      <c r="I7" s="2044"/>
      <c r="J7" s="2044"/>
      <c r="K7" s="2045"/>
      <c r="L7" s="2044"/>
      <c r="M7" s="2044"/>
    </row>
    <row r="8" spans="1:13" s="2047" customFormat="1" ht="15" x14ac:dyDescent="0.2">
      <c r="A8" s="2043"/>
      <c r="B8" s="2045" t="s">
        <v>1253</v>
      </c>
      <c r="C8" s="2045" t="s">
        <v>2062</v>
      </c>
      <c r="D8" s="2045"/>
      <c r="E8" s="2045" t="s">
        <v>2063</v>
      </c>
      <c r="F8" s="2101" t="s">
        <v>2064</v>
      </c>
      <c r="G8" s="2045" t="s">
        <v>2065</v>
      </c>
      <c r="H8" s="2048" t="str">
        <f>+F8</f>
        <v>7/01/19</v>
      </c>
      <c r="I8" s="2044"/>
      <c r="J8" s="2045" t="s">
        <v>1250</v>
      </c>
      <c r="K8" s="2045"/>
      <c r="L8" s="2045" t="s">
        <v>2066</v>
      </c>
      <c r="M8" s="2043" t="s">
        <v>1159</v>
      </c>
    </row>
    <row r="9" spans="1:13" s="2046" customFormat="1" ht="15" x14ac:dyDescent="0.2">
      <c r="A9" s="2043" t="s">
        <v>2067</v>
      </c>
      <c r="B9" s="2045" t="s">
        <v>2068</v>
      </c>
      <c r="C9" s="2045" t="s">
        <v>2068</v>
      </c>
      <c r="D9" s="2045"/>
      <c r="E9" s="2049">
        <v>43646</v>
      </c>
      <c r="F9" s="2102">
        <v>44012</v>
      </c>
      <c r="G9" s="2049">
        <f>+E9</f>
        <v>43646</v>
      </c>
      <c r="H9" s="2049">
        <f>+F9</f>
        <v>44012</v>
      </c>
      <c r="I9" s="2044"/>
      <c r="J9" s="2045" t="s">
        <v>2069</v>
      </c>
      <c r="K9" s="2045"/>
      <c r="L9" s="2045" t="s">
        <v>1246</v>
      </c>
      <c r="M9" s="2045" t="s">
        <v>30</v>
      </c>
    </row>
    <row r="10" spans="1:13" s="2047" customFormat="1" ht="17.25" x14ac:dyDescent="0.2">
      <c r="A10" s="2050" t="s">
        <v>2070</v>
      </c>
      <c r="B10" s="2051" t="s">
        <v>1244</v>
      </c>
      <c r="C10" s="2051" t="s">
        <v>1243</v>
      </c>
      <c r="D10" s="2045"/>
      <c r="E10" s="2051" t="s">
        <v>1242</v>
      </c>
      <c r="F10" s="2103" t="s">
        <v>1241</v>
      </c>
      <c r="G10" s="2051" t="s">
        <v>1240</v>
      </c>
      <c r="H10" s="2051" t="s">
        <v>1239</v>
      </c>
      <c r="I10" s="2044"/>
      <c r="J10" s="2051" t="s">
        <v>1238</v>
      </c>
      <c r="K10" s="2045"/>
      <c r="L10" s="2051" t="s">
        <v>1237</v>
      </c>
      <c r="M10" s="2051" t="s">
        <v>1236</v>
      </c>
    </row>
    <row r="11" spans="1:13" s="2046" customFormat="1" ht="15" x14ac:dyDescent="0.2">
      <c r="A11" s="2044"/>
      <c r="B11" s="2052"/>
      <c r="C11" s="2052"/>
      <c r="D11" s="2045"/>
      <c r="E11" s="2052"/>
      <c r="F11" s="2104"/>
      <c r="G11" s="2052"/>
      <c r="H11" s="2052"/>
      <c r="I11" s="2044"/>
      <c r="J11" s="2052"/>
      <c r="K11" s="2045"/>
      <c r="L11" s="2052"/>
      <c r="M11" s="2052"/>
    </row>
    <row r="12" spans="1:13" s="2046" customFormat="1" ht="15" x14ac:dyDescent="0.2">
      <c r="A12" s="2053" t="s">
        <v>2071</v>
      </c>
      <c r="B12" s="2052"/>
      <c r="C12" s="2052"/>
      <c r="D12" s="2045"/>
      <c r="E12" s="2052"/>
      <c r="F12" s="2104"/>
      <c r="G12" s="2052"/>
      <c r="H12" s="2052"/>
      <c r="I12" s="2044"/>
      <c r="J12" s="2052"/>
      <c r="K12" s="2045"/>
      <c r="L12" s="2052"/>
      <c r="M12" s="2052"/>
    </row>
    <row r="13" spans="1:13" s="2046" customFormat="1" ht="15" x14ac:dyDescent="0.2">
      <c r="A13" s="2053" t="s">
        <v>2072</v>
      </c>
      <c r="B13" s="2052"/>
      <c r="C13" s="2052"/>
      <c r="D13" s="2045"/>
      <c r="E13" s="2052"/>
      <c r="F13" s="2104"/>
      <c r="G13" s="2052"/>
      <c r="H13" s="2052"/>
      <c r="I13" s="2044"/>
      <c r="J13" s="2052"/>
      <c r="K13" s="2045"/>
      <c r="L13" s="2052"/>
      <c r="M13" s="2052"/>
    </row>
    <row r="14" spans="1:13" s="2046" customFormat="1" ht="15" x14ac:dyDescent="0.2">
      <c r="A14" s="2053" t="s">
        <v>2073</v>
      </c>
      <c r="B14" s="2052"/>
      <c r="C14" s="2054"/>
      <c r="D14" s="2045"/>
      <c r="E14" s="2052"/>
      <c r="F14" s="2104"/>
      <c r="G14" s="2052"/>
      <c r="H14" s="2052"/>
      <c r="I14" s="2044"/>
      <c r="J14" s="2052"/>
      <c r="K14" s="2045"/>
      <c r="L14" s="2052"/>
      <c r="M14" s="2052"/>
    </row>
    <row r="15" spans="1:13" s="2046" customFormat="1" ht="15" x14ac:dyDescent="0.2">
      <c r="A15" s="2044"/>
      <c r="B15" s="2044"/>
      <c r="C15" s="2055"/>
      <c r="D15" s="2045"/>
      <c r="E15" s="2044"/>
      <c r="F15" s="2105"/>
      <c r="G15" s="2044"/>
      <c r="H15" s="2044"/>
      <c r="I15" s="2044"/>
      <c r="J15" s="2044"/>
      <c r="K15" s="2045"/>
      <c r="L15" s="2044"/>
      <c r="M15" s="2056"/>
    </row>
    <row r="16" spans="1:13" s="2046" customFormat="1" ht="15" x14ac:dyDescent="0.2">
      <c r="A16" s="2057" t="s">
        <v>1050</v>
      </c>
      <c r="B16" s="2058">
        <v>10.553000000000001</v>
      </c>
      <c r="C16" s="2045" t="s">
        <v>2074</v>
      </c>
      <c r="D16" s="2045"/>
      <c r="E16" s="2059">
        <v>25104</v>
      </c>
      <c r="F16" s="2098">
        <v>5247</v>
      </c>
      <c r="G16" s="2059">
        <v>25104</v>
      </c>
      <c r="H16" s="2059">
        <v>5247</v>
      </c>
      <c r="I16" s="2059"/>
      <c r="J16" s="2059"/>
      <c r="K16" s="2045"/>
      <c r="L16" s="2059">
        <f>G16+H16+J16</f>
        <v>30351</v>
      </c>
      <c r="M16" s="2060" t="s">
        <v>2075</v>
      </c>
    </row>
    <row r="17" spans="1:13" s="2046" customFormat="1" ht="17.25" x14ac:dyDescent="0.2">
      <c r="A17" s="2057" t="s">
        <v>1050</v>
      </c>
      <c r="B17" s="2058">
        <v>10.553000000000001</v>
      </c>
      <c r="C17" s="2045" t="s">
        <v>2076</v>
      </c>
      <c r="D17" s="2045"/>
      <c r="E17" s="2061" t="s">
        <v>1159</v>
      </c>
      <c r="F17" s="2097">
        <v>17498</v>
      </c>
      <c r="G17" s="2061" t="s">
        <v>1159</v>
      </c>
      <c r="H17" s="2061">
        <v>17498</v>
      </c>
      <c r="I17" s="2059"/>
      <c r="J17" s="2061" t="s">
        <v>1159</v>
      </c>
      <c r="K17" s="2045">
        <v>-3</v>
      </c>
      <c r="L17" s="2061">
        <f>G17+H17+J17</f>
        <v>17498</v>
      </c>
      <c r="M17" s="2060" t="s">
        <v>2075</v>
      </c>
    </row>
    <row r="18" spans="1:13" s="2046" customFormat="1" ht="17.25" x14ac:dyDescent="0.2">
      <c r="A18" s="2057"/>
      <c r="B18" s="2062" t="s">
        <v>2077</v>
      </c>
      <c r="C18" s="2045"/>
      <c r="D18" s="2045"/>
      <c r="E18" s="2061">
        <f>SUM(E16:E17)</f>
        <v>25104</v>
      </c>
      <c r="F18" s="2097">
        <f>SUM(F16:F17)</f>
        <v>22745</v>
      </c>
      <c r="G18" s="2061">
        <f>SUM(G16:G17)</f>
        <v>25104</v>
      </c>
      <c r="H18" s="2097">
        <f>SUM(H16:H17)</f>
        <v>22745</v>
      </c>
      <c r="I18" s="2059"/>
      <c r="J18" s="2061">
        <f>SUM(J16:J17)</f>
        <v>0</v>
      </c>
      <c r="K18" s="2045"/>
      <c r="L18" s="2061">
        <f>SUM(L16:L17)</f>
        <v>47849</v>
      </c>
      <c r="M18" s="2060"/>
    </row>
    <row r="19" spans="1:13" s="2046" customFormat="1" ht="15" x14ac:dyDescent="0.2">
      <c r="A19" s="2057"/>
      <c r="B19" s="2058"/>
      <c r="C19" s="2045"/>
      <c r="D19" s="2045"/>
      <c r="E19" s="2059"/>
      <c r="F19" s="2098"/>
      <c r="G19" s="2059"/>
      <c r="H19" s="2059"/>
      <c r="I19" s="2059"/>
      <c r="J19" s="2059"/>
      <c r="K19" s="2063"/>
      <c r="L19" s="2059"/>
      <c r="M19" s="2060"/>
    </row>
    <row r="20" spans="1:13" s="2046" customFormat="1" ht="15" x14ac:dyDescent="0.2">
      <c r="A20" s="2057" t="s">
        <v>1049</v>
      </c>
      <c r="B20" s="2058">
        <v>10.555</v>
      </c>
      <c r="C20" s="2045" t="s">
        <v>2078</v>
      </c>
      <c r="D20" s="2045"/>
      <c r="E20" s="2059">
        <v>143857</v>
      </c>
      <c r="F20" s="2098">
        <v>34639</v>
      </c>
      <c r="G20" s="2059">
        <v>143857</v>
      </c>
      <c r="H20" s="2098">
        <v>34639</v>
      </c>
      <c r="I20" s="2059"/>
      <c r="J20" s="2059"/>
      <c r="K20" s="2045"/>
      <c r="L20" s="2059">
        <f>G20+H20+J20</f>
        <v>178496</v>
      </c>
      <c r="M20" s="2060" t="s">
        <v>2075</v>
      </c>
    </row>
    <row r="21" spans="1:13" s="2046" customFormat="1" ht="15" x14ac:dyDescent="0.2">
      <c r="A21" s="2057" t="s">
        <v>1049</v>
      </c>
      <c r="B21" s="2058">
        <v>10.555</v>
      </c>
      <c r="C21" s="2045" t="s">
        <v>2079</v>
      </c>
      <c r="D21" s="2045"/>
      <c r="E21" s="2059"/>
      <c r="F21" s="2098">
        <v>108949</v>
      </c>
      <c r="G21" s="2059"/>
      <c r="H21" s="2098">
        <v>108949</v>
      </c>
      <c r="I21" s="2059"/>
      <c r="J21" s="2059"/>
      <c r="K21" s="2045">
        <v>-3</v>
      </c>
      <c r="L21" s="2059">
        <f>G21+H21+J21</f>
        <v>108949</v>
      </c>
      <c r="M21" s="2060" t="s">
        <v>2075</v>
      </c>
    </row>
    <row r="22" spans="1:13" s="2046" customFormat="1" x14ac:dyDescent="0.2">
      <c r="F22" s="2106"/>
    </row>
    <row r="23" spans="1:13" s="2046" customFormat="1" ht="15" hidden="1" x14ac:dyDescent="0.2">
      <c r="A23" s="2043" t="s">
        <v>2080</v>
      </c>
      <c r="B23" s="2058">
        <v>10.55</v>
      </c>
      <c r="C23" s="2045" t="s">
        <v>2081</v>
      </c>
      <c r="D23" s="2045"/>
      <c r="E23" s="2059"/>
      <c r="F23" s="2107"/>
      <c r="G23" s="2059"/>
      <c r="H23" s="2059"/>
      <c r="I23" s="2059"/>
      <c r="J23" s="2059"/>
      <c r="K23" s="2045"/>
      <c r="L23" s="2059">
        <f>G23+H23+J23</f>
        <v>0</v>
      </c>
      <c r="M23" s="2060" t="s">
        <v>2075</v>
      </c>
    </row>
    <row r="24" spans="1:13" s="2046" customFormat="1" ht="15" hidden="1" x14ac:dyDescent="0.2">
      <c r="A24" s="2043" t="s">
        <v>2080</v>
      </c>
      <c r="B24" s="2058">
        <v>10.55</v>
      </c>
      <c r="C24" s="2045" t="s">
        <v>2081</v>
      </c>
      <c r="D24" s="2045"/>
      <c r="E24" s="2064"/>
      <c r="F24" s="2107"/>
      <c r="G24" s="2059"/>
      <c r="H24" s="2059"/>
      <c r="I24" s="2059"/>
      <c r="J24" s="2059"/>
      <c r="K24" s="2045"/>
      <c r="L24" s="2059">
        <f>G24+H24+J24</f>
        <v>0</v>
      </c>
      <c r="M24" s="2060"/>
    </row>
    <row r="25" spans="1:13" s="2046" customFormat="1" ht="15" hidden="1" x14ac:dyDescent="0.2">
      <c r="A25" s="2043"/>
      <c r="B25" s="2058"/>
      <c r="C25" s="2045"/>
      <c r="D25" s="2045"/>
      <c r="E25" s="2059"/>
      <c r="F25" s="2098"/>
      <c r="G25" s="2059"/>
      <c r="H25" s="2059"/>
      <c r="I25" s="2059"/>
      <c r="J25" s="2059"/>
      <c r="K25" s="2063"/>
      <c r="L25" s="2059"/>
      <c r="M25" s="2060"/>
    </row>
    <row r="26" spans="1:13" s="2046" customFormat="1" ht="15" x14ac:dyDescent="0.2">
      <c r="A26" s="2043" t="s">
        <v>2082</v>
      </c>
      <c r="B26" s="2058"/>
      <c r="C26" s="2045"/>
      <c r="D26" s="2045"/>
      <c r="E26" s="2059"/>
      <c r="F26" s="2098"/>
      <c r="G26" s="2059"/>
      <c r="H26" s="2059"/>
      <c r="I26" s="2059"/>
      <c r="J26" s="2059"/>
      <c r="K26" s="2063"/>
      <c r="L26" s="2059"/>
      <c r="M26" s="2060"/>
    </row>
    <row r="27" spans="1:13" s="2046" customFormat="1" ht="15" x14ac:dyDescent="0.2">
      <c r="A27" s="2057" t="s">
        <v>2083</v>
      </c>
      <c r="B27" s="2058">
        <v>10.555</v>
      </c>
      <c r="C27" s="2045" t="s">
        <v>2084</v>
      </c>
      <c r="D27" s="2045"/>
      <c r="E27" s="2059"/>
      <c r="F27" s="2098"/>
      <c r="G27" s="2059">
        <v>6498</v>
      </c>
      <c r="H27" s="2059"/>
      <c r="I27" s="2059"/>
      <c r="J27" s="2059"/>
      <c r="K27" s="2063"/>
      <c r="L27" s="2059">
        <f>G27+H27+J27</f>
        <v>6498</v>
      </c>
      <c r="M27" s="2060" t="s">
        <v>2075</v>
      </c>
    </row>
    <row r="28" spans="1:13" s="2046" customFormat="1" ht="15" x14ac:dyDescent="0.2">
      <c r="A28" s="2057" t="s">
        <v>2083</v>
      </c>
      <c r="B28" s="2058">
        <v>10.555</v>
      </c>
      <c r="C28" s="2045" t="s">
        <v>2085</v>
      </c>
      <c r="D28" s="2045"/>
      <c r="E28" s="2059"/>
      <c r="F28" s="2098"/>
      <c r="G28" s="2059"/>
      <c r="H28" s="2059">
        <v>10536</v>
      </c>
      <c r="I28" s="2059"/>
      <c r="J28" s="2059"/>
      <c r="K28" s="2063"/>
      <c r="L28" s="2059">
        <f>G28+H28+J28</f>
        <v>10536</v>
      </c>
      <c r="M28" s="2060" t="s">
        <v>2075</v>
      </c>
    </row>
    <row r="29" spans="1:13" s="2046" customFormat="1" ht="15" x14ac:dyDescent="0.2">
      <c r="A29" s="2057"/>
      <c r="B29" s="2058"/>
      <c r="C29" s="2045"/>
      <c r="D29" s="2045"/>
      <c r="E29" s="2059"/>
      <c r="F29" s="2098"/>
      <c r="G29" s="2059"/>
      <c r="H29" s="2059"/>
      <c r="I29" s="2059"/>
      <c r="J29" s="2059"/>
      <c r="K29" s="2063"/>
      <c r="L29" s="2059"/>
      <c r="M29" s="2060"/>
    </row>
    <row r="30" spans="1:13" s="2046" customFormat="1" ht="15" x14ac:dyDescent="0.2">
      <c r="A30" s="2057" t="s">
        <v>2086</v>
      </c>
      <c r="B30" s="2058">
        <v>10.555</v>
      </c>
      <c r="C30" s="2045" t="s">
        <v>2084</v>
      </c>
      <c r="D30" s="2045"/>
      <c r="E30" s="2059"/>
      <c r="F30" s="2098"/>
      <c r="G30" s="2059">
        <v>43130</v>
      </c>
      <c r="H30" s="2059"/>
      <c r="I30" s="2059"/>
      <c r="J30" s="2059"/>
      <c r="K30" s="2063"/>
      <c r="L30" s="2059">
        <f>G30+H30+J30</f>
        <v>43130</v>
      </c>
      <c r="M30" s="2060" t="s">
        <v>2075</v>
      </c>
    </row>
    <row r="31" spans="1:13" s="2047" customFormat="1" ht="17.25" x14ac:dyDescent="0.2">
      <c r="A31" s="2057" t="s">
        <v>2086</v>
      </c>
      <c r="B31" s="2058">
        <v>10.555</v>
      </c>
      <c r="C31" s="2045" t="s">
        <v>2085</v>
      </c>
      <c r="D31" s="2045"/>
      <c r="E31" s="2061">
        <v>0</v>
      </c>
      <c r="F31" s="2097">
        <v>0</v>
      </c>
      <c r="G31" s="2061">
        <v>0</v>
      </c>
      <c r="H31" s="2061">
        <v>41724</v>
      </c>
      <c r="I31" s="2061"/>
      <c r="J31" s="2061">
        <v>0</v>
      </c>
      <c r="K31" s="2061"/>
      <c r="L31" s="2061">
        <f>G31+H31+J31</f>
        <v>41724</v>
      </c>
      <c r="M31" s="2060" t="s">
        <v>2075</v>
      </c>
    </row>
    <row r="32" spans="1:13" s="2047" customFormat="1" ht="17.25" x14ac:dyDescent="0.2">
      <c r="A32" s="2043"/>
      <c r="B32" s="2062" t="s">
        <v>2077</v>
      </c>
      <c r="C32" s="2045"/>
      <c r="D32" s="2045"/>
      <c r="E32" s="2061">
        <f>SUM(E20:E31)</f>
        <v>143857</v>
      </c>
      <c r="F32" s="2097">
        <f t="shared" ref="F32:L32" si="0">SUM(F20:F31)</f>
        <v>143588</v>
      </c>
      <c r="G32" s="2061">
        <f t="shared" si="0"/>
        <v>193485</v>
      </c>
      <c r="H32" s="2061">
        <f t="shared" si="0"/>
        <v>195848</v>
      </c>
      <c r="I32" s="2061">
        <f t="shared" si="0"/>
        <v>0</v>
      </c>
      <c r="J32" s="2061">
        <f t="shared" si="0"/>
        <v>0</v>
      </c>
      <c r="K32" s="2061"/>
      <c r="L32" s="2061">
        <f t="shared" si="0"/>
        <v>389333</v>
      </c>
      <c r="M32" s="2060"/>
    </row>
    <row r="33" spans="1:13" s="2047" customFormat="1" ht="17.25" x14ac:dyDescent="0.2">
      <c r="A33" s="2043"/>
      <c r="B33" s="2062"/>
      <c r="C33" s="2045"/>
      <c r="D33" s="2045"/>
      <c r="E33" s="2061"/>
      <c r="F33" s="2097"/>
      <c r="G33" s="2061"/>
      <c r="H33" s="2061"/>
      <c r="I33" s="2061"/>
      <c r="J33" s="2061"/>
      <c r="K33" s="2061"/>
      <c r="L33" s="2061"/>
      <c r="M33" s="2060"/>
    </row>
    <row r="34" spans="1:13" s="2047" customFormat="1" ht="17.25" x14ac:dyDescent="0.2">
      <c r="A34" s="2043" t="s">
        <v>1434</v>
      </c>
      <c r="B34" s="2058">
        <v>10.558999999999999</v>
      </c>
      <c r="C34" s="2045" t="s">
        <v>2087</v>
      </c>
      <c r="E34" s="2061" t="s">
        <v>1159</v>
      </c>
      <c r="F34" s="2097">
        <v>17134</v>
      </c>
      <c r="G34" s="2061" t="s">
        <v>1159</v>
      </c>
      <c r="H34" s="2061">
        <v>17134</v>
      </c>
      <c r="I34" s="2061"/>
      <c r="J34" s="2061" t="s">
        <v>1159</v>
      </c>
      <c r="K34" s="2059">
        <v>-3</v>
      </c>
      <c r="L34" s="2061">
        <f>G34+H34+J34</f>
        <v>17134</v>
      </c>
      <c r="M34" s="2060" t="s">
        <v>2075</v>
      </c>
    </row>
    <row r="35" spans="1:13" s="2047" customFormat="1" ht="17.25" x14ac:dyDescent="0.2">
      <c r="A35" s="2043"/>
      <c r="B35" s="2058"/>
      <c r="C35" s="2045"/>
      <c r="D35" s="2045"/>
      <c r="E35" s="2061"/>
      <c r="F35" s="2097"/>
      <c r="G35" s="2061"/>
      <c r="H35" s="2061"/>
      <c r="I35" s="2061"/>
      <c r="J35" s="2061"/>
      <c r="K35" s="2061"/>
      <c r="L35" s="2061"/>
      <c r="M35" s="2060"/>
    </row>
    <row r="36" spans="1:13" s="2047" customFormat="1" ht="17.25" x14ac:dyDescent="0.2">
      <c r="A36" s="2053" t="s">
        <v>2088</v>
      </c>
      <c r="B36" s="2058"/>
      <c r="C36" s="2045"/>
      <c r="D36" s="2045"/>
      <c r="E36" s="2061">
        <f>SUM(E18,E32,E34)</f>
        <v>168961</v>
      </c>
      <c r="F36" s="2097">
        <f>SUM(F18,F32,F34)</f>
        <v>183467</v>
      </c>
      <c r="G36" s="2061">
        <f>SUM(G18,G32,G34)</f>
        <v>218589</v>
      </c>
      <c r="H36" s="2061">
        <f>SUM(H18,H32,H34)</f>
        <v>235727</v>
      </c>
      <c r="I36" s="2061"/>
      <c r="J36" s="2061">
        <f>SUM(J18,J32,J34)</f>
        <v>0</v>
      </c>
      <c r="K36" s="2061"/>
      <c r="L36" s="2061">
        <f>SUM(L18,L32,L34)</f>
        <v>454316</v>
      </c>
      <c r="M36" s="2060"/>
    </row>
    <row r="37" spans="1:13" s="2046" customFormat="1" ht="15" x14ac:dyDescent="0.2">
      <c r="A37" s="2043"/>
      <c r="B37" s="2058"/>
      <c r="C37" s="2045"/>
      <c r="D37" s="2045"/>
      <c r="E37" s="2059"/>
      <c r="F37" s="2098"/>
      <c r="G37" s="2059"/>
      <c r="H37" s="2059"/>
      <c r="I37" s="2059"/>
      <c r="J37" s="2059"/>
      <c r="K37" s="2063"/>
      <c r="L37" s="2059"/>
      <c r="M37" s="2060"/>
    </row>
    <row r="38" spans="1:13" s="2046" customFormat="1" ht="15" x14ac:dyDescent="0.2">
      <c r="A38" s="2053" t="s">
        <v>2089</v>
      </c>
      <c r="B38" s="2058"/>
      <c r="C38" s="2045"/>
      <c r="D38" s="2045"/>
      <c r="E38" s="2059"/>
      <c r="F38" s="2098"/>
      <c r="G38" s="2059"/>
      <c r="H38" s="2059"/>
      <c r="I38" s="2059"/>
      <c r="J38" s="2059"/>
      <c r="K38" s="2063"/>
      <c r="L38" s="2059"/>
      <c r="M38" s="2060"/>
    </row>
    <row r="39" spans="1:13" s="2046" customFormat="1" ht="15" x14ac:dyDescent="0.2">
      <c r="A39" s="2053" t="s">
        <v>2072</v>
      </c>
      <c r="B39" s="2058"/>
      <c r="C39" s="2045"/>
      <c r="D39" s="2045"/>
      <c r="E39" s="2059"/>
      <c r="F39" s="2098"/>
      <c r="G39" s="2059"/>
      <c r="H39" s="2059"/>
      <c r="I39" s="2059"/>
      <c r="J39" s="2059"/>
      <c r="K39" s="2063"/>
      <c r="L39" s="2059"/>
      <c r="M39" s="2060"/>
    </row>
    <row r="40" spans="1:13" s="2046" customFormat="1" ht="15" x14ac:dyDescent="0.2">
      <c r="A40" s="2053" t="s">
        <v>2073</v>
      </c>
      <c r="B40" s="2058"/>
      <c r="C40" s="2045"/>
      <c r="D40" s="2045"/>
      <c r="E40" s="2059"/>
      <c r="F40" s="2098"/>
      <c r="G40" s="2059"/>
      <c r="H40" s="2059"/>
      <c r="I40" s="2059"/>
      <c r="J40" s="2059"/>
      <c r="K40" s="2063"/>
      <c r="L40" s="2059"/>
      <c r="M40" s="2060"/>
    </row>
    <row r="41" spans="1:13" s="2046" customFormat="1" ht="15" x14ac:dyDescent="0.2">
      <c r="A41" s="2043"/>
      <c r="B41" s="2058"/>
      <c r="C41" s="2045"/>
      <c r="D41" s="2045"/>
      <c r="E41" s="2059"/>
      <c r="F41" s="2098"/>
      <c r="G41" s="2059"/>
      <c r="H41" s="2059"/>
      <c r="I41" s="2059"/>
      <c r="J41" s="2059"/>
      <c r="K41" s="2063"/>
      <c r="L41" s="2059"/>
      <c r="M41" s="2060"/>
    </row>
    <row r="42" spans="1:13" s="2046" customFormat="1" ht="15" x14ac:dyDescent="0.2">
      <c r="A42" s="2065" t="s">
        <v>912</v>
      </c>
      <c r="B42" s="2058" t="s">
        <v>2090</v>
      </c>
      <c r="C42" s="2045" t="s">
        <v>2091</v>
      </c>
      <c r="D42" s="2066"/>
      <c r="E42" s="2059">
        <v>71681</v>
      </c>
      <c r="F42" s="2098">
        <f>140418-71681</f>
        <v>68737</v>
      </c>
      <c r="G42" s="2059">
        <v>116200</v>
      </c>
      <c r="H42" s="2059">
        <f>140418-116200</f>
        <v>24218</v>
      </c>
      <c r="I42" s="2059"/>
      <c r="J42" s="2059"/>
      <c r="K42" s="2063"/>
      <c r="L42" s="2059">
        <f>J42+H42+G42</f>
        <v>140418</v>
      </c>
      <c r="M42" s="2059">
        <v>143656</v>
      </c>
    </row>
    <row r="43" spans="1:13" s="2046" customFormat="1" ht="15" x14ac:dyDescent="0.2">
      <c r="A43" s="2065" t="s">
        <v>912</v>
      </c>
      <c r="B43" s="2058" t="s">
        <v>2090</v>
      </c>
      <c r="C43" s="2045" t="s">
        <v>2092</v>
      </c>
      <c r="D43" s="2056"/>
      <c r="E43" s="2059"/>
      <c r="F43" s="2098">
        <v>80078</v>
      </c>
      <c r="G43" s="2059"/>
      <c r="H43" s="2059">
        <v>116038</v>
      </c>
      <c r="I43" s="2059"/>
      <c r="J43" s="2059">
        <v>24461</v>
      </c>
      <c r="K43" s="2063"/>
      <c r="L43" s="2059">
        <f>J43+H43+G43</f>
        <v>140499</v>
      </c>
      <c r="M43" s="2059">
        <v>140499</v>
      </c>
    </row>
    <row r="44" spans="1:13" s="2046" customFormat="1" ht="15" x14ac:dyDescent="0.2">
      <c r="A44" s="2065"/>
      <c r="B44" s="2058"/>
      <c r="C44" s="2045"/>
      <c r="D44" s="2056"/>
      <c r="E44" s="2059"/>
      <c r="F44" s="2098"/>
      <c r="G44" s="2059"/>
      <c r="H44" s="2059"/>
      <c r="I44" s="2059"/>
      <c r="J44" s="2059"/>
      <c r="K44" s="2063"/>
      <c r="L44" s="2059"/>
      <c r="M44" s="2059"/>
    </row>
    <row r="45" spans="1:13" s="2046" customFormat="1" ht="15" hidden="1" x14ac:dyDescent="0.2">
      <c r="A45" s="2043"/>
      <c r="B45" s="2058"/>
      <c r="C45" s="2045"/>
      <c r="D45" s="2056"/>
      <c r="E45" s="2059"/>
      <c r="F45" s="2098"/>
      <c r="G45" s="2059"/>
      <c r="H45" s="2059"/>
      <c r="I45" s="2059"/>
      <c r="J45" s="2059"/>
      <c r="K45" s="2063"/>
      <c r="L45" s="2059">
        <f>J45+H45+G45</f>
        <v>0</v>
      </c>
      <c r="M45" s="2060"/>
    </row>
    <row r="46" spans="1:13" s="2046" customFormat="1" ht="15" hidden="1" x14ac:dyDescent="0.2">
      <c r="A46" s="2043" t="s">
        <v>2093</v>
      </c>
      <c r="B46" s="2058">
        <v>84.027000000000001</v>
      </c>
      <c r="C46" s="2045" t="s">
        <v>2094</v>
      </c>
      <c r="D46" s="2056"/>
      <c r="E46" s="2059"/>
      <c r="F46" s="2098"/>
      <c r="G46" s="2059"/>
      <c r="H46" s="2059"/>
      <c r="I46" s="2059"/>
      <c r="J46" s="2059"/>
      <c r="K46" s="2063"/>
      <c r="L46" s="2059">
        <f>J46+H46+G46</f>
        <v>0</v>
      </c>
      <c r="M46" s="2060" t="s">
        <v>2075</v>
      </c>
    </row>
    <row r="47" spans="1:13" s="2046" customFormat="1" ht="15" hidden="1" x14ac:dyDescent="0.2">
      <c r="A47" s="2043"/>
      <c r="B47" s="2058"/>
      <c r="C47" s="2045"/>
      <c r="D47" s="2056"/>
      <c r="E47" s="2059"/>
      <c r="F47" s="2098"/>
      <c r="G47" s="2059"/>
      <c r="H47" s="2059"/>
      <c r="I47" s="2059"/>
      <c r="J47" s="2059"/>
      <c r="K47" s="2063"/>
      <c r="L47" s="2059"/>
      <c r="M47" s="2060"/>
    </row>
    <row r="48" spans="1:13" s="2046" customFormat="1" ht="15" hidden="1" x14ac:dyDescent="0.2">
      <c r="A48" s="2043" t="s">
        <v>2095</v>
      </c>
      <c r="B48" s="2058">
        <v>84.027000000000001</v>
      </c>
      <c r="C48" s="2067" t="s">
        <v>2096</v>
      </c>
      <c r="D48" s="2056"/>
      <c r="E48" s="2059"/>
      <c r="F48" s="2098"/>
      <c r="G48" s="2059"/>
      <c r="H48" s="2059"/>
      <c r="I48" s="2059"/>
      <c r="J48" s="2059"/>
      <c r="K48" s="2063"/>
      <c r="L48" s="2059">
        <f>J48+H48+G48</f>
        <v>0</v>
      </c>
      <c r="M48" s="2060" t="s">
        <v>2075</v>
      </c>
    </row>
    <row r="49" spans="1:13" s="2046" customFormat="1" ht="15" hidden="1" x14ac:dyDescent="0.2">
      <c r="A49" s="2043"/>
      <c r="B49" s="2058"/>
      <c r="C49" s="2045"/>
      <c r="D49" s="2056"/>
      <c r="E49" s="2059"/>
      <c r="F49" s="2098"/>
      <c r="G49" s="2059"/>
      <c r="H49" s="2059"/>
      <c r="I49" s="2059"/>
      <c r="J49" s="2059"/>
      <c r="K49" s="2063"/>
      <c r="L49" s="2059"/>
      <c r="M49" s="2060"/>
    </row>
    <row r="50" spans="1:13" s="2046" customFormat="1" ht="15" x14ac:dyDescent="0.2">
      <c r="A50" s="2065" t="s">
        <v>753</v>
      </c>
      <c r="B50" s="2058">
        <v>84.367000000000004</v>
      </c>
      <c r="C50" s="2045" t="s">
        <v>2097</v>
      </c>
      <c r="D50" s="2066"/>
      <c r="E50" s="2059">
        <v>23407</v>
      </c>
      <c r="F50" s="2098">
        <f>42068-23407</f>
        <v>18661</v>
      </c>
      <c r="G50" s="2063">
        <v>34604</v>
      </c>
      <c r="H50" s="2063">
        <f>42068-34604</f>
        <v>7464</v>
      </c>
      <c r="I50" s="2063"/>
      <c r="J50" s="2059"/>
      <c r="K50" s="2063"/>
      <c r="L50" s="2059">
        <f>J50+H50+G50</f>
        <v>42068</v>
      </c>
      <c r="M50" s="2059">
        <v>42069</v>
      </c>
    </row>
    <row r="51" spans="1:13" s="2046" customFormat="1" ht="15" x14ac:dyDescent="0.2">
      <c r="A51" s="2065" t="s">
        <v>753</v>
      </c>
      <c r="B51" s="2058">
        <v>84.367000000000004</v>
      </c>
      <c r="C51" s="2045" t="s">
        <v>2098</v>
      </c>
      <c r="D51" s="2056"/>
      <c r="E51" s="2059"/>
      <c r="F51" s="2098">
        <v>24179</v>
      </c>
      <c r="G51" s="2059"/>
      <c r="H51" s="2063">
        <v>34541</v>
      </c>
      <c r="I51" s="2063"/>
      <c r="J51" s="2063">
        <v>8059</v>
      </c>
      <c r="K51" s="2063"/>
      <c r="L51" s="2059">
        <f>J51+H51+G51</f>
        <v>42600</v>
      </c>
      <c r="M51" s="2059">
        <v>42600</v>
      </c>
    </row>
    <row r="52" spans="1:13" s="2046" customFormat="1" ht="15" x14ac:dyDescent="0.2">
      <c r="A52" s="2065"/>
      <c r="B52" s="2058"/>
      <c r="C52" s="2045"/>
      <c r="D52" s="2056"/>
      <c r="E52" s="2059"/>
      <c r="F52" s="2098"/>
      <c r="G52" s="2059"/>
      <c r="H52" s="2063"/>
      <c r="I52" s="2063"/>
      <c r="J52" s="2063"/>
      <c r="K52" s="2063"/>
      <c r="L52" s="2059"/>
      <c r="M52" s="2059"/>
    </row>
    <row r="53" spans="1:13" s="2046" customFormat="1" ht="15" x14ac:dyDescent="0.2">
      <c r="A53" s="2043" t="s">
        <v>2099</v>
      </c>
      <c r="B53" s="2058">
        <v>84.027000000000001</v>
      </c>
      <c r="C53" s="2045" t="s">
        <v>2100</v>
      </c>
      <c r="D53" s="2056"/>
      <c r="E53" s="2059"/>
      <c r="F53" s="2098">
        <v>256240</v>
      </c>
      <c r="G53" s="2059"/>
      <c r="H53" s="2063">
        <v>332295</v>
      </c>
      <c r="I53" s="2063"/>
      <c r="J53" s="2063">
        <v>12314</v>
      </c>
      <c r="K53" s="2063"/>
      <c r="L53" s="2059">
        <f>J53+H53+G53</f>
        <v>344609</v>
      </c>
      <c r="M53" s="2059">
        <v>344609</v>
      </c>
    </row>
    <row r="54" spans="1:13" s="2046" customFormat="1" ht="15" x14ac:dyDescent="0.2">
      <c r="A54" s="2065"/>
      <c r="B54" s="2058"/>
      <c r="C54" s="2045"/>
      <c r="D54" s="2056"/>
      <c r="E54" s="2059"/>
      <c r="F54" s="2098"/>
      <c r="G54" s="2059"/>
      <c r="H54" s="2063"/>
      <c r="I54" s="2063"/>
      <c r="J54" s="2063"/>
      <c r="K54" s="2063"/>
      <c r="L54" s="2059"/>
      <c r="M54" s="2059"/>
    </row>
    <row r="55" spans="1:13" s="2046" customFormat="1" ht="15" x14ac:dyDescent="0.2">
      <c r="A55" s="2065"/>
      <c r="B55" s="2058"/>
      <c r="C55" s="2045"/>
      <c r="D55" s="2056"/>
      <c r="E55" s="2059"/>
      <c r="F55" s="2098"/>
      <c r="G55" s="2059"/>
      <c r="H55" s="2063"/>
      <c r="I55" s="2063"/>
      <c r="J55" s="2063"/>
      <c r="K55" s="2063"/>
      <c r="L55" s="2059"/>
      <c r="M55" s="2059"/>
    </row>
    <row r="56" spans="1:13" s="2046" customFormat="1" ht="15" x14ac:dyDescent="0.2">
      <c r="A56" s="2043" t="s">
        <v>2101</v>
      </c>
      <c r="B56" s="2058">
        <v>84.173000000000002</v>
      </c>
      <c r="C56" s="2045" t="s">
        <v>2102</v>
      </c>
      <c r="D56" s="2056"/>
      <c r="E56" s="2059"/>
      <c r="F56" s="2098">
        <v>21559</v>
      </c>
      <c r="G56" s="2059"/>
      <c r="H56" s="2063">
        <v>27199</v>
      </c>
      <c r="I56" s="2063"/>
      <c r="J56" s="2063">
        <v>655</v>
      </c>
      <c r="K56" s="2063"/>
      <c r="L56" s="2059">
        <f>J56+H56+G56</f>
        <v>27854</v>
      </c>
      <c r="M56" s="2059">
        <v>27854</v>
      </c>
    </row>
    <row r="57" spans="1:13" s="2046" customFormat="1" ht="15" x14ac:dyDescent="0.2">
      <c r="A57" s="2065"/>
      <c r="B57" s="2058"/>
      <c r="C57" s="2045"/>
      <c r="D57" s="2056"/>
      <c r="E57" s="2059"/>
      <c r="F57" s="2098"/>
      <c r="G57" s="2059"/>
      <c r="H57" s="2059"/>
      <c r="I57" s="2059"/>
      <c r="J57" s="2059"/>
      <c r="K57" s="2063"/>
      <c r="L57" s="2059"/>
      <c r="M57" s="2059"/>
    </row>
    <row r="58" spans="1:13" s="2046" customFormat="1" ht="17.25" x14ac:dyDescent="0.2">
      <c r="A58" s="2065" t="s">
        <v>2148</v>
      </c>
      <c r="B58" s="2058" t="s">
        <v>2103</v>
      </c>
      <c r="C58" s="2045" t="s">
        <v>2104</v>
      </c>
      <c r="D58" s="2068"/>
      <c r="E58" s="2069">
        <v>0</v>
      </c>
      <c r="F58" s="2108">
        <v>0</v>
      </c>
      <c r="G58" s="2069">
        <v>0</v>
      </c>
      <c r="H58" s="2069">
        <v>0</v>
      </c>
      <c r="I58" s="2069">
        <v>0</v>
      </c>
      <c r="J58" s="2061">
        <v>0</v>
      </c>
      <c r="K58" s="2059">
        <v>-3</v>
      </c>
      <c r="L58" s="2061">
        <f>J58+H58+G58</f>
        <v>0</v>
      </c>
      <c r="M58" s="2059">
        <v>114398</v>
      </c>
    </row>
    <row r="59" spans="1:13" s="2046" customFormat="1" ht="15" x14ac:dyDescent="0.2">
      <c r="A59" s="2065"/>
      <c r="B59" s="2058"/>
      <c r="C59" s="2045"/>
      <c r="D59" s="2056"/>
      <c r="E59" s="2059" t="s">
        <v>1159</v>
      </c>
      <c r="F59" s="2098" t="s">
        <v>1159</v>
      </c>
      <c r="G59" s="2059"/>
      <c r="H59" s="2059" t="s">
        <v>1159</v>
      </c>
      <c r="I59" s="2059"/>
      <c r="J59" s="2059"/>
      <c r="K59" s="2063"/>
      <c r="L59" s="2069"/>
      <c r="M59" s="2059"/>
    </row>
    <row r="60" spans="1:13" s="2047" customFormat="1" ht="17.25" x14ac:dyDescent="0.2">
      <c r="A60" s="2070" t="s">
        <v>2105</v>
      </c>
      <c r="B60" s="2071"/>
      <c r="C60" s="2044"/>
      <c r="D60" s="2045"/>
      <c r="E60" s="2061">
        <f>SUM(E41:E59)</f>
        <v>95088</v>
      </c>
      <c r="F60" s="2097">
        <f>SUM(F41:F59)</f>
        <v>469454</v>
      </c>
      <c r="G60" s="2061">
        <f>SUM(G41:G59)</f>
        <v>150804</v>
      </c>
      <c r="H60" s="2061">
        <f>SUM(H41:H59)</f>
        <v>541755</v>
      </c>
      <c r="I60" s="2061"/>
      <c r="J60" s="2061">
        <f>SUM(J41:J59)</f>
        <v>45489</v>
      </c>
      <c r="K60" s="2061"/>
      <c r="L60" s="2061">
        <f>SUM(L41:L59)</f>
        <v>738048</v>
      </c>
      <c r="M60" s="2072"/>
    </row>
    <row r="61" spans="1:13" s="2046" customFormat="1" ht="15" x14ac:dyDescent="0.2">
      <c r="A61" s="2044"/>
      <c r="B61" s="2058"/>
      <c r="C61" s="2048"/>
      <c r="D61" s="2045"/>
      <c r="E61" s="2059"/>
      <c r="F61" s="2098"/>
      <c r="G61" s="2059"/>
      <c r="H61" s="2059"/>
      <c r="I61" s="2059"/>
      <c r="J61" s="2059"/>
      <c r="K61" s="2063"/>
      <c r="L61" s="2059"/>
      <c r="M61" s="2059"/>
    </row>
    <row r="62" spans="1:13" s="2046" customFormat="1" ht="15" x14ac:dyDescent="0.2">
      <c r="A62" s="2053" t="s">
        <v>2089</v>
      </c>
      <c r="B62" s="2058"/>
      <c r="C62" s="2048"/>
      <c r="D62" s="2045"/>
      <c r="E62" s="2059"/>
      <c r="F62" s="2098"/>
      <c r="G62" s="2059"/>
      <c r="H62" s="2059"/>
      <c r="I62" s="2059"/>
      <c r="J62" s="2059"/>
      <c r="K62" s="2063"/>
      <c r="L62" s="2059"/>
      <c r="M62" s="2059"/>
    </row>
    <row r="63" spans="1:13" s="2046" customFormat="1" ht="15" x14ac:dyDescent="0.2">
      <c r="A63" s="2053" t="s">
        <v>2072</v>
      </c>
      <c r="B63" s="2058"/>
      <c r="C63" s="2048"/>
      <c r="D63" s="2045"/>
      <c r="E63" s="2059"/>
      <c r="F63" s="2098"/>
      <c r="G63" s="2059"/>
      <c r="H63" s="2059"/>
      <c r="I63" s="2059"/>
      <c r="J63" s="2059"/>
      <c r="K63" s="2063"/>
      <c r="L63" s="2059"/>
      <c r="M63" s="2059"/>
    </row>
    <row r="64" spans="1:13" s="2046" customFormat="1" ht="15" x14ac:dyDescent="0.2">
      <c r="A64" s="2053" t="s">
        <v>2106</v>
      </c>
      <c r="B64" s="2058"/>
      <c r="C64" s="2048"/>
      <c r="D64" s="2045"/>
      <c r="E64" s="2059" t="s">
        <v>1159</v>
      </c>
      <c r="F64" s="2098" t="s">
        <v>1159</v>
      </c>
      <c r="G64" s="2059"/>
      <c r="H64" s="2059"/>
      <c r="I64" s="2059"/>
      <c r="J64" s="2059"/>
      <c r="K64" s="2063"/>
      <c r="L64" s="2059"/>
      <c r="M64" s="2059"/>
    </row>
    <row r="65" spans="1:13" s="2046" customFormat="1" ht="9.75" customHeight="1" x14ac:dyDescent="0.2">
      <c r="A65" s="2044"/>
      <c r="B65" s="2058"/>
      <c r="C65" s="2048"/>
      <c r="D65" s="2045"/>
      <c r="E65" s="2059"/>
      <c r="F65" s="2098"/>
      <c r="G65" s="2059"/>
      <c r="H65" s="2059"/>
      <c r="I65" s="2059"/>
      <c r="J65" s="2059"/>
      <c r="K65" s="2063"/>
      <c r="L65" s="2059"/>
      <c r="M65" s="2059"/>
    </row>
    <row r="66" spans="1:13" s="2046" customFormat="1" ht="15" x14ac:dyDescent="0.2">
      <c r="A66" s="2043" t="s">
        <v>2099</v>
      </c>
      <c r="B66" s="2058">
        <v>84.027000000000001</v>
      </c>
      <c r="C66" s="2045" t="s">
        <v>2107</v>
      </c>
      <c r="D66" s="2045"/>
      <c r="E66" s="2059">
        <v>221523</v>
      </c>
      <c r="F66" s="2098">
        <v>102433</v>
      </c>
      <c r="G66" s="2059">
        <v>282983</v>
      </c>
      <c r="H66" s="2059">
        <f>323956-282983</f>
        <v>40973</v>
      </c>
      <c r="I66" s="2059"/>
      <c r="J66" s="2059"/>
      <c r="K66" s="2063"/>
      <c r="L66" s="2059">
        <f>J66+H66+G66</f>
        <v>323956</v>
      </c>
      <c r="M66" s="2059">
        <v>323956</v>
      </c>
    </row>
    <row r="67" spans="1:13" s="2046" customFormat="1" ht="17.25" x14ac:dyDescent="0.4">
      <c r="A67" s="2043"/>
      <c r="B67" s="2058"/>
      <c r="C67" s="2045"/>
      <c r="D67" s="2045"/>
      <c r="E67" s="2073">
        <v>0</v>
      </c>
      <c r="F67" s="2109">
        <v>0</v>
      </c>
      <c r="G67" s="2073">
        <v>0</v>
      </c>
      <c r="H67" s="2073">
        <v>0</v>
      </c>
      <c r="I67" s="2059"/>
      <c r="J67" s="2073">
        <v>0</v>
      </c>
      <c r="K67" s="2063"/>
      <c r="L67" s="2073">
        <f>J67+H67+G67</f>
        <v>0</v>
      </c>
      <c r="M67" s="2059">
        <v>0</v>
      </c>
    </row>
    <row r="68" spans="1:13" s="2046" customFormat="1" ht="9.75" hidden="1" customHeight="1" x14ac:dyDescent="0.2">
      <c r="A68" s="2044"/>
      <c r="B68" s="2058"/>
      <c r="C68" s="2048"/>
      <c r="D68" s="2045"/>
      <c r="E68" s="2059"/>
      <c r="F68" s="2098"/>
      <c r="G68" s="2059"/>
      <c r="H68" s="2059"/>
      <c r="I68" s="2059"/>
      <c r="J68" s="2059"/>
      <c r="K68" s="2063"/>
      <c r="L68" s="2059"/>
      <c r="M68" s="2059"/>
    </row>
    <row r="69" spans="1:13" s="2046" customFormat="1" ht="15" hidden="1" x14ac:dyDescent="0.2">
      <c r="A69" s="2053" t="s">
        <v>2089</v>
      </c>
      <c r="B69" s="2058"/>
      <c r="C69" s="2048"/>
      <c r="D69" s="2045"/>
      <c r="E69" s="2059"/>
      <c r="F69" s="2098"/>
      <c r="G69" s="2059"/>
      <c r="H69" s="2059"/>
      <c r="I69" s="2059"/>
      <c r="J69" s="2059"/>
      <c r="K69" s="2063"/>
      <c r="L69" s="2059"/>
      <c r="M69" s="2059"/>
    </row>
    <row r="70" spans="1:13" s="2046" customFormat="1" ht="15" hidden="1" x14ac:dyDescent="0.2">
      <c r="A70" s="2053" t="s">
        <v>2072</v>
      </c>
      <c r="B70" s="2058"/>
      <c r="C70" s="2048"/>
      <c r="D70" s="2045"/>
      <c r="E70" s="2059"/>
      <c r="F70" s="2098"/>
      <c r="G70" s="2059"/>
      <c r="H70" s="2059"/>
      <c r="I70" s="2059"/>
      <c r="J70" s="2059"/>
      <c r="K70" s="2063"/>
      <c r="L70" s="2059"/>
      <c r="M70" s="2059"/>
    </row>
    <row r="71" spans="1:13" s="2046" customFormat="1" ht="15" hidden="1" x14ac:dyDescent="0.2">
      <c r="A71" s="2053" t="s">
        <v>2108</v>
      </c>
      <c r="B71" s="2058"/>
      <c r="C71" s="2048"/>
      <c r="D71" s="2045"/>
      <c r="E71" s="2059"/>
      <c r="F71" s="2098"/>
      <c r="G71" s="2059"/>
      <c r="H71" s="2059"/>
      <c r="I71" s="2059"/>
      <c r="J71" s="2059"/>
      <c r="K71" s="2063"/>
      <c r="L71" s="2059"/>
      <c r="M71" s="2059"/>
    </row>
    <row r="72" spans="1:13" s="2046" customFormat="1" ht="9" hidden="1" customHeight="1" x14ac:dyDescent="0.2">
      <c r="A72" s="2044"/>
      <c r="B72" s="2058"/>
      <c r="C72" s="2048"/>
      <c r="D72" s="2045"/>
      <c r="E72" s="2059"/>
      <c r="F72" s="2098"/>
      <c r="G72" s="2059"/>
      <c r="H72" s="2059"/>
      <c r="I72" s="2059"/>
      <c r="J72" s="2059"/>
      <c r="K72" s="2063"/>
      <c r="L72" s="2059"/>
      <c r="M72" s="2059"/>
    </row>
    <row r="73" spans="1:13" s="2046" customFormat="1" ht="15" hidden="1" x14ac:dyDescent="0.2">
      <c r="A73" s="2043" t="s">
        <v>2109</v>
      </c>
      <c r="B73" s="2058">
        <v>84.195999999999998</v>
      </c>
      <c r="C73" s="2045" t="s">
        <v>2110</v>
      </c>
      <c r="D73" s="2045"/>
      <c r="E73" s="2059"/>
      <c r="F73" s="2098"/>
      <c r="G73" s="2059"/>
      <c r="H73" s="2059"/>
      <c r="I73" s="2059"/>
      <c r="J73" s="2059"/>
      <c r="K73" s="2063"/>
      <c r="L73" s="2059">
        <f>J73+H73+G73</f>
        <v>0</v>
      </c>
      <c r="M73" s="2060"/>
    </row>
    <row r="74" spans="1:13" s="2046" customFormat="1" ht="15" hidden="1" x14ac:dyDescent="0.2">
      <c r="A74" s="2043" t="s">
        <v>2109</v>
      </c>
      <c r="B74" s="2058">
        <v>84.195999999999998</v>
      </c>
      <c r="C74" s="2045" t="s">
        <v>2111</v>
      </c>
      <c r="D74" s="2045"/>
      <c r="E74" s="2059"/>
      <c r="F74" s="2098"/>
      <c r="G74" s="2059"/>
      <c r="H74" s="2074"/>
      <c r="I74" s="2059"/>
      <c r="J74" s="2059"/>
      <c r="K74" s="2063"/>
      <c r="L74" s="2059">
        <f>J74+H74+G74</f>
        <v>0</v>
      </c>
      <c r="M74" s="2075"/>
    </row>
    <row r="75" spans="1:13" s="2046" customFormat="1" ht="9.75" hidden="1" customHeight="1" x14ac:dyDescent="0.2">
      <c r="A75" s="2044"/>
      <c r="B75" s="2058"/>
      <c r="C75" s="2048"/>
      <c r="D75" s="2045"/>
      <c r="E75" s="2059"/>
      <c r="F75" s="2098"/>
      <c r="G75" s="2059"/>
      <c r="H75" s="2059"/>
      <c r="I75" s="2059"/>
      <c r="J75" s="2059"/>
      <c r="K75" s="2063"/>
      <c r="L75" s="2059"/>
      <c r="M75" s="2059"/>
    </row>
    <row r="76" spans="1:13" s="2046" customFormat="1" ht="8.25" hidden="1" customHeight="1" x14ac:dyDescent="0.4">
      <c r="A76" s="2044"/>
      <c r="B76" s="2058"/>
      <c r="C76" s="2048"/>
      <c r="D76" s="2045"/>
      <c r="E76" s="2073">
        <v>0</v>
      </c>
      <c r="F76" s="2109">
        <v>0</v>
      </c>
      <c r="G76" s="2073">
        <v>0</v>
      </c>
      <c r="H76" s="2073">
        <v>0</v>
      </c>
      <c r="I76" s="2061">
        <v>0</v>
      </c>
      <c r="J76" s="2073">
        <v>0</v>
      </c>
      <c r="K76" s="2061">
        <v>0</v>
      </c>
      <c r="L76" s="2073">
        <v>0</v>
      </c>
      <c r="M76" s="2059"/>
    </row>
    <row r="77" spans="1:13" s="2047" customFormat="1" ht="17.25" x14ac:dyDescent="0.2">
      <c r="A77" s="2070" t="s">
        <v>2112</v>
      </c>
      <c r="B77" s="2058"/>
      <c r="C77" s="2048"/>
      <c r="D77" s="2045"/>
      <c r="E77" s="2061">
        <f>SUM(E60:E76)</f>
        <v>316611</v>
      </c>
      <c r="F77" s="2097">
        <f>SUM(F60:F76)</f>
        <v>571887</v>
      </c>
      <c r="G77" s="2061">
        <f>SUM(G60:G76)</f>
        <v>433787</v>
      </c>
      <c r="H77" s="2061">
        <f>SUM(H60:H76)</f>
        <v>582728</v>
      </c>
      <c r="I77" s="2059"/>
      <c r="J77" s="2061">
        <f>SUM(J60:J76)</f>
        <v>45489</v>
      </c>
      <c r="K77" s="2063"/>
      <c r="L77" s="2061">
        <f>SUM(L60:L76)</f>
        <v>1062004</v>
      </c>
      <c r="M77" s="2059"/>
    </row>
    <row r="78" spans="1:13" s="2046" customFormat="1" ht="15" x14ac:dyDescent="0.2">
      <c r="A78" s="2044"/>
      <c r="B78" s="2058"/>
      <c r="C78" s="2048"/>
      <c r="D78" s="2045"/>
      <c r="E78" s="2059"/>
      <c r="F78" s="2098"/>
      <c r="G78" s="2059"/>
      <c r="H78" s="2059"/>
      <c r="I78" s="2059"/>
      <c r="J78" s="2059"/>
      <c r="K78" s="2063"/>
      <c r="L78" s="2059"/>
      <c r="M78" s="2059"/>
    </row>
    <row r="79" spans="1:13" s="2046" customFormat="1" ht="15" x14ac:dyDescent="0.2">
      <c r="A79" s="2053" t="s">
        <v>2113</v>
      </c>
      <c r="B79" s="2058"/>
      <c r="C79" s="2048"/>
      <c r="D79" s="2045"/>
      <c r="E79" s="2059"/>
      <c r="F79" s="2098"/>
      <c r="G79" s="2059"/>
      <c r="H79" s="2059"/>
      <c r="I79" s="2059"/>
      <c r="J79" s="2059"/>
      <c r="K79" s="2063"/>
      <c r="L79" s="2059"/>
      <c r="M79" s="2059"/>
    </row>
    <row r="80" spans="1:13" s="2046" customFormat="1" ht="15" x14ac:dyDescent="0.2">
      <c r="A80" s="2053" t="s">
        <v>2072</v>
      </c>
      <c r="B80" s="2058"/>
      <c r="C80" s="2048"/>
      <c r="D80" s="2045"/>
      <c r="E80" s="2059"/>
      <c r="F80" s="2098"/>
      <c r="G80" s="2059"/>
      <c r="H80" s="2059"/>
      <c r="I80" s="2059"/>
      <c r="J80" s="2059"/>
      <c r="K80" s="2063"/>
      <c r="L80" s="2059"/>
      <c r="M80" s="2059"/>
    </row>
    <row r="81" spans="1:13" s="2046" customFormat="1" ht="15" x14ac:dyDescent="0.2">
      <c r="A81" s="2053" t="s">
        <v>2114</v>
      </c>
      <c r="B81" s="2058"/>
      <c r="C81" s="2048"/>
      <c r="D81" s="2045"/>
      <c r="E81" s="2059"/>
      <c r="F81" s="2098"/>
      <c r="G81" s="2059"/>
      <c r="H81" s="2059"/>
      <c r="I81" s="2059"/>
      <c r="J81" s="2059"/>
      <c r="K81" s="2063"/>
      <c r="L81" s="2059"/>
      <c r="M81" s="2059"/>
    </row>
    <row r="82" spans="1:13" s="2046" customFormat="1" ht="15" x14ac:dyDescent="0.2">
      <c r="A82" s="2053"/>
      <c r="B82" s="2058"/>
      <c r="C82" s="2048"/>
      <c r="D82" s="2045"/>
      <c r="E82" s="2059"/>
      <c r="F82" s="2098"/>
      <c r="G82" s="2059"/>
      <c r="H82" s="2059"/>
      <c r="I82" s="2059"/>
      <c r="J82" s="2059"/>
      <c r="K82" s="2063"/>
      <c r="L82" s="2059"/>
      <c r="M82" s="2059"/>
    </row>
    <row r="83" spans="1:13" s="2046" customFormat="1" ht="15" x14ac:dyDescent="0.2">
      <c r="A83" s="2065" t="s">
        <v>2115</v>
      </c>
      <c r="B83" s="2058">
        <v>93.778000000000006</v>
      </c>
      <c r="C83" s="2045" t="s">
        <v>2116</v>
      </c>
      <c r="D83" s="2045"/>
      <c r="E83" s="2059">
        <v>13496</v>
      </c>
      <c r="F83" s="2098">
        <v>4134</v>
      </c>
      <c r="G83" s="2059">
        <v>18364</v>
      </c>
      <c r="H83" s="2059"/>
      <c r="I83" s="2059">
        <v>0</v>
      </c>
      <c r="J83" s="2063"/>
      <c r="K83" s="2063"/>
      <c r="L83" s="2059">
        <f>G83+J83+H83</f>
        <v>18364</v>
      </c>
      <c r="M83" s="2060" t="s">
        <v>2075</v>
      </c>
    </row>
    <row r="84" spans="1:13" s="2046" customFormat="1" ht="15" x14ac:dyDescent="0.2">
      <c r="A84" s="2065" t="s">
        <v>2115</v>
      </c>
      <c r="B84" s="2058">
        <v>93.778000000000006</v>
      </c>
      <c r="C84" s="2045" t="s">
        <v>2117</v>
      </c>
      <c r="E84" s="2069">
        <v>0</v>
      </c>
      <c r="F84" s="2108">
        <v>12041</v>
      </c>
      <c r="G84" s="2069">
        <v>0</v>
      </c>
      <c r="H84" s="2069">
        <v>18169</v>
      </c>
      <c r="I84" s="2069"/>
      <c r="J84" s="2069">
        <v>0</v>
      </c>
      <c r="K84" s="2069"/>
      <c r="L84" s="2069">
        <f>G84+J84+H84</f>
        <v>18169</v>
      </c>
      <c r="M84" s="2060" t="s">
        <v>2075</v>
      </c>
    </row>
    <row r="85" spans="1:13" s="2046" customFormat="1" ht="15" x14ac:dyDescent="0.2">
      <c r="A85" s="2053"/>
      <c r="B85" s="2058"/>
      <c r="C85" s="2048"/>
      <c r="D85" s="2045"/>
      <c r="E85" s="2059"/>
      <c r="F85" s="2098"/>
      <c r="G85" s="2059"/>
      <c r="H85" s="2059"/>
      <c r="I85" s="2059"/>
      <c r="J85" s="2059"/>
      <c r="K85" s="2063"/>
      <c r="L85" s="2059"/>
      <c r="M85" s="2060"/>
    </row>
    <row r="86" spans="1:13" s="2046" customFormat="1" ht="17.25" x14ac:dyDescent="0.2">
      <c r="A86" s="2053" t="s">
        <v>2118</v>
      </c>
      <c r="B86" s="2058"/>
      <c r="C86" s="2044"/>
      <c r="D86" s="2045"/>
      <c r="E86" s="2061">
        <f>SUM(E81:E85)</f>
        <v>13496</v>
      </c>
      <c r="F86" s="2097">
        <f>SUM(F80:F85)</f>
        <v>16175</v>
      </c>
      <c r="G86" s="2061">
        <f>SUM(G83:G85)</f>
        <v>18364</v>
      </c>
      <c r="H86" s="2061">
        <f>SUM(H80:H85)</f>
        <v>18169</v>
      </c>
      <c r="I86" s="2061"/>
      <c r="J86" s="2061">
        <f>SUM(J80:J85)</f>
        <v>0</v>
      </c>
      <c r="K86" s="2061"/>
      <c r="L86" s="2061">
        <f>SUM(L80:L85)</f>
        <v>36533</v>
      </c>
      <c r="M86" s="2059"/>
    </row>
    <row r="87" spans="1:13" s="2046" customFormat="1" ht="12" customHeight="1" x14ac:dyDescent="0.2">
      <c r="A87" s="2044"/>
      <c r="B87" s="2044"/>
      <c r="C87" s="2044"/>
      <c r="D87" s="2045"/>
      <c r="E87" s="2059"/>
      <c r="F87" s="2098"/>
      <c r="G87" s="2059"/>
      <c r="H87" s="2059"/>
      <c r="I87" s="2059"/>
      <c r="J87" s="2059"/>
      <c r="K87" s="2063"/>
      <c r="L87" s="2059"/>
      <c r="M87" s="2059"/>
    </row>
    <row r="88" spans="1:13" s="2047" customFormat="1" ht="17.25" x14ac:dyDescent="0.2">
      <c r="A88" s="2053" t="s">
        <v>2119</v>
      </c>
      <c r="B88" s="2044"/>
      <c r="C88" s="2044"/>
      <c r="D88" s="2045"/>
      <c r="E88" s="2076">
        <f>+E86+E77+E36</f>
        <v>499068</v>
      </c>
      <c r="F88" s="2110">
        <f>+F86+F77+F36</f>
        <v>771529</v>
      </c>
      <c r="G88" s="2076">
        <f>+G86+G77+G36</f>
        <v>670740</v>
      </c>
      <c r="H88" s="2076">
        <f>+H86+H77+H36</f>
        <v>836624</v>
      </c>
      <c r="I88" s="2076"/>
      <c r="J88" s="2076">
        <f>+J86+J77+J36</f>
        <v>45489</v>
      </c>
      <c r="K88" s="2076"/>
      <c r="L88" s="2076">
        <f>+L86+L77+L36</f>
        <v>1552853</v>
      </c>
      <c r="M88" s="2059"/>
    </row>
    <row r="89" spans="1:13" s="2044" customFormat="1" ht="17.25" x14ac:dyDescent="0.2">
      <c r="D89" s="2045"/>
      <c r="E89" s="2076"/>
      <c r="F89" s="2110"/>
      <c r="G89" s="2076"/>
      <c r="H89" s="2076"/>
      <c r="I89" s="2076"/>
      <c r="J89" s="2076"/>
      <c r="K89" s="2076"/>
      <c r="L89" s="2076"/>
      <c r="M89" s="2059"/>
    </row>
    <row r="90" spans="1:13" s="2046" customFormat="1" ht="17.25" hidden="1" x14ac:dyDescent="0.2">
      <c r="A90" s="2044"/>
      <c r="B90" s="2044"/>
      <c r="C90" s="2044"/>
      <c r="D90" s="2045"/>
      <c r="E90" s="2076"/>
      <c r="F90" s="2110"/>
      <c r="G90" s="2076"/>
      <c r="H90" s="2076"/>
      <c r="I90" s="2076"/>
      <c r="J90" s="2076"/>
      <c r="K90" s="2076"/>
      <c r="L90" s="2076"/>
      <c r="M90" s="2059"/>
    </row>
    <row r="91" spans="1:13" s="2046" customFormat="1" ht="17.25" hidden="1" x14ac:dyDescent="0.2">
      <c r="A91" s="2044"/>
      <c r="B91" s="2044"/>
      <c r="C91" s="2044"/>
      <c r="D91" s="2045"/>
      <c r="E91" s="2076"/>
      <c r="F91" s="2110"/>
      <c r="G91" s="2076"/>
      <c r="H91" s="2076"/>
      <c r="I91" s="2076"/>
      <c r="J91" s="2076"/>
      <c r="K91" s="2076"/>
      <c r="L91" s="2076"/>
      <c r="M91" s="2059"/>
    </row>
    <row r="92" spans="1:13" s="2046" customFormat="1" ht="15" x14ac:dyDescent="0.2">
      <c r="A92" s="2053" t="s">
        <v>2120</v>
      </c>
      <c r="B92" s="2044"/>
      <c r="C92" s="2044"/>
      <c r="D92" s="2045"/>
      <c r="E92" s="2059">
        <f>+E36+E60</f>
        <v>264049</v>
      </c>
      <c r="F92" s="2098">
        <f>+F36+F60</f>
        <v>652921</v>
      </c>
      <c r="G92" s="2059">
        <f>+G36+G60</f>
        <v>369393</v>
      </c>
      <c r="H92" s="2059">
        <f>+H36+H60</f>
        <v>777482</v>
      </c>
      <c r="I92" s="2059"/>
      <c r="J92" s="2059">
        <f>+J36+J60</f>
        <v>45489</v>
      </c>
      <c r="K92" s="2059"/>
      <c r="L92" s="2059">
        <f>+L36+L60</f>
        <v>1192364</v>
      </c>
      <c r="M92" s="2059"/>
    </row>
    <row r="93" spans="1:13" s="2046" customFormat="1" ht="15" x14ac:dyDescent="0.2">
      <c r="A93" s="2053"/>
      <c r="B93" s="2044"/>
      <c r="C93" s="2044"/>
      <c r="D93" s="2045"/>
      <c r="E93" s="2059"/>
      <c r="F93" s="2098"/>
      <c r="G93" s="2059"/>
      <c r="H93" s="2059"/>
      <c r="I93" s="2059"/>
      <c r="J93" s="2059"/>
      <c r="K93" s="2059"/>
      <c r="L93" s="2059"/>
      <c r="M93" s="2059"/>
    </row>
    <row r="94" spans="1:13" s="2046" customFormat="1" ht="17.25" x14ac:dyDescent="0.2">
      <c r="A94" s="2053" t="s">
        <v>2121</v>
      </c>
      <c r="B94" s="2044"/>
      <c r="C94" s="2044"/>
      <c r="D94" s="2045"/>
      <c r="E94" s="2061">
        <f>+E66+E67+E86</f>
        <v>235019</v>
      </c>
      <c r="F94" s="2097">
        <f>+F66+F67+F86</f>
        <v>118608</v>
      </c>
      <c r="G94" s="2061">
        <f>+G66+G67+G86</f>
        <v>301347</v>
      </c>
      <c r="H94" s="2061">
        <f>+H66+H67+H86</f>
        <v>59142</v>
      </c>
      <c r="I94" s="2061"/>
      <c r="J94" s="2061">
        <f>+J66+J67+J86</f>
        <v>0</v>
      </c>
      <c r="K94" s="2061"/>
      <c r="L94" s="2061">
        <f>+L66+L67+L86</f>
        <v>360489</v>
      </c>
      <c r="M94" s="2059"/>
    </row>
    <row r="95" spans="1:13" s="2046" customFormat="1" ht="17.25" x14ac:dyDescent="0.2">
      <c r="A95" s="2053"/>
      <c r="B95" s="2044"/>
      <c r="C95" s="2044"/>
      <c r="D95" s="2045"/>
      <c r="E95" s="2061"/>
      <c r="F95" s="2097"/>
      <c r="G95" s="2061"/>
      <c r="H95" s="2061"/>
      <c r="I95" s="2061"/>
      <c r="J95" s="2061"/>
      <c r="K95" s="2061"/>
      <c r="L95" s="2061"/>
      <c r="M95" s="2059"/>
    </row>
    <row r="96" spans="1:13" s="2046" customFormat="1" ht="17.25" x14ac:dyDescent="0.2">
      <c r="A96" s="2053" t="s">
        <v>2119</v>
      </c>
      <c r="B96" s="2044"/>
      <c r="C96" s="2044"/>
      <c r="D96" s="2045"/>
      <c r="E96" s="2076">
        <f>E92+E94</f>
        <v>499068</v>
      </c>
      <c r="F96" s="2110">
        <f>F92+F94</f>
        <v>771529</v>
      </c>
      <c r="G96" s="2076">
        <f>G92+G94</f>
        <v>670740</v>
      </c>
      <c r="H96" s="2076">
        <f>H92+H94</f>
        <v>836624</v>
      </c>
      <c r="I96" s="2076"/>
      <c r="J96" s="2076">
        <f>J92+J94</f>
        <v>45489</v>
      </c>
      <c r="K96" s="2076"/>
      <c r="L96" s="2076">
        <f>L92+L94</f>
        <v>1552853</v>
      </c>
      <c r="M96" s="2059"/>
    </row>
    <row r="97" spans="1:13" s="2046" customFormat="1" ht="17.25" x14ac:dyDescent="0.2">
      <c r="A97" s="2053"/>
      <c r="B97" s="2044"/>
      <c r="C97" s="2044"/>
      <c r="D97" s="2045"/>
      <c r="E97" s="2076"/>
      <c r="F97" s="2110"/>
      <c r="G97" s="2076"/>
      <c r="H97" s="2076"/>
      <c r="I97" s="2076"/>
      <c r="J97" s="2076"/>
      <c r="K97" s="2076"/>
      <c r="L97" s="2076"/>
      <c r="M97" s="2059"/>
    </row>
    <row r="98" spans="1:13" s="2046" customFormat="1" ht="15" x14ac:dyDescent="0.2">
      <c r="A98" s="2044" t="s">
        <v>2122</v>
      </c>
      <c r="B98" s="2077"/>
      <c r="C98" s="2044"/>
      <c r="D98" s="2045"/>
      <c r="E98" s="2059"/>
      <c r="F98" s="2098" t="s">
        <v>1159</v>
      </c>
      <c r="G98" s="2059"/>
      <c r="H98" s="2059"/>
      <c r="I98" s="2059"/>
      <c r="J98" s="2059"/>
      <c r="K98" s="2063"/>
      <c r="L98" s="2059"/>
      <c r="M98" s="2059"/>
    </row>
    <row r="99" spans="1:13" s="2046" customFormat="1" ht="15" x14ac:dyDescent="0.2">
      <c r="A99" s="2065" t="s">
        <v>2123</v>
      </c>
      <c r="B99" s="2044"/>
      <c r="C99" s="2044"/>
      <c r="D99" s="2045"/>
      <c r="E99" s="2059"/>
      <c r="F99" s="2098" t="s">
        <v>1159</v>
      </c>
      <c r="G99" s="2059"/>
      <c r="H99" s="2059"/>
      <c r="I99" s="2059"/>
      <c r="J99" s="2059"/>
      <c r="K99" s="2063"/>
      <c r="L99" s="2059"/>
      <c r="M99" s="2059"/>
    </row>
    <row r="100" spans="1:13" s="2046" customFormat="1" ht="15" x14ac:dyDescent="0.2">
      <c r="A100" s="2043" t="s">
        <v>2124</v>
      </c>
      <c r="D100" s="2068"/>
      <c r="E100" s="2078"/>
      <c r="F100" s="2111"/>
      <c r="G100" s="2078"/>
      <c r="H100" s="2078" t="s">
        <v>1159</v>
      </c>
      <c r="I100" s="2079"/>
      <c r="J100" s="2078" t="s">
        <v>1159</v>
      </c>
      <c r="K100" s="2080"/>
      <c r="L100" s="2078" t="s">
        <v>1159</v>
      </c>
      <c r="M100" s="2078" t="s">
        <v>1159</v>
      </c>
    </row>
    <row r="101" spans="1:13" s="2046" customFormat="1" ht="15" x14ac:dyDescent="0.2">
      <c r="A101" s="2043" t="s">
        <v>2125</v>
      </c>
      <c r="B101" s="2081"/>
      <c r="D101" s="2068"/>
      <c r="E101" s="2079"/>
      <c r="F101" s="2112"/>
      <c r="G101" s="2079"/>
      <c r="H101" s="2079"/>
      <c r="I101" s="2079"/>
      <c r="J101" s="2079"/>
      <c r="K101" s="2080"/>
      <c r="L101" s="2079"/>
      <c r="M101" s="2079"/>
    </row>
    <row r="102" spans="1:13" s="2084" customFormat="1" ht="13.5" customHeight="1" x14ac:dyDescent="0.2">
      <c r="A102" s="2082" t="s">
        <v>2126</v>
      </c>
      <c r="B102" s="2083"/>
      <c r="C102" s="2083"/>
      <c r="D102" s="2083"/>
      <c r="E102" s="2083"/>
      <c r="F102" s="2113"/>
      <c r="G102" s="2083"/>
      <c r="H102" s="2083"/>
    </row>
    <row r="103" spans="1:13" s="2084" customFormat="1" ht="13.5" customHeight="1" x14ac:dyDescent="0.2">
      <c r="A103" s="2085" t="s">
        <v>2127</v>
      </c>
      <c r="B103" s="2086"/>
      <c r="C103" s="2086"/>
      <c r="D103" s="2086"/>
      <c r="E103" s="2086"/>
      <c r="F103" s="2114"/>
      <c r="G103" s="2086"/>
      <c r="H103" s="2086"/>
      <c r="L103" s="2087"/>
    </row>
    <row r="104" spans="1:13" s="2084" customFormat="1" ht="13.5" customHeight="1" x14ac:dyDescent="0.2">
      <c r="A104" s="2082" t="s">
        <v>2128</v>
      </c>
      <c r="B104" s="2083"/>
      <c r="C104" s="2083"/>
      <c r="D104" s="2083"/>
      <c r="E104" s="2083"/>
      <c r="F104" s="2113"/>
      <c r="G104" s="2083"/>
      <c r="H104" s="2083"/>
    </row>
    <row r="105" spans="1:13" s="2084" customFormat="1" ht="13.5" customHeight="1" x14ac:dyDescent="0.2">
      <c r="A105" s="2085" t="s">
        <v>2129</v>
      </c>
      <c r="B105" s="2088"/>
      <c r="C105" s="2088"/>
      <c r="D105" s="2088"/>
      <c r="E105" s="2088"/>
      <c r="F105" s="2115"/>
      <c r="G105" s="2088"/>
      <c r="H105" s="2088"/>
    </row>
    <row r="106" spans="1:13" s="2084" customFormat="1" ht="13.5" customHeight="1" x14ac:dyDescent="0.2">
      <c r="A106" s="2082" t="s">
        <v>2130</v>
      </c>
      <c r="B106" s="2089"/>
      <c r="C106" s="2090"/>
      <c r="D106" s="2090"/>
      <c r="E106" s="2090"/>
      <c r="F106" s="2116"/>
    </row>
    <row r="107" spans="1:13" s="2084" customFormat="1" ht="13.5" customHeight="1" x14ac:dyDescent="0.2">
      <c r="A107" s="2082" t="s">
        <v>2131</v>
      </c>
      <c r="B107" s="2089"/>
      <c r="C107" s="2090"/>
      <c r="D107" s="2090"/>
      <c r="E107" s="2090"/>
      <c r="F107" s="2116"/>
    </row>
    <row r="108" spans="1:13" s="2084" customFormat="1" ht="13.5" customHeight="1" x14ac:dyDescent="0.2">
      <c r="A108" s="2090" t="s">
        <v>2132</v>
      </c>
      <c r="B108" s="2091"/>
      <c r="F108" s="2117"/>
    </row>
    <row r="109" spans="1:13" s="2084" customFormat="1" ht="13.5" customHeight="1" x14ac:dyDescent="0.2">
      <c r="A109" s="2090" t="s">
        <v>2133</v>
      </c>
      <c r="B109" s="2091"/>
      <c r="F109" s="2117"/>
    </row>
    <row r="110" spans="1:13" s="2084" customFormat="1" ht="13.5" customHeight="1" x14ac:dyDescent="0.2">
      <c r="A110" s="2090" t="s">
        <v>2134</v>
      </c>
      <c r="B110" s="2091"/>
      <c r="F110" s="2117"/>
    </row>
    <row r="111" spans="1:13" s="2094" customFormat="1" ht="13.5" customHeight="1" x14ac:dyDescent="0.15">
      <c r="A111" s="2092"/>
      <c r="B111" s="2093"/>
      <c r="D111" s="2095"/>
      <c r="E111" s="2095"/>
      <c r="F111" s="2118"/>
    </row>
    <row r="112" spans="1:13" x14ac:dyDescent="0.2">
      <c r="F112" s="2119"/>
    </row>
  </sheetData>
  <mergeCells count="6">
    <mergeCell ref="A1:M1"/>
    <mergeCell ref="A2:M2"/>
    <mergeCell ref="A3:M3"/>
    <mergeCell ref="A4:M4"/>
    <mergeCell ref="E7:F7"/>
    <mergeCell ref="G7:H7"/>
  </mergeCells>
  <printOptions horizontalCentered="1" gridLinesSet="0"/>
  <pageMargins left="0.25" right="0.25" top="0.5" bottom="0" header="0.5" footer="0"/>
  <pageSetup scale="70" fitToWidth="0" fitToHeight="0" orientation="landscape" r:id="rId1"/>
  <headerFooter alignWithMargins="0">
    <oddFooter>&amp;L&amp;"Garamond,Regular"See the accompanying Notes to Schedule of Expenditures of Federal Awards.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topLeftCell="A4" zoomScaleNormal="100" workbookViewId="0">
      <selection activeCell="B13" sqref="B13"/>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606" t="str">
        <f>'Single Audit Cover'!A7</f>
        <v>Community Unit School District No. 140</v>
      </c>
      <c r="C1" s="2655"/>
      <c r="D1" s="2655"/>
      <c r="E1" s="2655"/>
      <c r="F1" s="2655"/>
      <c r="G1" s="2655"/>
      <c r="H1" s="2655"/>
      <c r="I1" s="2655"/>
      <c r="J1" s="2655"/>
      <c r="K1" s="2655"/>
      <c r="L1" s="2655"/>
      <c r="M1" s="2655"/>
    </row>
    <row r="2" spans="2:14" ht="15" x14ac:dyDescent="0.2">
      <c r="B2" s="2656" t="str">
        <f>'Single Audit Cover'!E7</f>
        <v>53-102-1400-26</v>
      </c>
      <c r="C2" s="2656"/>
      <c r="D2" s="2656"/>
      <c r="E2" s="2656"/>
      <c r="F2" s="2656"/>
      <c r="G2" s="2656"/>
      <c r="H2" s="2656"/>
      <c r="I2" s="2656"/>
      <c r="J2" s="2656"/>
      <c r="K2" s="2656"/>
      <c r="L2" s="2656"/>
      <c r="M2" s="2656"/>
      <c r="N2" s="1078"/>
    </row>
    <row r="3" spans="2:14" ht="15" x14ac:dyDescent="0.2">
      <c r="B3" s="2657" t="s">
        <v>1208</v>
      </c>
      <c r="C3" s="2657"/>
      <c r="D3" s="2657"/>
      <c r="E3" s="2657"/>
      <c r="F3" s="2657"/>
      <c r="G3" s="2657"/>
      <c r="H3" s="2657"/>
      <c r="I3" s="2657"/>
      <c r="J3" s="2657"/>
      <c r="K3" s="2657"/>
      <c r="L3" s="2657"/>
      <c r="M3" s="2657"/>
      <c r="N3" s="1078"/>
    </row>
    <row r="4" spans="2:14" ht="15" x14ac:dyDescent="0.2">
      <c r="B4" s="2658" t="str">
        <f>'Single Audit Cover'!A4</f>
        <v>Year Ending June 30, 2020</v>
      </c>
      <c r="C4" s="2658"/>
      <c r="D4" s="2658"/>
      <c r="E4" s="2658"/>
      <c r="F4" s="2658"/>
      <c r="G4" s="2658"/>
      <c r="H4" s="2658"/>
      <c r="I4" s="2658"/>
      <c r="J4" s="2658"/>
      <c r="K4" s="2658"/>
      <c r="L4" s="2658"/>
      <c r="M4" s="2658"/>
      <c r="N4" s="1078"/>
    </row>
    <row r="5" spans="2:14" x14ac:dyDescent="0.2">
      <c r="H5" s="1916"/>
      <c r="J5" s="1916"/>
    </row>
    <row r="6" spans="2:14" x14ac:dyDescent="0.2">
      <c r="B6" s="1079"/>
      <c r="C6" s="1080"/>
      <c r="D6" s="1081" t="s">
        <v>1254</v>
      </c>
      <c r="E6" s="1082" t="s">
        <v>524</v>
      </c>
      <c r="F6" s="1083"/>
      <c r="G6" s="1084" t="s">
        <v>1708</v>
      </c>
      <c r="H6" s="1082"/>
      <c r="I6" s="1082"/>
      <c r="J6" s="1917"/>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1709</v>
      </c>
      <c r="D9" s="1090" t="s">
        <v>1710</v>
      </c>
      <c r="E9" s="1915" t="str">
        <f>"7/1/"&amp;MID('AFR20'!$E$2,3,2)-2&amp;"-6/30/"&amp;MID('AFR20'!$E$2,3,2)-1</f>
        <v>7/1/18-6/30/19</v>
      </c>
      <c r="F9" s="1915" t="str">
        <f>"7/1/"&amp;MID('AFR20'!$E$2,3,2)-1&amp;"-6/30/"&amp;MID('AFR20'!$E$2,3,2)</f>
        <v>7/1/19-6/30/20</v>
      </c>
      <c r="G9" s="1915" t="str">
        <f>"7/1/"&amp;MID('AFR20'!$E$2,3,2)-2&amp;"-6/30/"&amp;MID('AFR20'!$E$2,3,2)-1</f>
        <v>7/1/18-6/30/19</v>
      </c>
      <c r="H9" s="1093" t="s">
        <v>1565</v>
      </c>
      <c r="I9" s="1915"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1113"/>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t="s">
        <v>2056</v>
      </c>
      <c r="C13" s="1824"/>
      <c r="D13" s="1825"/>
      <c r="E13" s="1826"/>
      <c r="F13" s="1826"/>
      <c r="G13" s="1826"/>
      <c r="H13" s="1826"/>
      <c r="I13" s="1826"/>
      <c r="J13" s="1826"/>
      <c r="K13" s="1826"/>
      <c r="L13" s="1823">
        <f t="shared" si="0"/>
        <v>0</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1159</v>
      </c>
      <c r="C15" s="1824"/>
      <c r="D15" s="1825"/>
      <c r="E15" s="1826"/>
      <c r="F15" s="1826"/>
      <c r="G15" s="1826"/>
      <c r="H15" s="1826"/>
      <c r="I15" s="1826"/>
      <c r="J15" s="1826"/>
      <c r="K15" s="1826"/>
      <c r="L15" s="1823">
        <f t="shared" si="0"/>
        <v>0</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1809</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239" t="s">
        <v>1158</v>
      </c>
      <c r="B2" s="2239"/>
      <c r="C2" s="2239"/>
      <c r="D2" s="2239"/>
      <c r="E2" s="2239"/>
      <c r="F2" s="2239"/>
      <c r="G2" s="2239"/>
      <c r="H2" s="2239"/>
      <c r="I2" s="2239"/>
      <c r="J2" s="2239"/>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1767</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253" t="s">
        <v>1616</v>
      </c>
      <c r="B35" s="2254"/>
      <c r="C35" s="2254"/>
      <c r="D35" s="2254"/>
      <c r="E35" s="2255"/>
      <c r="F35" s="2255"/>
      <c r="G35" s="2255"/>
      <c r="H35" s="2255"/>
      <c r="I35" s="2255"/>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253" t="s">
        <v>310</v>
      </c>
      <c r="B47" s="2256"/>
      <c r="C47" s="2256"/>
      <c r="D47" s="2256"/>
      <c r="E47" s="2257"/>
      <c r="F47" s="2257"/>
      <c r="G47" s="2257"/>
      <c r="H47" s="2257"/>
      <c r="I47" s="2257"/>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c r="C53" s="174">
        <v>22</v>
      </c>
      <c r="D53" s="242" t="s">
        <v>1445</v>
      </c>
      <c r="E53" s="243"/>
      <c r="F53" s="244"/>
      <c r="G53" s="244" t="s">
        <v>1444</v>
      </c>
      <c r="H53" s="245"/>
      <c r="I53" s="232" t="s">
        <v>1466</v>
      </c>
    </row>
    <row r="54" spans="1:10" s="176" customFormat="1" x14ac:dyDescent="0.2">
      <c r="A54" s="214"/>
      <c r="B54" s="215"/>
      <c r="C54" s="174">
        <v>23</v>
      </c>
      <c r="D54" s="238" t="s">
        <v>1346</v>
      </c>
      <c r="E54" s="243"/>
      <c r="F54" s="244"/>
    </row>
    <row r="55" spans="1:10" s="176" customFormat="1" x14ac:dyDescent="0.2">
      <c r="A55" s="209"/>
      <c r="B55" s="246"/>
      <c r="C55" s="246"/>
      <c r="D55" s="226" t="s">
        <v>1766</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260"/>
      <c r="C57" s="2261"/>
      <c r="D57" s="2261"/>
      <c r="E57" s="2261"/>
      <c r="F57" s="2261"/>
      <c r="G57" s="2261"/>
      <c r="H57" s="2261"/>
      <c r="I57" s="2261"/>
      <c r="J57" s="2262"/>
    </row>
    <row r="58" spans="1:10" s="176" customFormat="1" x14ac:dyDescent="0.2">
      <c r="A58" s="248"/>
      <c r="B58" s="2263"/>
      <c r="C58" s="2264"/>
      <c r="D58" s="2264"/>
      <c r="E58" s="2264"/>
      <c r="F58" s="2264"/>
      <c r="G58" s="2264"/>
      <c r="H58" s="2264"/>
      <c r="I58" s="2264"/>
      <c r="J58" s="2265"/>
    </row>
    <row r="59" spans="1:10" s="176" customFormat="1" x14ac:dyDescent="0.2">
      <c r="A59" s="248"/>
      <c r="B59" s="2263"/>
      <c r="C59" s="2264"/>
      <c r="D59" s="2264"/>
      <c r="E59" s="2264"/>
      <c r="F59" s="2264"/>
      <c r="G59" s="2264"/>
      <c r="H59" s="2264"/>
      <c r="I59" s="2264"/>
      <c r="J59" s="2265"/>
    </row>
    <row r="60" spans="1:10" s="176" customFormat="1" x14ac:dyDescent="0.2">
      <c r="A60" s="248"/>
      <c r="B60" s="2263"/>
      <c r="C60" s="2264"/>
      <c r="D60" s="2264"/>
      <c r="E60" s="2264"/>
      <c r="F60" s="2264"/>
      <c r="G60" s="2264"/>
      <c r="H60" s="2264"/>
      <c r="I60" s="2264"/>
      <c r="J60" s="2265"/>
    </row>
    <row r="61" spans="1:10" s="176" customFormat="1" x14ac:dyDescent="0.2">
      <c r="A61" s="248"/>
      <c r="B61" s="2263"/>
      <c r="C61" s="2264"/>
      <c r="D61" s="2264"/>
      <c r="E61" s="2264"/>
      <c r="F61" s="2264"/>
      <c r="G61" s="2264"/>
      <c r="H61" s="2264"/>
      <c r="I61" s="2264"/>
      <c r="J61" s="2265"/>
    </row>
    <row r="62" spans="1:10" s="176" customFormat="1" x14ac:dyDescent="0.2">
      <c r="A62" s="248"/>
      <c r="B62" s="2263"/>
      <c r="C62" s="2264"/>
      <c r="D62" s="2264"/>
      <c r="E62" s="2264"/>
      <c r="F62" s="2264"/>
      <c r="G62" s="2264"/>
      <c r="H62" s="2264"/>
      <c r="I62" s="2264"/>
      <c r="J62" s="2265"/>
    </row>
    <row r="63" spans="1:10" s="176" customFormat="1" x14ac:dyDescent="0.2">
      <c r="A63" s="248"/>
      <c r="B63" s="2263"/>
      <c r="C63" s="2264"/>
      <c r="D63" s="2264"/>
      <c r="E63" s="2264"/>
      <c r="F63" s="2264"/>
      <c r="G63" s="2264"/>
      <c r="H63" s="2264"/>
      <c r="I63" s="2264"/>
      <c r="J63" s="2265"/>
    </row>
    <row r="64" spans="1:10" s="176" customFormat="1" x14ac:dyDescent="0.2">
      <c r="A64" s="248"/>
      <c r="B64" s="2263"/>
      <c r="C64" s="2264"/>
      <c r="D64" s="2264"/>
      <c r="E64" s="2264"/>
      <c r="F64" s="2264"/>
      <c r="G64" s="2264"/>
      <c r="H64" s="2264"/>
      <c r="I64" s="2264"/>
      <c r="J64" s="2265"/>
    </row>
    <row r="65" spans="1:11" s="176" customFormat="1" x14ac:dyDescent="0.2">
      <c r="A65" s="248"/>
      <c r="B65" s="2263"/>
      <c r="C65" s="2264"/>
      <c r="D65" s="2264"/>
      <c r="E65" s="2264"/>
      <c r="F65" s="2264"/>
      <c r="G65" s="2264"/>
      <c r="H65" s="2264"/>
      <c r="I65" s="2264"/>
      <c r="J65" s="2265"/>
    </row>
    <row r="66" spans="1:11" s="176" customFormat="1" x14ac:dyDescent="0.2">
      <c r="A66" s="248"/>
      <c r="B66" s="2263"/>
      <c r="C66" s="2264"/>
      <c r="D66" s="2264"/>
      <c r="E66" s="2264"/>
      <c r="F66" s="2264"/>
      <c r="G66" s="2264"/>
      <c r="H66" s="2264"/>
      <c r="I66" s="2264"/>
      <c r="J66" s="2265"/>
    </row>
    <row r="67" spans="1:11" s="176" customFormat="1" ht="9" customHeight="1" x14ac:dyDescent="0.2">
      <c r="A67" s="249"/>
      <c r="B67" s="2266"/>
      <c r="C67" s="2267"/>
      <c r="D67" s="2267"/>
      <c r="E67" s="2267"/>
      <c r="F67" s="2267"/>
      <c r="G67" s="2267"/>
      <c r="H67" s="2267"/>
      <c r="I67" s="2267"/>
      <c r="J67" s="2268"/>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253" t="s">
        <v>1312</v>
      </c>
      <c r="B70" s="2256"/>
      <c r="C70" s="2256"/>
      <c r="D70" s="2256"/>
      <c r="E70" s="2257"/>
      <c r="F70" s="2257"/>
      <c r="G70" s="2257"/>
      <c r="H70" s="2257"/>
      <c r="I70" s="2257"/>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1988</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1869</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1987</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258" t="s">
        <v>1309</v>
      </c>
      <c r="B83" s="2258"/>
      <c r="C83" s="2258"/>
      <c r="D83" s="2259"/>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269" t="s">
        <v>1986</v>
      </c>
      <c r="B85" s="2269"/>
      <c r="C85" s="2269"/>
      <c r="D85" s="2270"/>
      <c r="E85" s="1544"/>
      <c r="F85" s="1544"/>
      <c r="G85" s="1544">
        <v>1</v>
      </c>
      <c r="H85" s="1544"/>
      <c r="I85" s="1904"/>
      <c r="J85" s="1727">
        <f>SUM(E85:I85)</f>
        <v>1</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271" t="s">
        <v>1986</v>
      </c>
      <c r="B88" s="2272"/>
      <c r="C88" s="2272"/>
      <c r="D88" s="2273"/>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1</v>
      </c>
    </row>
    <row r="91" spans="1:10" s="176" customFormat="1" x14ac:dyDescent="0.2">
      <c r="A91" s="214"/>
      <c r="B91" s="257"/>
      <c r="C91" s="174"/>
      <c r="E91" s="255"/>
      <c r="F91" s="274"/>
      <c r="H91" s="275"/>
    </row>
    <row r="92" spans="1:10" s="176" customFormat="1" x14ac:dyDescent="0.2">
      <c r="A92" s="214"/>
      <c r="B92" s="242" t="s">
        <v>1990</v>
      </c>
      <c r="C92" s="174"/>
      <c r="E92" s="255"/>
      <c r="F92" s="274"/>
      <c r="H92" s="275"/>
    </row>
    <row r="93" spans="1:10" s="176" customFormat="1" ht="16.5" customHeight="1" x14ac:dyDescent="0.2">
      <c r="A93" s="214"/>
      <c r="B93" s="276"/>
      <c r="C93" s="242" t="s">
        <v>1989</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240"/>
      <c r="C102" s="2241"/>
      <c r="D102" s="2241"/>
      <c r="E102" s="2241"/>
      <c r="F102" s="2241"/>
      <c r="G102" s="2241"/>
      <c r="H102" s="2241"/>
      <c r="I102" s="2242"/>
    </row>
    <row r="103" spans="1:9" s="176" customFormat="1" ht="11.25" customHeight="1" x14ac:dyDescent="0.2">
      <c r="A103" s="294"/>
      <c r="B103" s="2243"/>
      <c r="C103" s="2244"/>
      <c r="D103" s="2244"/>
      <c r="E103" s="2244"/>
      <c r="F103" s="2244"/>
      <c r="G103" s="2244"/>
      <c r="H103" s="2244"/>
      <c r="I103" s="2245"/>
    </row>
    <row r="104" spans="1:9" s="176" customFormat="1" ht="11.25" customHeight="1" x14ac:dyDescent="0.2">
      <c r="A104" s="294"/>
      <c r="B104" s="2243"/>
      <c r="C104" s="2244"/>
      <c r="D104" s="2244"/>
      <c r="E104" s="2244"/>
      <c r="F104" s="2244"/>
      <c r="G104" s="2244"/>
      <c r="H104" s="2244"/>
      <c r="I104" s="2245"/>
    </row>
    <row r="105" spans="1:9" s="176" customFormat="1" x14ac:dyDescent="0.2">
      <c r="A105" s="294"/>
      <c r="B105" s="2243"/>
      <c r="C105" s="2244"/>
      <c r="D105" s="2244"/>
      <c r="E105" s="2244"/>
      <c r="F105" s="2244"/>
      <c r="G105" s="2244"/>
      <c r="H105" s="2244"/>
      <c r="I105" s="2245"/>
    </row>
    <row r="106" spans="1:9" s="176" customFormat="1" ht="11.25" customHeight="1" x14ac:dyDescent="0.2">
      <c r="A106" s="294"/>
      <c r="B106" s="2243"/>
      <c r="C106" s="2244"/>
      <c r="D106" s="2244"/>
      <c r="E106" s="2244"/>
      <c r="F106" s="2244"/>
      <c r="G106" s="2244"/>
      <c r="H106" s="2244"/>
      <c r="I106" s="2245"/>
    </row>
    <row r="107" spans="1:9" s="176" customFormat="1" ht="11.25" customHeight="1" x14ac:dyDescent="0.2">
      <c r="A107" s="294"/>
      <c r="B107" s="2243"/>
      <c r="C107" s="2244"/>
      <c r="D107" s="2244"/>
      <c r="E107" s="2244"/>
      <c r="F107" s="2244"/>
      <c r="G107" s="2244"/>
      <c r="H107" s="2244"/>
      <c r="I107" s="2245"/>
    </row>
    <row r="108" spans="1:9" s="176" customFormat="1" ht="11.25" customHeight="1" x14ac:dyDescent="0.2">
      <c r="A108" s="294"/>
      <c r="B108" s="2243"/>
      <c r="C108" s="2244"/>
      <c r="D108" s="2244"/>
      <c r="E108" s="2244"/>
      <c r="F108" s="2244"/>
      <c r="G108" s="2244"/>
      <c r="H108" s="2244"/>
      <c r="I108" s="2245"/>
    </row>
    <row r="109" spans="1:9" s="176" customFormat="1" ht="11.25" customHeight="1" x14ac:dyDescent="0.2">
      <c r="A109" s="294"/>
      <c r="B109" s="2243"/>
      <c r="C109" s="2244"/>
      <c r="D109" s="2244"/>
      <c r="E109" s="2244"/>
      <c r="F109" s="2244"/>
      <c r="G109" s="2244"/>
      <c r="H109" s="2244"/>
      <c r="I109" s="2245"/>
    </row>
    <row r="110" spans="1:9" s="176" customFormat="1" ht="11.25" customHeight="1" x14ac:dyDescent="0.2">
      <c r="A110" s="294"/>
      <c r="B110" s="2243"/>
      <c r="C110" s="2244"/>
      <c r="D110" s="2244"/>
      <c r="E110" s="2244"/>
      <c r="F110" s="2244"/>
      <c r="G110" s="2244"/>
      <c r="H110" s="2244"/>
      <c r="I110" s="2245"/>
    </row>
    <row r="111" spans="1:9" s="176" customFormat="1" ht="11.25" customHeight="1" x14ac:dyDescent="0.2">
      <c r="A111" s="294"/>
      <c r="B111" s="2243"/>
      <c r="C111" s="2244"/>
      <c r="D111" s="2244"/>
      <c r="E111" s="2244"/>
      <c r="F111" s="2244"/>
      <c r="G111" s="2244"/>
      <c r="H111" s="2244"/>
      <c r="I111" s="2245"/>
    </row>
    <row r="112" spans="1:9" s="176" customFormat="1" ht="11.25" customHeight="1" x14ac:dyDescent="0.2">
      <c r="A112" s="294"/>
      <c r="B112" s="2246"/>
      <c r="C112" s="2247"/>
      <c r="D112" s="2247"/>
      <c r="E112" s="2247"/>
      <c r="F112" s="2247"/>
      <c r="G112" s="2247"/>
      <c r="H112" s="2247"/>
      <c r="I112" s="2248"/>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249" t="s">
        <v>2049</v>
      </c>
      <c r="D114" s="2249"/>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250" t="s">
        <v>1319</v>
      </c>
      <c r="D117" s="2251"/>
      <c r="E117" s="2252"/>
      <c r="F117" s="2252"/>
      <c r="G117" s="2252"/>
      <c r="H117" s="2252"/>
      <c r="I117" s="282"/>
    </row>
    <row r="118" spans="1:9" s="176" customFormat="1" ht="24" customHeight="1" x14ac:dyDescent="0.2">
      <c r="A118" s="294"/>
      <c r="B118" s="294"/>
      <c r="C118" s="294"/>
      <c r="D118" s="301" t="s">
        <v>2180</v>
      </c>
      <c r="E118" s="300"/>
      <c r="F118" s="302"/>
      <c r="G118" s="1473"/>
      <c r="H118" s="300"/>
      <c r="I118" s="282"/>
    </row>
    <row r="119" spans="1:9" s="176" customFormat="1" ht="11.25" customHeight="1" x14ac:dyDescent="0.2">
      <c r="A119" s="303"/>
      <c r="B119" s="303"/>
      <c r="C119" s="304"/>
      <c r="D119" s="305" t="s">
        <v>358</v>
      </c>
      <c r="E119" s="288"/>
      <c r="F119" s="1472" t="s">
        <v>1870</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31" zoomScale="120" zoomScaleNormal="120" workbookViewId="0">
      <selection sqref="A1:F1"/>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660" t="str">
        <f>'Single Audit Cover'!A7</f>
        <v>Community Unit School District No. 140</v>
      </c>
      <c r="B1" s="2660"/>
      <c r="C1" s="2660"/>
      <c r="D1" s="2660"/>
      <c r="E1" s="2660"/>
      <c r="F1" s="2660"/>
    </row>
    <row r="2" spans="1:7" ht="13.5" customHeight="1" x14ac:dyDescent="0.2">
      <c r="A2" s="2656" t="str">
        <f>'Single Audit Cover'!E7</f>
        <v>53-102-1400-26</v>
      </c>
      <c r="B2" s="2656"/>
      <c r="C2" s="2656"/>
      <c r="D2" s="2656"/>
      <c r="E2" s="2656"/>
      <c r="F2" s="2656"/>
      <c r="G2" s="1051"/>
    </row>
    <row r="3" spans="1:7" ht="15.75" customHeight="1" x14ac:dyDescent="0.2">
      <c r="A3" s="2661" t="s">
        <v>1260</v>
      </c>
      <c r="B3" s="2661"/>
      <c r="C3" s="2661"/>
      <c r="D3" s="2661"/>
      <c r="E3" s="2661"/>
      <c r="F3" s="2661"/>
    </row>
    <row r="4" spans="1:7" ht="13.5" customHeight="1" x14ac:dyDescent="0.2">
      <c r="A4" s="2662" t="str">
        <f>'Single Audit Cover'!A4</f>
        <v>Year Ending June 30, 2020</v>
      </c>
      <c r="B4" s="2662"/>
      <c r="C4" s="2662"/>
      <c r="D4" s="2662"/>
      <c r="E4" s="2662"/>
      <c r="F4" s="2662"/>
    </row>
    <row r="5" spans="1:7" ht="8.25" customHeight="1" x14ac:dyDescent="0.2">
      <c r="C5" s="295"/>
      <c r="D5" s="295"/>
    </row>
    <row r="6" spans="1:7" ht="13.5" customHeight="1" x14ac:dyDescent="0.2">
      <c r="A6" s="1052" t="s">
        <v>1705</v>
      </c>
      <c r="C6" s="295"/>
      <c r="D6" s="295"/>
    </row>
    <row r="7" spans="1:7" ht="60.95" customHeight="1" x14ac:dyDescent="0.2">
      <c r="A7" s="2659" t="s">
        <v>2144</v>
      </c>
      <c r="B7" s="2659"/>
      <c r="C7" s="2659"/>
      <c r="D7" s="2659"/>
      <c r="E7" s="2659"/>
      <c r="F7" s="2659"/>
    </row>
    <row r="8" spans="1:7" ht="12" customHeight="1" x14ac:dyDescent="0.2">
      <c r="A8" s="1052"/>
      <c r="B8" s="1058"/>
      <c r="C8" s="1058"/>
      <c r="D8" s="1058"/>
    </row>
    <row r="9" spans="1:7" ht="15" customHeight="1" x14ac:dyDescent="0.2">
      <c r="A9" s="1053" t="s">
        <v>1706</v>
      </c>
      <c r="B9" s="1056"/>
      <c r="C9" s="1056"/>
      <c r="D9" s="1056"/>
      <c r="E9" s="1054"/>
      <c r="F9" s="1054"/>
      <c r="G9" s="1054"/>
    </row>
    <row r="10" spans="1:7" ht="15" customHeight="1" x14ac:dyDescent="0.2">
      <c r="A10" s="1055" t="s">
        <v>1530</v>
      </c>
      <c r="B10" s="1056"/>
      <c r="C10" s="1057"/>
      <c r="D10" s="1056" t="s">
        <v>1531</v>
      </c>
      <c r="E10" s="1057" t="s">
        <v>2048</v>
      </c>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15" customHeight="1" x14ac:dyDescent="0.2">
      <c r="A13" s="2659" t="s">
        <v>2143</v>
      </c>
      <c r="B13" s="2659"/>
      <c r="C13" s="2659"/>
      <c r="D13" s="2659"/>
      <c r="E13" s="2659"/>
      <c r="F13" s="2659"/>
    </row>
    <row r="14" spans="1:7" ht="9.75" customHeight="1" x14ac:dyDescent="0.2">
      <c r="C14" s="1036"/>
      <c r="D14" s="1036"/>
    </row>
    <row r="15" spans="1:7" ht="13.5" customHeight="1" x14ac:dyDescent="0.2">
      <c r="C15" s="1476" t="s">
        <v>1259</v>
      </c>
      <c r="D15" s="2664" t="s">
        <v>1258</v>
      </c>
      <c r="E15" s="2664"/>
      <c r="F15" s="2664"/>
    </row>
    <row r="16" spans="1:7" ht="13.5" customHeight="1" x14ac:dyDescent="0.2">
      <c r="A16" s="1058"/>
      <c r="B16" s="1052" t="s">
        <v>1257</v>
      </c>
      <c r="C16" s="1476" t="s">
        <v>1256</v>
      </c>
      <c r="D16" s="2665" t="s">
        <v>1571</v>
      </c>
      <c r="E16" s="2665"/>
      <c r="F16" s="2665"/>
    </row>
    <row r="17" spans="1:6" ht="20.45" customHeight="1" x14ac:dyDescent="0.2">
      <c r="A17" s="1059"/>
      <c r="B17" s="1060" t="s">
        <v>2142</v>
      </c>
      <c r="C17" s="1061"/>
      <c r="D17" s="2663"/>
      <c r="E17" s="2663"/>
      <c r="F17" s="2663"/>
    </row>
    <row r="18" spans="1:6" ht="20.65" customHeight="1" x14ac:dyDescent="0.2">
      <c r="A18" s="1059"/>
      <c r="B18" s="1060"/>
      <c r="C18" s="1061"/>
      <c r="D18" s="2663"/>
      <c r="E18" s="2663"/>
      <c r="F18" s="2663"/>
    </row>
    <row r="19" spans="1:6" ht="20.65" customHeight="1" x14ac:dyDescent="0.2">
      <c r="A19" s="1059"/>
      <c r="B19" s="1060"/>
      <c r="C19" s="1061"/>
      <c r="D19" s="2663"/>
      <c r="E19" s="2663"/>
      <c r="F19" s="2663"/>
    </row>
    <row r="20" spans="1:6" ht="20.65" customHeight="1" x14ac:dyDescent="0.2">
      <c r="A20" s="1059"/>
      <c r="B20" s="1060"/>
      <c r="C20" s="1061"/>
      <c r="D20" s="2663"/>
      <c r="E20" s="2663"/>
      <c r="F20" s="2663"/>
    </row>
    <row r="21" spans="1:6" ht="20.65" customHeight="1" x14ac:dyDescent="0.2">
      <c r="A21" s="1059"/>
      <c r="B21" s="1060"/>
      <c r="C21" s="1061"/>
      <c r="D21" s="2663"/>
      <c r="E21" s="2663"/>
      <c r="F21" s="2663"/>
    </row>
    <row r="22" spans="1:6" ht="20.65" customHeight="1" x14ac:dyDescent="0.2">
      <c r="A22" s="1059"/>
      <c r="B22" s="1060"/>
      <c r="C22" s="1061"/>
      <c r="D22" s="2663"/>
      <c r="E22" s="2663"/>
      <c r="F22" s="2663"/>
    </row>
    <row r="23" spans="1:6" ht="20.65" customHeight="1" x14ac:dyDescent="0.2">
      <c r="A23" s="1059"/>
      <c r="B23" s="1060"/>
      <c r="C23" s="1061"/>
      <c r="D23" s="2663"/>
      <c r="E23" s="2663"/>
      <c r="F23" s="2663"/>
    </row>
    <row r="24" spans="1:6" ht="20.65" customHeight="1" x14ac:dyDescent="0.2">
      <c r="A24" s="1059"/>
      <c r="B24" s="1060"/>
      <c r="C24" s="1061"/>
      <c r="D24" s="2663"/>
      <c r="E24" s="2663"/>
      <c r="F24" s="2663"/>
    </row>
    <row r="25" spans="1:6" ht="20.65" customHeight="1" x14ac:dyDescent="0.2">
      <c r="A25" s="1059"/>
      <c r="B25" s="1060"/>
      <c r="C25" s="1061"/>
      <c r="D25" s="2663"/>
      <c r="E25" s="2663"/>
      <c r="F25" s="2663"/>
    </row>
    <row r="26" spans="1:6" ht="20.65" customHeight="1" x14ac:dyDescent="0.2">
      <c r="A26" s="1059"/>
      <c r="B26" s="1060"/>
      <c r="C26" s="1061"/>
      <c r="D26" s="2663"/>
      <c r="E26" s="2663"/>
      <c r="F26" s="2663"/>
    </row>
    <row r="27" spans="1:6" ht="20.65" customHeight="1" x14ac:dyDescent="0.2">
      <c r="A27" s="1059"/>
      <c r="B27" s="1060"/>
      <c r="C27" s="1061"/>
      <c r="D27" s="2663"/>
      <c r="E27" s="2663"/>
      <c r="F27" s="2663"/>
    </row>
    <row r="28" spans="1:6" ht="20.65" customHeight="1" x14ac:dyDescent="0.2">
      <c r="A28" s="1059"/>
      <c r="B28" s="1060"/>
      <c r="C28" s="1061"/>
      <c r="D28" s="2663"/>
      <c r="E28" s="2663"/>
      <c r="F28" s="2663"/>
    </row>
    <row r="29" spans="1:6" ht="20.65" customHeight="1" x14ac:dyDescent="0.2">
      <c r="A29" s="1059"/>
      <c r="B29" s="1060"/>
      <c r="C29" s="1061"/>
      <c r="D29" s="2663"/>
      <c r="E29" s="2663"/>
      <c r="F29" s="2663"/>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667" t="s">
        <v>2179</v>
      </c>
      <c r="B32" s="2667"/>
      <c r="C32" s="2667"/>
      <c r="D32" s="2667"/>
      <c r="E32" s="2667"/>
      <c r="F32" s="2667"/>
    </row>
    <row r="33" spans="1:6" ht="13.5" customHeight="1" x14ac:dyDescent="0.2">
      <c r="A33" s="306" t="s">
        <v>1417</v>
      </c>
      <c r="B33" s="306"/>
      <c r="C33" s="1064">
        <f>SEFA20!H31</f>
        <v>41724</v>
      </c>
      <c r="D33" s="1526"/>
      <c r="E33" s="1062"/>
    </row>
    <row r="34" spans="1:6" ht="13.5" customHeight="1" x14ac:dyDescent="0.2">
      <c r="A34" s="306" t="s">
        <v>1808</v>
      </c>
      <c r="B34" s="306"/>
      <c r="C34" s="1065">
        <f>SEFA20!H28</f>
        <v>10536</v>
      </c>
      <c r="D34" s="1526" t="s">
        <v>1572</v>
      </c>
      <c r="E34" s="2668">
        <f>+C33+C34</f>
        <v>52260</v>
      </c>
      <c r="F34" s="2669"/>
    </row>
    <row r="35" spans="1:6" ht="12" customHeight="1" x14ac:dyDescent="0.2">
      <c r="A35" s="306"/>
      <c r="B35" s="306"/>
      <c r="C35" s="1527"/>
      <c r="D35" s="1526"/>
      <c r="E35" s="1066"/>
      <c r="F35" s="1067"/>
    </row>
    <row r="36" spans="1:6" ht="13.5" customHeight="1" x14ac:dyDescent="0.2">
      <c r="A36" s="1063" t="s">
        <v>1533</v>
      </c>
      <c r="B36" s="306"/>
      <c r="C36" s="1233"/>
      <c r="D36" s="1526"/>
      <c r="E36" s="1062"/>
    </row>
    <row r="37" spans="1:6" ht="14.25" customHeight="1" x14ac:dyDescent="0.2">
      <c r="A37" s="306" t="s">
        <v>1467</v>
      </c>
      <c r="B37" s="306"/>
      <c r="C37" s="1528"/>
      <c r="D37" s="1526"/>
      <c r="E37" s="1062"/>
    </row>
    <row r="38" spans="1:6" ht="14.25" customHeight="1" x14ac:dyDescent="0.2">
      <c r="A38" s="306"/>
      <c r="B38" s="306" t="s">
        <v>1418</v>
      </c>
      <c r="C38" s="1068" t="s">
        <v>380</v>
      </c>
      <c r="D38" s="1526"/>
      <c r="E38" s="1062"/>
    </row>
    <row r="39" spans="1:6" ht="14.25" customHeight="1" x14ac:dyDescent="0.2">
      <c r="A39" s="306"/>
      <c r="B39" s="306" t="s">
        <v>1419</v>
      </c>
      <c r="C39" s="1068" t="s">
        <v>380</v>
      </c>
      <c r="D39" s="1526"/>
      <c r="E39" s="1062"/>
    </row>
    <row r="40" spans="1:6" ht="14.25" customHeight="1" x14ac:dyDescent="0.2">
      <c r="A40" s="306"/>
      <c r="B40" s="306" t="s">
        <v>1420</v>
      </c>
      <c r="C40" s="1068" t="s">
        <v>380</v>
      </c>
      <c r="D40" s="1526"/>
      <c r="E40" s="1062"/>
    </row>
    <row r="41" spans="1:6" ht="14.25" customHeight="1" x14ac:dyDescent="0.2">
      <c r="A41" s="306"/>
      <c r="B41" s="306" t="s">
        <v>1421</v>
      </c>
      <c r="C41" s="1068" t="s">
        <v>380</v>
      </c>
      <c r="D41" s="1526"/>
      <c r="E41" s="1062"/>
    </row>
    <row r="42" spans="1:6" ht="14.25" customHeight="1" x14ac:dyDescent="0.2">
      <c r="A42" s="306" t="s">
        <v>1422</v>
      </c>
      <c r="B42" s="306"/>
      <c r="C42" s="1524" t="s">
        <v>380</v>
      </c>
      <c r="D42" s="1526"/>
      <c r="E42" s="1062"/>
    </row>
    <row r="43" spans="1:6" ht="14.25" customHeight="1" x14ac:dyDescent="0.2">
      <c r="A43" s="306" t="s">
        <v>1423</v>
      </c>
      <c r="B43" s="306"/>
      <c r="C43" s="1069" t="s">
        <v>380</v>
      </c>
      <c r="D43" s="1526"/>
      <c r="E43" s="1062"/>
    </row>
    <row r="44" spans="1:6" ht="14.25" customHeight="1" x14ac:dyDescent="0.2">
      <c r="A44" s="306"/>
      <c r="B44" s="306"/>
      <c r="C44" s="1528" t="s">
        <v>1424</v>
      </c>
      <c r="D44" s="1526"/>
      <c r="E44" s="1062"/>
    </row>
    <row r="45" spans="1:6" ht="13.5" customHeight="1" x14ac:dyDescent="0.2">
      <c r="B45" s="300"/>
      <c r="C45" s="1070"/>
      <c r="D45" s="1070"/>
    </row>
    <row r="46" spans="1:6" x14ac:dyDescent="0.2">
      <c r="A46" s="1071" t="s">
        <v>1707</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670" t="s">
        <v>1573</v>
      </c>
      <c r="C49" s="2670"/>
      <c r="D49" s="2670"/>
      <c r="E49" s="1168"/>
    </row>
    <row r="50" spans="1:5" s="1076" customFormat="1" ht="3.75" customHeight="1" x14ac:dyDescent="0.2">
      <c r="A50" s="1075"/>
      <c r="B50" s="1475"/>
      <c r="C50" s="1475"/>
      <c r="D50" s="1475"/>
      <c r="E50" s="1168"/>
    </row>
    <row r="51" spans="1:5" s="1076" customFormat="1" ht="20.25" customHeight="1" x14ac:dyDescent="0.2">
      <c r="A51" s="1077">
        <v>6</v>
      </c>
      <c r="B51" s="2666" t="s">
        <v>1534</v>
      </c>
      <c r="C51" s="2666"/>
      <c r="D51" s="2666"/>
    </row>
    <row r="52" spans="1:5" ht="14.25" customHeight="1" x14ac:dyDescent="0.2">
      <c r="A52" s="1077"/>
      <c r="B52" s="2666"/>
      <c r="C52" s="2666"/>
      <c r="D52" s="2666"/>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75" t="str">
        <f>'Single Audit Cover'!A7</f>
        <v>Community Unit School District No. 140</v>
      </c>
      <c r="C1" s="2676"/>
      <c r="D1" s="2676"/>
      <c r="E1" s="2676"/>
      <c r="F1" s="2676"/>
      <c r="G1" s="2676"/>
      <c r="H1" s="2676"/>
      <c r="I1" s="2676"/>
      <c r="J1" s="1178"/>
    </row>
    <row r="2" spans="2:10" s="295" customFormat="1" ht="12.75" customHeight="1" x14ac:dyDescent="0.2">
      <c r="B2" s="2677" t="str">
        <f>'Single Audit Cover'!E7</f>
        <v>53-102-1400-26</v>
      </c>
      <c r="C2" s="2678"/>
      <c r="D2" s="2678"/>
      <c r="E2" s="2678"/>
      <c r="F2" s="2678"/>
      <c r="G2" s="2678"/>
      <c r="H2" s="2678"/>
      <c r="I2" s="2678"/>
      <c r="J2" s="1178"/>
    </row>
    <row r="3" spans="2:10" s="295" customFormat="1" ht="12.75" customHeight="1" x14ac:dyDescent="0.2">
      <c r="B3" s="2679" t="s">
        <v>1274</v>
      </c>
      <c r="C3" s="2680"/>
      <c r="D3" s="2680"/>
      <c r="E3" s="2680"/>
      <c r="F3" s="2680"/>
      <c r="G3" s="2680"/>
      <c r="H3" s="2680"/>
      <c r="I3" s="2680"/>
      <c r="J3" s="1179"/>
    </row>
    <row r="4" spans="2:10" s="295" customFormat="1" ht="12.75" customHeight="1" x14ac:dyDescent="0.2">
      <c r="B4" s="2679" t="str">
        <f>'Single Audit Cover'!A4</f>
        <v>Year Ending June 30, 2020</v>
      </c>
      <c r="C4" s="2680"/>
      <c r="D4" s="2680"/>
      <c r="E4" s="2680"/>
      <c r="F4" s="2680"/>
      <c r="G4" s="2680"/>
      <c r="H4" s="2680"/>
      <c r="I4" s="2680"/>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679" t="s">
        <v>1273</v>
      </c>
      <c r="C7" s="2680"/>
      <c r="D7" s="2680"/>
      <c r="E7" s="2680"/>
      <c r="F7" s="2680"/>
      <c r="G7" s="2680"/>
      <c r="H7" s="2680"/>
      <c r="I7" s="2680"/>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681" t="s">
        <v>2149</v>
      </c>
      <c r="D11" s="2681"/>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c r="F15" s="1076" t="s">
        <v>879</v>
      </c>
      <c r="G15" s="1194" t="s">
        <v>2135</v>
      </c>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t="s">
        <v>2135</v>
      </c>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t="s">
        <v>2135</v>
      </c>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t="s">
        <v>2135</v>
      </c>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t="s">
        <v>2135</v>
      </c>
      <c r="H27" s="1076" t="s">
        <v>1265</v>
      </c>
      <c r="I27" s="1076"/>
    </row>
    <row r="28" spans="2:9" s="295" customFormat="1" ht="12.75" customHeight="1" x14ac:dyDescent="0.2">
      <c r="B28" s="1138"/>
      <c r="C28" s="1058"/>
      <c r="E28" s="1034"/>
    </row>
    <row r="29" spans="2:9" s="295" customFormat="1" ht="12.75" customHeight="1" x14ac:dyDescent="0.2">
      <c r="B29" s="1138" t="s">
        <v>1264</v>
      </c>
      <c r="C29" s="1058"/>
      <c r="D29" s="2682" t="s">
        <v>2145</v>
      </c>
      <c r="E29" s="2682"/>
      <c r="F29" s="2682"/>
      <c r="G29" s="2682"/>
      <c r="H29" s="2682"/>
      <c r="I29" s="2682"/>
    </row>
    <row r="30" spans="2:9" s="295" customFormat="1" x14ac:dyDescent="0.2">
      <c r="B30" s="1138"/>
      <c r="C30" s="300"/>
      <c r="D30" s="1189" t="s">
        <v>1722</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t="s">
        <v>2135</v>
      </c>
      <c r="H33" s="1076" t="s">
        <v>99</v>
      </c>
    </row>
    <row r="35" spans="2:9" x14ac:dyDescent="0.2">
      <c r="B35" s="1197" t="s">
        <v>1723</v>
      </c>
      <c r="C35" s="1198"/>
      <c r="D35" s="1043"/>
    </row>
    <row r="36" spans="2:9" ht="6" customHeight="1" x14ac:dyDescent="0.2">
      <c r="B36" s="1197"/>
      <c r="C36" s="1198"/>
      <c r="D36" s="1043"/>
    </row>
    <row r="37" spans="2:9" ht="17.25" customHeight="1" x14ac:dyDescent="0.2">
      <c r="B37" s="1199" t="s">
        <v>1724</v>
      </c>
      <c r="C37" s="2683" t="s">
        <v>1725</v>
      </c>
      <c r="D37" s="2684"/>
      <c r="E37" s="2684"/>
      <c r="F37" s="2685"/>
      <c r="G37" s="2683" t="s">
        <v>1575</v>
      </c>
      <c r="H37" s="2684"/>
      <c r="I37" s="2685"/>
    </row>
    <row r="38" spans="2:9" ht="16.5" customHeight="1" x14ac:dyDescent="0.2">
      <c r="B38" s="1200" t="s">
        <v>2150</v>
      </c>
      <c r="C38" s="2671" t="s">
        <v>2151</v>
      </c>
      <c r="D38" s="2672"/>
      <c r="E38" s="2672"/>
      <c r="F38" s="2673"/>
      <c r="G38" s="2686">
        <f>+SEFA20!H53+SEFA20!H56+SEFA20!H66</f>
        <v>400467</v>
      </c>
      <c r="H38" s="2687"/>
      <c r="I38" s="2688"/>
    </row>
    <row r="39" spans="2:9" ht="16.5" customHeight="1" x14ac:dyDescent="0.2">
      <c r="B39" s="1200"/>
      <c r="C39" s="2671"/>
      <c r="D39" s="2672"/>
      <c r="E39" s="2672"/>
      <c r="F39" s="2673"/>
      <c r="G39" s="2674"/>
      <c r="H39" s="2674"/>
      <c r="I39" s="2674"/>
    </row>
    <row r="40" spans="2:9" ht="16.5" customHeight="1" x14ac:dyDescent="0.2">
      <c r="B40" s="1200"/>
      <c r="C40" s="2671"/>
      <c r="D40" s="2672"/>
      <c r="E40" s="2672"/>
      <c r="F40" s="2673"/>
      <c r="G40" s="2674"/>
      <c r="H40" s="2674"/>
      <c r="I40" s="2674"/>
    </row>
    <row r="41" spans="2:9" ht="16.5" customHeight="1" x14ac:dyDescent="0.2">
      <c r="B41" s="1200"/>
      <c r="C41" s="2671"/>
      <c r="D41" s="2672"/>
      <c r="E41" s="2672"/>
      <c r="F41" s="2673"/>
      <c r="G41" s="2674"/>
      <c r="H41" s="2674"/>
      <c r="I41" s="2674"/>
    </row>
    <row r="42" spans="2:9" ht="16.5" customHeight="1" x14ac:dyDescent="0.2">
      <c r="B42" s="1200"/>
      <c r="C42" s="2671"/>
      <c r="D42" s="2672"/>
      <c r="E42" s="2672"/>
      <c r="F42" s="2673"/>
      <c r="G42" s="2674"/>
      <c r="H42" s="2674"/>
      <c r="I42" s="2674"/>
    </row>
    <row r="43" spans="2:9" ht="16.5" customHeight="1" x14ac:dyDescent="0.2">
      <c r="B43" s="1200"/>
      <c r="C43" s="2689" t="s">
        <v>1576</v>
      </c>
      <c r="D43" s="2690"/>
      <c r="E43" s="2690"/>
      <c r="F43" s="2691"/>
      <c r="G43" s="2692">
        <f>SUM(G38:I42)</f>
        <v>400467</v>
      </c>
      <c r="H43" s="2692"/>
      <c r="I43" s="2692"/>
    </row>
    <row r="44" spans="2:9" ht="12.75" customHeight="1" x14ac:dyDescent="0.2"/>
    <row r="45" spans="2:9" ht="12.75" customHeight="1" x14ac:dyDescent="0.2">
      <c r="B45" s="1918" t="str">
        <f>"Total Federal Expenditures for 7/1/"&amp;MID('AFR20'!E2,3,2)-1&amp;"-6/30/"&amp;MID('AFR20'!E2,3,2)</f>
        <v>Total Federal Expenditures for 7/1/19-6/30/20</v>
      </c>
      <c r="C45" s="1919"/>
      <c r="D45" s="2693">
        <f>SEFA20!H96</f>
        <v>836624</v>
      </c>
      <c r="E45" s="2694"/>
    </row>
    <row r="46" spans="2:9" ht="5.25" customHeight="1" x14ac:dyDescent="0.2">
      <c r="B46" s="1201"/>
      <c r="D46" s="1202"/>
      <c r="E46" s="1203"/>
    </row>
    <row r="47" spans="2:9" ht="12.75" customHeight="1" x14ac:dyDescent="0.2">
      <c r="B47" s="1076" t="s">
        <v>1577</v>
      </c>
      <c r="C47" s="1076"/>
      <c r="D47" s="1204">
        <f>+G43/D45</f>
        <v>0.47867022700759243</v>
      </c>
      <c r="E47" s="1205"/>
      <c r="F47" s="1206"/>
      <c r="I47" s="1207"/>
    </row>
    <row r="48" spans="2:9" ht="9.9499999999999993" customHeight="1" x14ac:dyDescent="0.2"/>
    <row r="49" spans="1:9" x14ac:dyDescent="0.2">
      <c r="B49" s="1138" t="s">
        <v>1262</v>
      </c>
      <c r="C49" s="1058"/>
      <c r="D49" s="1058"/>
      <c r="E49" s="2695">
        <v>750000</v>
      </c>
      <c r="F49" s="2695"/>
      <c r="G49" s="2695"/>
      <c r="H49" s="300"/>
    </row>
    <row r="51" spans="1:9" ht="13.5" customHeight="1" x14ac:dyDescent="0.2">
      <c r="B51" s="1138" t="s">
        <v>1261</v>
      </c>
      <c r="C51" s="1058"/>
      <c r="E51" s="1194"/>
      <c r="F51" s="1076" t="s">
        <v>879</v>
      </c>
      <c r="G51" s="1194" t="s">
        <v>2135</v>
      </c>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1726</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1727</v>
      </c>
      <c r="C58" s="1220"/>
      <c r="D58" s="1220"/>
    </row>
    <row r="59" spans="1:9" s="1217" customFormat="1" ht="3.95" customHeight="1" x14ac:dyDescent="0.2">
      <c r="A59" s="1214"/>
      <c r="B59" s="1219"/>
      <c r="C59" s="1220"/>
      <c r="D59" s="1220"/>
    </row>
    <row r="60" spans="1:9" s="1217" customFormat="1" ht="13.5" customHeight="1" x14ac:dyDescent="0.2">
      <c r="A60" s="1214"/>
      <c r="B60" s="1219" t="s">
        <v>1728</v>
      </c>
      <c r="C60" s="1220"/>
      <c r="D60" s="1220"/>
    </row>
    <row r="61" spans="1:9" s="1217" customFormat="1" ht="3.95" customHeight="1" x14ac:dyDescent="0.2">
      <c r="A61" s="1214"/>
      <c r="B61" s="1219"/>
      <c r="C61" s="1220"/>
      <c r="D61" s="1220"/>
    </row>
    <row r="62" spans="1:9" s="1217" customFormat="1" ht="12.75" customHeight="1" x14ac:dyDescent="0.2">
      <c r="A62" s="1214"/>
      <c r="B62" s="1219" t="s">
        <v>1729</v>
      </c>
      <c r="C62" s="1220"/>
      <c r="D62" s="1220"/>
    </row>
    <row r="63" spans="1:9" s="1217" customFormat="1" ht="13.5" customHeight="1" x14ac:dyDescent="0.2">
      <c r="A63" s="1214"/>
      <c r="B63" s="1218" t="s">
        <v>1580</v>
      </c>
      <c r="C63" s="1214"/>
      <c r="D63" s="1214"/>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rintOptions horizontalCentered="1"/>
  <pageMargins left="0.25" right="0.27" top="0.46" bottom="0.49" header="0.26" footer="0.28999999999999998"/>
  <pageSetup scale="98" firstPageNumber="40" orientation="portrait" useFirstPageNumber="1" r:id="rId1"/>
  <headerFooter alignWithMargins="0">
    <oddHeader>&amp;R&amp;8Page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75" t="str">
        <f>'Single Audit Cover'!A7</f>
        <v>Community Unit School District No. 140</v>
      </c>
      <c r="C1" s="2675"/>
      <c r="D1" s="2675"/>
      <c r="E1" s="2675"/>
      <c r="F1" s="2675"/>
      <c r="G1" s="2675"/>
      <c r="H1" s="2675"/>
      <c r="I1" s="2675"/>
      <c r="J1" s="2675"/>
      <c r="K1" s="2675"/>
      <c r="L1" s="1144"/>
      <c r="M1" s="1144"/>
    </row>
    <row r="2" spans="1:13" ht="12" customHeight="1" x14ac:dyDescent="0.2">
      <c r="B2" s="2677" t="str">
        <f>'Single Audit Cover'!E7</f>
        <v>53-102-1400-26</v>
      </c>
      <c r="C2" s="2677"/>
      <c r="D2" s="2677"/>
      <c r="E2" s="2677"/>
      <c r="F2" s="2677"/>
      <c r="G2" s="2677"/>
      <c r="H2" s="2677"/>
      <c r="I2" s="2677"/>
      <c r="J2" s="2677"/>
      <c r="K2" s="2677"/>
      <c r="L2" s="1145"/>
      <c r="M2" s="1146"/>
    </row>
    <row r="3" spans="1:13" ht="10.35" customHeight="1" x14ac:dyDescent="0.2">
      <c r="B3" s="2698" t="s">
        <v>1274</v>
      </c>
      <c r="C3" s="2698"/>
      <c r="D3" s="2698"/>
      <c r="E3" s="2698"/>
      <c r="F3" s="2698"/>
      <c r="G3" s="2698"/>
      <c r="H3" s="2698"/>
      <c r="I3" s="2698"/>
      <c r="J3" s="2698"/>
      <c r="K3" s="2698"/>
      <c r="L3" s="1147"/>
      <c r="M3" s="1147"/>
    </row>
    <row r="4" spans="1:13" ht="14.25" customHeight="1" x14ac:dyDescent="0.2">
      <c r="B4" s="2699" t="str">
        <f>'Single Audit Cover'!A4</f>
        <v>Year Ending June 30, 2020</v>
      </c>
      <c r="C4" s="2699"/>
      <c r="D4" s="2699"/>
      <c r="E4" s="2699"/>
      <c r="F4" s="2699"/>
      <c r="G4" s="2699"/>
      <c r="H4" s="2699"/>
      <c r="I4" s="2699"/>
      <c r="J4" s="2699"/>
      <c r="K4" s="2699"/>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99" t="s">
        <v>1285</v>
      </c>
      <c r="C7" s="2699"/>
      <c r="D7" s="2700"/>
      <c r="E7" s="2700"/>
      <c r="F7" s="2700"/>
      <c r="G7" s="2700"/>
      <c r="H7" s="2700"/>
      <c r="I7" s="2700"/>
      <c r="J7" s="2700"/>
      <c r="K7" s="2700"/>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1716</v>
      </c>
      <c r="C10" s="1920" t="str">
        <f>'AFR20'!$E$2&amp;"-"</f>
        <v>2020-</v>
      </c>
      <c r="D10" s="1155" t="s">
        <v>2146</v>
      </c>
      <c r="E10" s="300"/>
      <c r="F10" s="1156" t="s">
        <v>1284</v>
      </c>
      <c r="G10" s="1157"/>
      <c r="H10" s="1158" t="s">
        <v>1283</v>
      </c>
      <c r="I10" s="1157"/>
      <c r="J10" s="1159" t="s">
        <v>1282</v>
      </c>
      <c r="K10" s="300"/>
      <c r="L10" s="1151"/>
    </row>
    <row r="11" spans="1:13" ht="13.5" customHeight="1" x14ac:dyDescent="0.2">
      <c r="B11" s="300"/>
      <c r="C11" s="300"/>
      <c r="D11" s="300"/>
      <c r="E11" s="300"/>
      <c r="F11" s="300"/>
      <c r="G11" s="1153"/>
      <c r="H11" s="300"/>
      <c r="I11" s="1160" t="s">
        <v>1281</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97"/>
      <c r="C14" s="2697"/>
      <c r="D14" s="2697"/>
      <c r="E14" s="2697"/>
      <c r="F14" s="2697"/>
      <c r="G14" s="2697"/>
      <c r="H14" s="2697"/>
      <c r="I14" s="2697"/>
      <c r="J14" s="2697"/>
      <c r="K14" s="2697"/>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97"/>
      <c r="C17" s="2697"/>
      <c r="D17" s="2697"/>
      <c r="E17" s="2697"/>
      <c r="F17" s="2697"/>
      <c r="G17" s="2697"/>
      <c r="H17" s="2697"/>
      <c r="I17" s="2697"/>
      <c r="J17" s="2697"/>
      <c r="K17" s="2697"/>
      <c r="L17" s="1151"/>
    </row>
    <row r="18" spans="2:12" ht="4.5" customHeight="1" x14ac:dyDescent="0.2">
      <c r="B18" s="1167"/>
      <c r="C18" s="1167"/>
      <c r="L18" s="1151"/>
    </row>
    <row r="19" spans="2:12" s="1058" customFormat="1" ht="13.5" customHeight="1" x14ac:dyDescent="0.2">
      <c r="B19" s="1162" t="s">
        <v>1717</v>
      </c>
      <c r="C19" s="1162"/>
      <c r="D19" s="1163"/>
      <c r="E19" s="1163"/>
      <c r="F19" s="1163"/>
      <c r="G19" s="1164"/>
      <c r="H19" s="1163"/>
      <c r="I19" s="1164"/>
      <c r="J19" s="1163"/>
      <c r="K19" s="1163"/>
      <c r="L19" s="1165"/>
    </row>
    <row r="20" spans="2:12" ht="45.75" customHeight="1" x14ac:dyDescent="0.2">
      <c r="B20" s="2701"/>
      <c r="C20" s="2701"/>
      <c r="D20" s="2697"/>
      <c r="E20" s="2697"/>
      <c r="F20" s="2697"/>
      <c r="G20" s="2697"/>
      <c r="H20" s="2697"/>
      <c r="I20" s="2697"/>
      <c r="J20" s="2697"/>
      <c r="K20" s="2697"/>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97"/>
      <c r="C23" s="2697"/>
      <c r="D23" s="2697"/>
      <c r="E23" s="2697"/>
      <c r="F23" s="2697"/>
      <c r="G23" s="2697"/>
      <c r="H23" s="2697"/>
      <c r="I23" s="2697"/>
      <c r="J23" s="2697"/>
      <c r="K23" s="2697"/>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97"/>
      <c r="C26" s="2697"/>
      <c r="D26" s="2697"/>
      <c r="E26" s="2697"/>
      <c r="F26" s="2697"/>
      <c r="G26" s="2697"/>
      <c r="H26" s="2697"/>
      <c r="I26" s="2697"/>
      <c r="J26" s="2697"/>
      <c r="K26" s="2697"/>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96"/>
      <c r="C29" s="2696"/>
      <c r="D29" s="2697"/>
      <c r="E29" s="2697"/>
      <c r="F29" s="2697"/>
      <c r="G29" s="2697"/>
      <c r="H29" s="2697"/>
      <c r="I29" s="2697"/>
      <c r="J29" s="2697"/>
      <c r="K29" s="2697"/>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1718</v>
      </c>
      <c r="C31" s="1172"/>
      <c r="D31" s="1148"/>
      <c r="E31" s="1149"/>
      <c r="F31" s="1149"/>
      <c r="G31" s="1150"/>
      <c r="H31" s="1149"/>
      <c r="I31" s="1150"/>
      <c r="J31" s="1149"/>
      <c r="K31" s="1149"/>
      <c r="L31" s="1151"/>
    </row>
    <row r="32" spans="2:12" s="300" customFormat="1" ht="44.25" customHeight="1" x14ac:dyDescent="0.2">
      <c r="B32" s="2696"/>
      <c r="C32" s="2696"/>
      <c r="D32" s="2697"/>
      <c r="E32" s="2697"/>
      <c r="F32" s="2697"/>
      <c r="G32" s="2697"/>
      <c r="H32" s="2697"/>
      <c r="I32" s="2697"/>
      <c r="J32" s="2697"/>
      <c r="K32" s="2697"/>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1719</v>
      </c>
      <c r="C35" s="1175"/>
      <c r="D35" s="300"/>
      <c r="E35" s="300"/>
      <c r="F35" s="300"/>
      <c r="L35" s="1151"/>
    </row>
    <row r="36" spans="1:13" ht="9.6" customHeight="1" x14ac:dyDescent="0.2">
      <c r="B36" s="1076" t="s">
        <v>1810</v>
      </c>
      <c r="C36" s="1076"/>
      <c r="L36" s="1151"/>
    </row>
    <row r="37" spans="1:13" ht="9.6" customHeight="1" x14ac:dyDescent="0.2">
      <c r="B37" s="1076" t="s">
        <v>1811</v>
      </c>
      <c r="C37" s="1076"/>
    </row>
    <row r="38" spans="1:13" ht="11.85" customHeight="1" x14ac:dyDescent="0.2">
      <c r="B38" s="1176" t="s">
        <v>1720</v>
      </c>
      <c r="C38" s="1176"/>
    </row>
    <row r="39" spans="1:13" ht="9.6" customHeight="1" x14ac:dyDescent="0.2">
      <c r="B39" s="1076" t="s">
        <v>1275</v>
      </c>
      <c r="C39" s="1076"/>
      <c r="M39" s="1177"/>
    </row>
    <row r="40" spans="1:13" ht="12.6" customHeight="1" x14ac:dyDescent="0.2">
      <c r="B40" s="1176" t="s">
        <v>1721</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702" t="str">
        <f>'Single Audit Cover'!A7</f>
        <v>Community Unit School District No. 140</v>
      </c>
      <c r="C1" s="2702"/>
      <c r="D1" s="2702"/>
      <c r="E1" s="2702"/>
      <c r="F1" s="2702"/>
      <c r="G1" s="2702"/>
      <c r="H1" s="2702"/>
      <c r="I1" s="2702"/>
      <c r="J1" s="2702"/>
      <c r="K1" s="2702"/>
      <c r="L1" s="1221"/>
    </row>
    <row r="2" spans="1:12" ht="12.75" customHeight="1" x14ac:dyDescent="0.2">
      <c r="B2" s="2703" t="str">
        <f>'Single Audit Cover'!E7</f>
        <v>53-102-1400-26</v>
      </c>
      <c r="C2" s="2703"/>
      <c r="D2" s="2703"/>
      <c r="E2" s="2703"/>
      <c r="F2" s="2703"/>
      <c r="G2" s="2703"/>
      <c r="H2" s="2703"/>
      <c r="I2" s="2703"/>
      <c r="J2" s="2703"/>
      <c r="K2" s="2703"/>
      <c r="L2" s="1222"/>
    </row>
    <row r="3" spans="1:12" ht="12.75" customHeight="1" x14ac:dyDescent="0.2">
      <c r="B3" s="2698" t="s">
        <v>1274</v>
      </c>
      <c r="C3" s="2698"/>
      <c r="D3" s="2698"/>
      <c r="E3" s="2698"/>
      <c r="F3" s="2698"/>
      <c r="G3" s="2698"/>
      <c r="H3" s="2698"/>
      <c r="I3" s="2698"/>
      <c r="J3" s="2698"/>
      <c r="K3" s="2698"/>
      <c r="L3" s="1147"/>
    </row>
    <row r="4" spans="1:12" ht="12.75" customHeight="1" x14ac:dyDescent="0.2">
      <c r="B4" s="2698" t="str">
        <f>'Single Audit Cover'!A4</f>
        <v>Year Ending June 30, 2020</v>
      </c>
      <c r="C4" s="2698"/>
      <c r="D4" s="2698"/>
      <c r="E4" s="2698"/>
      <c r="F4" s="2698"/>
      <c r="G4" s="2698"/>
      <c r="H4" s="2698"/>
      <c r="I4" s="2698"/>
      <c r="J4" s="2698"/>
      <c r="K4" s="2698"/>
      <c r="L4" s="1147"/>
    </row>
    <row r="5" spans="1:12" ht="5.25" customHeight="1" x14ac:dyDescent="0.2">
      <c r="B5" s="1036" t="s">
        <v>1159</v>
      </c>
      <c r="C5" s="1036"/>
      <c r="L5" s="300"/>
    </row>
    <row r="6" spans="1:12" ht="30.75" customHeight="1" x14ac:dyDescent="0.2">
      <c r="A6" s="300"/>
      <c r="B6" s="2704" t="s">
        <v>1297</v>
      </c>
      <c r="C6" s="2704"/>
      <c r="D6" s="2704"/>
      <c r="E6" s="2704"/>
      <c r="F6" s="2704"/>
      <c r="G6" s="2704"/>
      <c r="H6" s="2704"/>
      <c r="I6" s="2704"/>
      <c r="J6" s="2704"/>
      <c r="K6" s="2704"/>
      <c r="L6" s="300"/>
    </row>
    <row r="7" spans="1:12" ht="4.5" customHeight="1" x14ac:dyDescent="0.2">
      <c r="B7" s="1149"/>
      <c r="C7" s="1149"/>
      <c r="D7" s="1149"/>
      <c r="E7" s="1149"/>
      <c r="F7" s="1149"/>
      <c r="G7" s="1150"/>
      <c r="H7" s="1149"/>
      <c r="I7" s="1150"/>
      <c r="J7" s="1149"/>
      <c r="K7" s="1149"/>
      <c r="L7" s="300"/>
    </row>
    <row r="8" spans="1:12" ht="13.5" customHeight="1" x14ac:dyDescent="0.2">
      <c r="B8" s="1156" t="s">
        <v>1730</v>
      </c>
      <c r="C8" s="1920" t="str">
        <f>'AFR20'!$E$2&amp;"-"</f>
        <v>2020-</v>
      </c>
      <c r="D8" s="1223" t="s">
        <v>2146</v>
      </c>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682"/>
      <c r="G12" s="2682"/>
      <c r="H12" s="2682"/>
      <c r="I12" s="2682"/>
      <c r="J12" s="2682"/>
      <c r="K12" s="2682"/>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705"/>
      <c r="E14" s="2705"/>
      <c r="F14" s="2705"/>
      <c r="H14" s="1230" t="s">
        <v>1292</v>
      </c>
      <c r="I14" s="2706"/>
      <c r="J14" s="2706"/>
      <c r="K14" s="2706"/>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706"/>
      <c r="E16" s="2706"/>
      <c r="F16" s="2706"/>
      <c r="G16" s="2706"/>
      <c r="H16" s="2706"/>
      <c r="I16" s="2706"/>
      <c r="J16" s="2706"/>
      <c r="K16" s="2706"/>
      <c r="L16" s="300"/>
    </row>
    <row r="17" spans="2:12" ht="13.5" customHeight="1" x14ac:dyDescent="0.2">
      <c r="B17" s="1156" t="s">
        <v>1290</v>
      </c>
      <c r="C17" s="1156"/>
      <c r="D17" s="2707"/>
      <c r="E17" s="2707"/>
      <c r="F17" s="2707"/>
      <c r="G17" s="2707"/>
      <c r="H17" s="2707"/>
      <c r="I17" s="2707"/>
      <c r="J17" s="2707"/>
      <c r="K17" s="2707"/>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697"/>
      <c r="C20" s="2697"/>
      <c r="D20" s="2697"/>
      <c r="E20" s="2697"/>
      <c r="F20" s="2697"/>
      <c r="G20" s="2697"/>
      <c r="H20" s="2697"/>
      <c r="I20" s="2697"/>
      <c r="J20" s="2697"/>
      <c r="K20" s="2697"/>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1731</v>
      </c>
      <c r="C22" s="1232"/>
      <c r="D22" s="300"/>
      <c r="E22" s="300"/>
      <c r="F22" s="300"/>
      <c r="G22" s="1153"/>
      <c r="H22" s="300"/>
      <c r="I22" s="1153"/>
      <c r="J22" s="300"/>
      <c r="K22" s="300"/>
      <c r="L22" s="300"/>
    </row>
    <row r="23" spans="2:12" ht="37.5" customHeight="1" x14ac:dyDescent="0.2">
      <c r="B23" s="2697"/>
      <c r="C23" s="2697"/>
      <c r="D23" s="2697"/>
      <c r="E23" s="2697"/>
      <c r="F23" s="2697"/>
      <c r="G23" s="2697"/>
      <c r="H23" s="2697"/>
      <c r="I23" s="2697"/>
      <c r="J23" s="2697"/>
      <c r="K23" s="2697"/>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1732</v>
      </c>
      <c r="C25" s="1232"/>
      <c r="D25" s="300"/>
      <c r="E25" s="300"/>
      <c r="F25" s="300"/>
      <c r="G25" s="1153"/>
      <c r="H25" s="300"/>
      <c r="I25" s="1153"/>
      <c r="J25" s="300"/>
      <c r="K25" s="300"/>
      <c r="L25" s="300"/>
    </row>
    <row r="26" spans="2:12" ht="37.5" customHeight="1" x14ac:dyDescent="0.2">
      <c r="B26" s="2697"/>
      <c r="C26" s="2697"/>
      <c r="D26" s="2697"/>
      <c r="E26" s="2697"/>
      <c r="F26" s="2697"/>
      <c r="G26" s="2697"/>
      <c r="H26" s="2697"/>
      <c r="I26" s="2697"/>
      <c r="J26" s="2697"/>
      <c r="K26" s="2697"/>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1733</v>
      </c>
      <c r="C28" s="1232"/>
      <c r="D28" s="300"/>
      <c r="E28" s="300"/>
      <c r="F28" s="300"/>
      <c r="G28" s="1153"/>
      <c r="H28" s="300"/>
      <c r="I28" s="1153"/>
      <c r="J28" s="300"/>
      <c r="K28" s="300"/>
      <c r="L28" s="300"/>
    </row>
    <row r="29" spans="2:12" ht="37.5" customHeight="1" x14ac:dyDescent="0.2">
      <c r="B29" s="2697"/>
      <c r="C29" s="2697"/>
      <c r="D29" s="2697"/>
      <c r="E29" s="2697"/>
      <c r="F29" s="2697"/>
      <c r="G29" s="2697"/>
      <c r="H29" s="2697"/>
      <c r="I29" s="2697"/>
      <c r="J29" s="2697"/>
      <c r="K29" s="2697"/>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697"/>
      <c r="C32" s="2697"/>
      <c r="D32" s="2697"/>
      <c r="E32" s="2697"/>
      <c r="F32" s="2697"/>
      <c r="G32" s="2697"/>
      <c r="H32" s="2697"/>
      <c r="I32" s="2697"/>
      <c r="J32" s="2697"/>
      <c r="K32" s="2697"/>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697"/>
      <c r="C35" s="2697"/>
      <c r="D35" s="2697"/>
      <c r="E35" s="2697"/>
      <c r="F35" s="2697"/>
      <c r="G35" s="2697"/>
      <c r="H35" s="2697"/>
      <c r="I35" s="2697"/>
      <c r="J35" s="2697"/>
      <c r="K35" s="2697"/>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697"/>
      <c r="C38" s="2697"/>
      <c r="D38" s="2697"/>
      <c r="E38" s="2697"/>
      <c r="F38" s="2697"/>
      <c r="G38" s="2697"/>
      <c r="H38" s="2697"/>
      <c r="I38" s="2697"/>
      <c r="J38" s="2697"/>
      <c r="K38" s="2697"/>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1734</v>
      </c>
      <c r="C40" s="1172"/>
      <c r="D40" s="1148"/>
      <c r="E40" s="1149"/>
      <c r="F40" s="1149"/>
      <c r="G40" s="1150"/>
      <c r="H40" s="1149"/>
      <c r="I40" s="1150"/>
      <c r="J40" s="1149"/>
      <c r="K40" s="1149"/>
    </row>
    <row r="41" spans="2:12" s="300" customFormat="1" ht="33.75" customHeight="1" x14ac:dyDescent="0.2">
      <c r="B41" s="2697"/>
      <c r="C41" s="2697"/>
      <c r="D41" s="2697"/>
      <c r="E41" s="2697"/>
      <c r="F41" s="2697"/>
      <c r="G41" s="2697"/>
      <c r="H41" s="2697"/>
      <c r="I41" s="2697"/>
      <c r="J41" s="2697"/>
      <c r="K41" s="2697"/>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1735</v>
      </c>
      <c r="C44" s="1175"/>
      <c r="D44" s="300"/>
      <c r="E44" s="300"/>
      <c r="F44" s="300"/>
    </row>
    <row r="45" spans="2:12" ht="10.5" customHeight="1" x14ac:dyDescent="0.2">
      <c r="B45" s="1176" t="s">
        <v>1736</v>
      </c>
      <c r="C45" s="1176"/>
      <c r="G45" s="295"/>
      <c r="I45" s="295"/>
    </row>
    <row r="46" spans="2:12" ht="11.1" customHeight="1" x14ac:dyDescent="0.2">
      <c r="B46" s="1176" t="s">
        <v>1737</v>
      </c>
      <c r="C46" s="1176"/>
      <c r="G46" s="295"/>
      <c r="I46" s="295"/>
    </row>
    <row r="47" spans="2:12" ht="11.1" customHeight="1" x14ac:dyDescent="0.2">
      <c r="B47" s="1176" t="s">
        <v>1738</v>
      </c>
      <c r="C47" s="1176"/>
      <c r="G47" s="295"/>
      <c r="I47" s="295"/>
    </row>
    <row r="48" spans="2:12" ht="11.1" customHeight="1" x14ac:dyDescent="0.2">
      <c r="B48" s="1176" t="s">
        <v>1739</v>
      </c>
      <c r="C48" s="1176"/>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rintOptions horizontalCentered="1"/>
  <pageMargins left="0.32" right="0.27" top="0.44" bottom="0.27" header="0.26" footer="0.18"/>
  <pageSetup firstPageNumber="42" orientation="portrait" useFirstPageNumber="1" r:id="rId1"/>
  <headerFooter alignWithMargins="0">
    <oddHeader>&amp;R&amp;8Page 45</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675" t="str">
        <f>'Single Audit Cover'!A7</f>
        <v>Community Unit School District No. 140</v>
      </c>
      <c r="C1" s="2675"/>
      <c r="D1" s="2675"/>
      <c r="E1" s="1240"/>
    </row>
    <row r="2" spans="2:5" s="1058" customFormat="1" ht="12.75" customHeight="1" x14ac:dyDescent="0.2">
      <c r="B2" s="2677" t="str">
        <f>'Single Audit Cover'!E7</f>
        <v>53-102-1400-26</v>
      </c>
      <c r="C2" s="2677"/>
      <c r="D2" s="2677"/>
      <c r="E2" s="1241"/>
    </row>
    <row r="3" spans="2:5" ht="12.75" customHeight="1" x14ac:dyDescent="0.2">
      <c r="B3" s="2698" t="s">
        <v>1740</v>
      </c>
      <c r="C3" s="2698"/>
      <c r="D3" s="2698"/>
      <c r="E3" s="1050"/>
    </row>
    <row r="4" spans="2:5" s="1058" customFormat="1" ht="12.75" customHeight="1" x14ac:dyDescent="0.2">
      <c r="B4" s="2708" t="str">
        <f>'Single Audit Cover'!A4</f>
        <v>Year Ending June 30, 2020</v>
      </c>
      <c r="C4" s="2708"/>
      <c r="D4" s="2708"/>
      <c r="E4" s="1242"/>
    </row>
    <row r="5" spans="2:5" s="1058" customFormat="1" ht="40.15" customHeight="1" x14ac:dyDescent="0.2">
      <c r="B5" s="1243" t="s">
        <v>1741</v>
      </c>
      <c r="C5" s="306"/>
      <c r="D5" s="306"/>
      <c r="E5" s="306"/>
    </row>
    <row r="6" spans="2:5" s="1058" customFormat="1" ht="13.5" customHeight="1" x14ac:dyDescent="0.2">
      <c r="B6" s="1244" t="s">
        <v>1304</v>
      </c>
      <c r="C6" s="1244" t="s">
        <v>1303</v>
      </c>
      <c r="D6" s="1244" t="s">
        <v>1742</v>
      </c>
    </row>
    <row r="7" spans="2:5" ht="13.5" customHeight="1" x14ac:dyDescent="0.2">
      <c r="B7" s="1245" t="s">
        <v>2147</v>
      </c>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1743</v>
      </c>
    </row>
    <row r="46" spans="2:5" ht="12.2" customHeight="1" x14ac:dyDescent="0.2">
      <c r="B46" s="1254" t="s">
        <v>1744</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rintOptions horizontalCentered="1"/>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274" t="s">
        <v>383</v>
      </c>
      <c r="B1" s="2274"/>
      <c r="C1" s="2274"/>
      <c r="D1" s="2274"/>
      <c r="E1" s="2274"/>
      <c r="F1" s="2274"/>
      <c r="G1" s="2274"/>
      <c r="H1" s="2274"/>
      <c r="I1" s="2274"/>
      <c r="J1" s="2274"/>
      <c r="K1" s="2274"/>
      <c r="L1" s="2274"/>
      <c r="M1" s="2274"/>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222483177</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3.1E-2</v>
      </c>
      <c r="E10" s="333" t="s">
        <v>998</v>
      </c>
      <c r="F10" s="332">
        <v>5.2500000000000003E-3</v>
      </c>
      <c r="G10" s="333" t="s">
        <v>998</v>
      </c>
      <c r="H10" s="332">
        <v>2E-3</v>
      </c>
      <c r="I10" s="333" t="s">
        <v>999</v>
      </c>
      <c r="J10" s="1424">
        <f>ROUND(D10+F10+H10,5)</f>
        <v>3.8249999999999999E-2</v>
      </c>
      <c r="K10" s="217"/>
      <c r="L10" s="332">
        <v>5.0000000000000001E-4</v>
      </c>
      <c r="M10" s="217"/>
    </row>
    <row r="11" spans="1:14" ht="7.5" customHeight="1" x14ac:dyDescent="0.2">
      <c r="B11" s="217"/>
      <c r="C11" s="217"/>
      <c r="D11" s="2284" t="str">
        <f>IF(SUM(J10)&lt;=0.0999999,"","Enter the Tax Rates by moving the decimal two places to the left.")</f>
        <v/>
      </c>
      <c r="E11" s="2285"/>
      <c r="F11" s="2285"/>
      <c r="G11" s="2285"/>
      <c r="H11" s="2285"/>
      <c r="I11" s="2285"/>
      <c r="J11" s="2285"/>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15317341</v>
      </c>
      <c r="E16" s="1547"/>
      <c r="F16" s="1546">
        <f>SUM('Acct Summary 7-8'!C17,'Acct Summary 7-8'!D17,'Acct Summary 7-8'!F17)</f>
        <v>14640645</v>
      </c>
      <c r="G16" s="1547"/>
      <c r="H16" s="1546">
        <f>SUM(D16-F16)</f>
        <v>676696</v>
      </c>
      <c r="I16" s="1548"/>
      <c r="J16" s="1546">
        <f>SUM('Acct Summary 7-8'!C81,'Acct Summary 7-8'!D81,'Acct Summary 7-8'!F81,'Acct Summary 7-8'!I81)</f>
        <v>9016416</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2002</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1962</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1063</v>
      </c>
      <c r="E31" s="217"/>
      <c r="F31" s="217"/>
      <c r="G31" s="340"/>
      <c r="H31" s="1425">
        <f>IF(B31="X",(J7*0.069),IF(B32="X",(J7*0.138),"Enter x in a.or b."))</f>
        <v>30702678.426000003</v>
      </c>
      <c r="I31" s="345"/>
      <c r="J31" s="217"/>
      <c r="K31" s="217"/>
      <c r="L31" s="217"/>
      <c r="M31" s="217"/>
    </row>
    <row r="32" spans="1:13" ht="13.35" customHeight="1" x14ac:dyDescent="0.2">
      <c r="B32" s="346" t="s">
        <v>2135</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5103475</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275"/>
      <c r="C54" s="2276"/>
      <c r="D54" s="2276"/>
      <c r="E54" s="2276"/>
      <c r="F54" s="2276"/>
      <c r="G54" s="2276"/>
      <c r="H54" s="2276"/>
      <c r="I54" s="2276"/>
      <c r="J54" s="2276"/>
      <c r="K54" s="2276"/>
      <c r="L54" s="2277"/>
      <c r="M54" s="357"/>
    </row>
    <row r="55" spans="1:13" ht="12.75" customHeight="1" x14ac:dyDescent="0.2">
      <c r="B55" s="2278"/>
      <c r="C55" s="2279"/>
      <c r="D55" s="2279"/>
      <c r="E55" s="2279"/>
      <c r="F55" s="2279"/>
      <c r="G55" s="2279"/>
      <c r="H55" s="2279"/>
      <c r="I55" s="2279"/>
      <c r="J55" s="2279"/>
      <c r="K55" s="2279"/>
      <c r="L55" s="2280"/>
      <c r="M55" s="357"/>
    </row>
    <row r="56" spans="1:13" ht="12.75" customHeight="1" x14ac:dyDescent="0.2">
      <c r="B56" s="2278"/>
      <c r="C56" s="2279"/>
      <c r="D56" s="2279"/>
      <c r="E56" s="2279"/>
      <c r="F56" s="2279"/>
      <c r="G56" s="2279"/>
      <c r="H56" s="2279"/>
      <c r="I56" s="2279"/>
      <c r="J56" s="2279"/>
      <c r="K56" s="2279"/>
      <c r="L56" s="2280"/>
      <c r="M56" s="217"/>
    </row>
    <row r="57" spans="1:13" ht="12.75" customHeight="1" x14ac:dyDescent="0.2">
      <c r="B57" s="2278"/>
      <c r="C57" s="2279"/>
      <c r="D57" s="2279"/>
      <c r="E57" s="2279"/>
      <c r="F57" s="2279"/>
      <c r="G57" s="2279"/>
      <c r="H57" s="2279"/>
      <c r="I57" s="2279"/>
      <c r="J57" s="2279"/>
      <c r="K57" s="2279"/>
      <c r="L57" s="2280"/>
      <c r="M57" s="217"/>
    </row>
    <row r="58" spans="1:13" x14ac:dyDescent="0.2">
      <c r="B58" s="2281"/>
      <c r="C58" s="2282"/>
      <c r="D58" s="2282"/>
      <c r="E58" s="2282"/>
      <c r="F58" s="2282"/>
      <c r="G58" s="2282"/>
      <c r="H58" s="2282"/>
      <c r="I58" s="2282"/>
      <c r="J58" s="2282"/>
      <c r="K58" s="2282"/>
      <c r="L58" s="2283"/>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86"/>
      <c r="D61" s="2287"/>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sqref="A1:C1"/>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89"/>
      <c r="B1" s="2290"/>
      <c r="C1" s="2290"/>
      <c r="D1" s="361"/>
      <c r="E1" s="361"/>
      <c r="F1" s="361"/>
      <c r="G1" s="361"/>
      <c r="H1" s="361"/>
      <c r="I1" s="361"/>
      <c r="J1" s="361"/>
      <c r="K1" s="361"/>
      <c r="L1" s="361"/>
      <c r="M1" s="361"/>
      <c r="N1" s="361"/>
      <c r="O1" s="2289"/>
      <c r="P1" s="2290"/>
      <c r="Q1" s="2290"/>
    </row>
    <row r="2" spans="1:18" ht="15" x14ac:dyDescent="0.2">
      <c r="A2" s="2293" t="s">
        <v>552</v>
      </c>
      <c r="B2" s="2293"/>
      <c r="C2" s="2293"/>
      <c r="D2" s="2293"/>
      <c r="E2" s="2293"/>
      <c r="F2" s="2293"/>
      <c r="G2" s="2293"/>
      <c r="H2" s="2293"/>
      <c r="I2" s="2293"/>
      <c r="J2" s="2293"/>
      <c r="K2" s="2293"/>
      <c r="L2" s="2293"/>
      <c r="M2" s="2293"/>
      <c r="N2" s="2293"/>
      <c r="O2" s="2293"/>
      <c r="P2" s="2293"/>
      <c r="Q2" s="2293"/>
      <c r="R2" s="2293"/>
    </row>
    <row r="3" spans="1:18" ht="12.75" x14ac:dyDescent="0.2">
      <c r="A3" s="2294" t="s">
        <v>1396</v>
      </c>
      <c r="B3" s="2294"/>
      <c r="C3" s="2294"/>
      <c r="D3" s="2294"/>
      <c r="E3" s="2294"/>
      <c r="F3" s="2294"/>
      <c r="G3" s="2294"/>
      <c r="H3" s="2294"/>
      <c r="I3" s="2294"/>
      <c r="J3" s="2294"/>
      <c r="K3" s="2294"/>
      <c r="L3" s="2294"/>
      <c r="M3" s="2294"/>
      <c r="N3" s="2294"/>
      <c r="O3" s="2294"/>
      <c r="P3" s="2294"/>
      <c r="Q3" s="2294"/>
      <c r="R3" s="2294"/>
    </row>
    <row r="4" spans="1:18" x14ac:dyDescent="0.2">
      <c r="A4" s="2295" t="s">
        <v>1537</v>
      </c>
      <c r="B4" s="2295"/>
      <c r="C4" s="2295"/>
      <c r="D4" s="2295"/>
      <c r="E4" s="2295"/>
      <c r="F4" s="2295"/>
      <c r="G4" s="2295"/>
      <c r="H4" s="2295"/>
      <c r="I4" s="2295"/>
      <c r="J4" s="2295"/>
      <c r="K4" s="2295"/>
      <c r="L4" s="2295"/>
      <c r="M4" s="2295"/>
      <c r="N4" s="2295"/>
      <c r="O4" s="2295"/>
      <c r="P4" s="2295"/>
      <c r="Q4" s="2295"/>
      <c r="R4" s="2295"/>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Community Unit School District No. 140</v>
      </c>
      <c r="E7" s="368"/>
      <c r="G7" s="247"/>
      <c r="H7" s="364"/>
      <c r="I7" s="364"/>
      <c r="J7" s="364"/>
      <c r="K7" s="364"/>
      <c r="L7" s="307"/>
      <c r="M7" s="307"/>
      <c r="N7" s="307"/>
      <c r="O7" s="307"/>
      <c r="P7" s="307"/>
    </row>
    <row r="8" spans="1:18" ht="12.75" x14ac:dyDescent="0.2">
      <c r="A8" s="307"/>
      <c r="B8" s="307"/>
      <c r="C8" s="366" t="s">
        <v>1115</v>
      </c>
      <c r="D8" s="369" t="str">
        <f>COVER!A13</f>
        <v>53-102-1400-26</v>
      </c>
      <c r="E8" s="370"/>
      <c r="G8" s="307"/>
      <c r="H8" s="307"/>
      <c r="I8" s="307"/>
      <c r="J8" s="307"/>
      <c r="K8" s="307"/>
      <c r="L8" s="307"/>
      <c r="M8" s="307"/>
      <c r="N8" s="307"/>
      <c r="O8" s="307"/>
      <c r="P8" s="307"/>
    </row>
    <row r="9" spans="1:18" ht="12.75" x14ac:dyDescent="0.2">
      <c r="A9" s="307"/>
      <c r="B9" s="307"/>
      <c r="C9" s="366" t="s">
        <v>708</v>
      </c>
      <c r="D9" s="371" t="str">
        <f>COVER!A15</f>
        <v>Tazewell</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9016416</v>
      </c>
      <c r="I12" s="380"/>
      <c r="J12" s="380"/>
      <c r="K12" s="1559">
        <f>TRUNC((H12/H13*100000),5)/100000</f>
        <v>0.59345286350000004</v>
      </c>
      <c r="L12" s="381"/>
      <c r="M12" s="337" t="s">
        <v>1134</v>
      </c>
      <c r="N12" s="337"/>
      <c r="O12" s="1562">
        <v>0.35</v>
      </c>
      <c r="P12" s="213"/>
      <c r="Q12" s="213"/>
    </row>
    <row r="13" spans="1:18" s="382" customFormat="1" ht="12.75" x14ac:dyDescent="0.2">
      <c r="A13" s="213"/>
      <c r="B13" s="377"/>
      <c r="C13" s="2291" t="s">
        <v>1313</v>
      </c>
      <c r="D13" s="2292"/>
      <c r="E13" s="213"/>
      <c r="F13" s="383" t="s">
        <v>788</v>
      </c>
      <c r="G13" s="378"/>
      <c r="H13" s="1551">
        <f>SUM('Acct Summary 7-8'!C8+'Acct Summary 7-8'!D8+'Acct Summary 7-8'!F8+'Acct Summary 7-8'!I8)+H14</f>
        <v>15193146</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-124195</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f>IF(K17&gt;1.2,"1",IF(K17&gt;1.1,"2",IF(K17&gt;1,"3",4)))</f>
        <v>4</v>
      </c>
      <c r="P16" s="211"/>
      <c r="R16" s="361"/>
    </row>
    <row r="17" spans="1:18" s="382" customFormat="1" ht="11.25" x14ac:dyDescent="0.2">
      <c r="A17" s="213"/>
      <c r="B17" s="377"/>
      <c r="C17" s="213" t="s">
        <v>792</v>
      </c>
      <c r="D17" s="213"/>
      <c r="E17" s="213"/>
      <c r="F17" s="213" t="s">
        <v>441</v>
      </c>
      <c r="G17" s="378"/>
      <c r="H17" s="1551">
        <f>SUM('Acct Summary 7-8'!C17+'Acct Summary 7-8'!D17+'Acct Summary 7-8'!F17)</f>
        <v>14640645</v>
      </c>
      <c r="I17" s="380"/>
      <c r="J17" s="389"/>
      <c r="K17" s="1559">
        <f>TRUNC((H17/H18*100000),5)/100000</f>
        <v>0.96363485209999999</v>
      </c>
      <c r="L17" s="381"/>
      <c r="M17" s="390" t="s">
        <v>1161</v>
      </c>
      <c r="O17" s="1565" t="str">
        <f>IF(AND(O16="2", J20 &gt; 2),"1",IF(AND(O16 = "1", J20 &gt; 2),"2",IF(AND(O16="1", J20 &gt;1),"1","0")))</f>
        <v>0</v>
      </c>
      <c r="P17" s="213"/>
    </row>
    <row r="18" spans="1:18" s="382" customFormat="1" ht="11.25" x14ac:dyDescent="0.2">
      <c r="A18" s="213"/>
      <c r="B18" s="377"/>
      <c r="C18" s="2291" t="s">
        <v>1306</v>
      </c>
      <c r="D18" s="2292"/>
      <c r="E18" s="213"/>
      <c r="F18" s="391" t="s">
        <v>789</v>
      </c>
      <c r="G18" s="378"/>
      <c r="H18" s="1551">
        <f>SUM('Acct Summary 7-8'!C8+'Acct Summary 7-8'!D8+'Acct Summary 7-8'!F8+'Acct Summary 7-8'!I8)+H19</f>
        <v>15193146</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-124195</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1135</v>
      </c>
      <c r="N20" s="337"/>
      <c r="O20" s="1563">
        <f>(O16+O17)*O18</f>
        <v>1.4</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288" t="s">
        <v>1395</v>
      </c>
      <c r="D24" s="2288"/>
      <c r="E24" s="213"/>
      <c r="F24" s="213" t="s">
        <v>442</v>
      </c>
      <c r="G24" s="378"/>
      <c r="H24" s="1551">
        <f>SUM('Assets-Liab 5-6'!C4+'Assets-Liab 5-6'!D4+'Assets-Liab 5-6'!F4+'Assets-Liab 5-6'!I4+'Assets-Liab 5-6'!C5+'Assets-Liab 5-6'!D5+'Assets-Liab 5-6'!F5+'Assets-Liab 5-6'!I5)</f>
        <v>9016416</v>
      </c>
      <c r="I24" s="394"/>
      <c r="J24" s="394"/>
      <c r="K24" s="1555">
        <f>TRUNC(((H24/H25*100000)/100000),2)</f>
        <v>221.7</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40668.458330000001</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1890</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7233484.2922099996</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str">
        <f>IF(K32&gt;=75,"4",IF(K32&gt;=50,"3",IF(K32&gt;=25,"2",1)))</f>
        <v>4</v>
      </c>
      <c r="P31" s="211"/>
    </row>
    <row r="32" spans="1:18" s="382" customFormat="1" ht="11.25" x14ac:dyDescent="0.2">
      <c r="A32" s="213"/>
      <c r="B32" s="377"/>
      <c r="C32" s="213" t="s">
        <v>842</v>
      </c>
      <c r="D32" s="213"/>
      <c r="E32" s="213"/>
      <c r="F32" s="213"/>
      <c r="G32" s="378"/>
      <c r="H32" s="1551">
        <f>'FP Info 3'!H37</f>
        <v>5103475</v>
      </c>
      <c r="I32" s="392"/>
      <c r="J32" s="392"/>
      <c r="K32" s="1555">
        <f>TRUNC(100-((((H32/H33*100))*100)/100),2)</f>
        <v>83.37</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30702678.426000003</v>
      </c>
      <c r="I33" s="392"/>
      <c r="J33" s="392"/>
      <c r="K33" s="379"/>
      <c r="L33" s="213"/>
      <c r="M33" s="401" t="s">
        <v>1135</v>
      </c>
      <c r="N33" s="401"/>
      <c r="O33" s="1568">
        <f>(O31*O32)</f>
        <v>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90" zoomScaleNormal="90" workbookViewId="0">
      <pane ySplit="2" topLeftCell="A3" activePane="bottomLeft" state="frozen"/>
      <selection activeCell="G30" sqref="G30"/>
      <selection pane="bottomLeft" activeCell="A3" sqref="A3:B3"/>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96"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97"/>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98" t="s">
        <v>967</v>
      </c>
      <c r="B3" s="2299"/>
      <c r="C3" s="1306"/>
      <c r="D3" s="1307"/>
      <c r="E3" s="1307"/>
      <c r="F3" s="1307"/>
      <c r="G3" s="1307"/>
      <c r="H3" s="1307"/>
      <c r="I3" s="1307"/>
      <c r="J3" s="1307"/>
      <c r="K3" s="1307"/>
      <c r="L3" s="1307"/>
      <c r="M3" s="1308"/>
      <c r="N3" s="1309"/>
    </row>
    <row r="4" spans="1:14" ht="13.5" customHeight="1" x14ac:dyDescent="0.2">
      <c r="A4" s="427" t="s">
        <v>1632</v>
      </c>
      <c r="B4" s="428"/>
      <c r="C4" s="1572">
        <v>3500688</v>
      </c>
      <c r="D4" s="1573">
        <v>2956429</v>
      </c>
      <c r="E4" s="1573">
        <v>63291</v>
      </c>
      <c r="F4" s="1573">
        <v>1431337</v>
      </c>
      <c r="G4" s="1573">
        <v>615867</v>
      </c>
      <c r="H4" s="1573">
        <v>1761055</v>
      </c>
      <c r="I4" s="1573">
        <v>1127962</v>
      </c>
      <c r="J4" s="1574">
        <v>694878</v>
      </c>
      <c r="K4" s="1573">
        <v>397677</v>
      </c>
      <c r="L4" s="1573">
        <v>1164973</v>
      </c>
      <c r="M4" s="1575"/>
      <c r="N4" s="1576"/>
    </row>
    <row r="5" spans="1:14" x14ac:dyDescent="0.2">
      <c r="A5" s="427" t="s">
        <v>985</v>
      </c>
      <c r="B5" s="429">
        <v>120</v>
      </c>
      <c r="C5" s="1572">
        <v>0</v>
      </c>
      <c r="D5" s="1573">
        <v>0</v>
      </c>
      <c r="E5" s="1573">
        <v>0</v>
      </c>
      <c r="F5" s="1573">
        <v>0</v>
      </c>
      <c r="G5" s="1573">
        <v>0</v>
      </c>
      <c r="H5" s="1573">
        <v>0</v>
      </c>
      <c r="I5" s="1573">
        <v>0</v>
      </c>
      <c r="J5" s="1574">
        <v>0</v>
      </c>
      <c r="K5" s="1577">
        <v>0</v>
      </c>
      <c r="L5" s="1578">
        <v>0</v>
      </c>
      <c r="M5" s="1575"/>
      <c r="N5" s="1576"/>
    </row>
    <row r="6" spans="1:14" ht="13.5" customHeight="1" x14ac:dyDescent="0.2">
      <c r="A6" s="430" t="s">
        <v>414</v>
      </c>
      <c r="B6" s="429">
        <v>130</v>
      </c>
      <c r="C6" s="1572">
        <v>0</v>
      </c>
      <c r="D6" s="1573">
        <v>0</v>
      </c>
      <c r="E6" s="1573">
        <v>0</v>
      </c>
      <c r="F6" s="1573">
        <v>0</v>
      </c>
      <c r="G6" s="1577">
        <v>0</v>
      </c>
      <c r="H6" s="1577">
        <v>0</v>
      </c>
      <c r="I6" s="1573">
        <v>0</v>
      </c>
      <c r="J6" s="1579">
        <v>0</v>
      </c>
      <c r="K6" s="1577">
        <v>0</v>
      </c>
      <c r="L6" s="1580"/>
      <c r="M6" s="1575"/>
      <c r="N6" s="1576"/>
    </row>
    <row r="7" spans="1:14" ht="13.5" customHeight="1" x14ac:dyDescent="0.2">
      <c r="A7" s="430" t="s">
        <v>415</v>
      </c>
      <c r="B7" s="429">
        <v>140</v>
      </c>
      <c r="C7" s="1581">
        <v>0</v>
      </c>
      <c r="D7" s="1574">
        <v>0</v>
      </c>
      <c r="E7" s="1574"/>
      <c r="F7" s="1574">
        <v>0</v>
      </c>
      <c r="G7" s="1574"/>
      <c r="H7" s="1574"/>
      <c r="I7" s="1574">
        <v>0</v>
      </c>
      <c r="J7" s="1574"/>
      <c r="K7" s="1574"/>
      <c r="L7" s="1582"/>
      <c r="M7" s="1575"/>
      <c r="N7" s="1576"/>
    </row>
    <row r="8" spans="1:14" ht="13.5" customHeight="1" x14ac:dyDescent="0.2">
      <c r="A8" s="430" t="s">
        <v>267</v>
      </c>
      <c r="B8" s="429">
        <v>150</v>
      </c>
      <c r="C8" s="1581">
        <v>0</v>
      </c>
      <c r="D8" s="1574">
        <v>0</v>
      </c>
      <c r="E8" s="1574"/>
      <c r="F8" s="1574">
        <v>0</v>
      </c>
      <c r="G8" s="1583">
        <v>0</v>
      </c>
      <c r="H8" s="1574">
        <v>0</v>
      </c>
      <c r="I8" s="1579"/>
      <c r="J8" s="1579"/>
      <c r="K8" s="1584"/>
      <c r="L8" s="1585"/>
      <c r="M8" s="1575"/>
      <c r="N8" s="1576"/>
    </row>
    <row r="9" spans="1:14" ht="13.5" customHeight="1" x14ac:dyDescent="0.2">
      <c r="A9" s="430" t="s">
        <v>268</v>
      </c>
      <c r="B9" s="429">
        <v>160</v>
      </c>
      <c r="C9" s="1581">
        <v>0</v>
      </c>
      <c r="D9" s="1574">
        <v>0</v>
      </c>
      <c r="E9" s="1574">
        <v>0</v>
      </c>
      <c r="F9" s="1574">
        <v>0</v>
      </c>
      <c r="G9" s="1574">
        <v>0</v>
      </c>
      <c r="H9" s="1583">
        <v>0</v>
      </c>
      <c r="I9" s="1574">
        <v>0</v>
      </c>
      <c r="J9" s="1574">
        <v>0</v>
      </c>
      <c r="K9" s="1574">
        <v>0</v>
      </c>
      <c r="L9" s="1574">
        <v>0</v>
      </c>
      <c r="M9" s="1575"/>
      <c r="N9" s="1576"/>
    </row>
    <row r="10" spans="1:14" ht="13.5" customHeight="1" x14ac:dyDescent="0.2">
      <c r="A10" s="430" t="s">
        <v>984</v>
      </c>
      <c r="B10" s="429">
        <v>170</v>
      </c>
      <c r="C10" s="1572">
        <v>0</v>
      </c>
      <c r="D10" s="1573">
        <v>0</v>
      </c>
      <c r="E10" s="1574"/>
      <c r="F10" s="1573">
        <v>0</v>
      </c>
      <c r="G10" s="1583"/>
      <c r="H10" s="1586">
        <v>0</v>
      </c>
      <c r="I10" s="1574"/>
      <c r="J10" s="1574"/>
      <c r="K10" s="1586">
        <v>0</v>
      </c>
      <c r="L10" s="1586">
        <v>0</v>
      </c>
      <c r="M10" s="1576"/>
      <c r="N10" s="1576"/>
    </row>
    <row r="11" spans="1:14" ht="13.5" customHeight="1" x14ac:dyDescent="0.2">
      <c r="A11" s="430" t="s">
        <v>269</v>
      </c>
      <c r="B11" s="429">
        <v>180</v>
      </c>
      <c r="C11" s="1581">
        <v>0</v>
      </c>
      <c r="D11" s="1574">
        <v>0</v>
      </c>
      <c r="E11" s="1574"/>
      <c r="F11" s="1574">
        <v>0</v>
      </c>
      <c r="G11" s="1574">
        <v>0</v>
      </c>
      <c r="H11" s="1574">
        <v>0</v>
      </c>
      <c r="I11" s="1583">
        <v>0</v>
      </c>
      <c r="J11" s="1583"/>
      <c r="K11" s="1574">
        <v>0</v>
      </c>
      <c r="L11" s="1574">
        <v>0</v>
      </c>
      <c r="M11" s="1576"/>
      <c r="N11" s="1576"/>
    </row>
    <row r="12" spans="1:14" ht="13.5" customHeight="1" x14ac:dyDescent="0.2">
      <c r="A12" s="430" t="s">
        <v>416</v>
      </c>
      <c r="B12" s="429">
        <v>190</v>
      </c>
      <c r="C12" s="1572">
        <v>0</v>
      </c>
      <c r="D12" s="1573">
        <v>0</v>
      </c>
      <c r="E12" s="1573">
        <v>0</v>
      </c>
      <c r="F12" s="1573">
        <v>0</v>
      </c>
      <c r="G12" s="1573">
        <v>0</v>
      </c>
      <c r="H12" s="1573">
        <v>0</v>
      </c>
      <c r="I12" s="1573">
        <v>0</v>
      </c>
      <c r="J12" s="1574">
        <v>0</v>
      </c>
      <c r="K12" s="1573">
        <v>0</v>
      </c>
      <c r="L12" s="1573">
        <v>0</v>
      </c>
      <c r="M12" s="1576"/>
      <c r="N12" s="1576"/>
    </row>
    <row r="13" spans="1:14" ht="13.5" customHeight="1" thickBot="1" x14ac:dyDescent="0.25">
      <c r="A13" s="1426" t="s">
        <v>639</v>
      </c>
      <c r="B13" s="1407"/>
      <c r="C13" s="1587">
        <f>SUM(C4:C12)</f>
        <v>3500688</v>
      </c>
      <c r="D13" s="1587">
        <f t="shared" ref="D13:L13" si="0">SUM(D4:D12)</f>
        <v>2956429</v>
      </c>
      <c r="E13" s="1587">
        <f t="shared" si="0"/>
        <v>63291</v>
      </c>
      <c r="F13" s="1587">
        <f t="shared" si="0"/>
        <v>1431337</v>
      </c>
      <c r="G13" s="1587">
        <f t="shared" si="0"/>
        <v>615867</v>
      </c>
      <c r="H13" s="1587">
        <f t="shared" si="0"/>
        <v>1761055</v>
      </c>
      <c r="I13" s="1587">
        <f t="shared" si="0"/>
        <v>1127962</v>
      </c>
      <c r="J13" s="1587">
        <f t="shared" si="0"/>
        <v>694878</v>
      </c>
      <c r="K13" s="1587">
        <f t="shared" si="0"/>
        <v>397677</v>
      </c>
      <c r="L13" s="1587">
        <f t="shared" si="0"/>
        <v>1164973</v>
      </c>
      <c r="M13" s="1575"/>
      <c r="N13" s="1576"/>
    </row>
    <row r="14" spans="1:14" ht="18" customHeight="1" thickTop="1" x14ac:dyDescent="0.2">
      <c r="A14" s="2300" t="s">
        <v>146</v>
      </c>
      <c r="B14" s="2301"/>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v>0</v>
      </c>
      <c r="N15" s="1592"/>
    </row>
    <row r="16" spans="1:14" s="433" customFormat="1" ht="12.75" customHeight="1" x14ac:dyDescent="0.2">
      <c r="A16" s="431" t="s">
        <v>1385</v>
      </c>
      <c r="B16" s="432">
        <v>220</v>
      </c>
      <c r="C16" s="1582"/>
      <c r="D16" s="1582"/>
      <c r="E16" s="1582"/>
      <c r="F16" s="1582"/>
      <c r="G16" s="1582"/>
      <c r="H16" s="1582"/>
      <c r="I16" s="1582"/>
      <c r="J16" s="1582"/>
      <c r="K16" s="1582"/>
      <c r="L16" s="1582"/>
      <c r="M16" s="1574">
        <v>486404</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v>19536112</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v>4413669</v>
      </c>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4465961</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v>3000000</v>
      </c>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v>63291</v>
      </c>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5040184</v>
      </c>
    </row>
    <row r="23" spans="1:14" ht="13.5" customHeight="1" thickBot="1" x14ac:dyDescent="0.25">
      <c r="A23" s="1426" t="s">
        <v>638</v>
      </c>
      <c r="B23" s="1429"/>
      <c r="C23" s="1575"/>
      <c r="D23" s="1575"/>
      <c r="E23" s="1575"/>
      <c r="F23" s="1575"/>
      <c r="G23" s="1575"/>
      <c r="H23" s="1575"/>
      <c r="I23" s="1575"/>
      <c r="J23" s="1575"/>
      <c r="K23" s="1575"/>
      <c r="L23" s="1575"/>
      <c r="M23" s="1594">
        <f>SUM(M15:M22)</f>
        <v>31902146</v>
      </c>
      <c r="N23" s="1594">
        <f>SUM(N21:N22)</f>
        <v>5103475</v>
      </c>
    </row>
    <row r="24" spans="1:14" ht="18" customHeight="1" thickTop="1" x14ac:dyDescent="0.2">
      <c r="A24" s="2302" t="s">
        <v>594</v>
      </c>
      <c r="B24" s="2303"/>
      <c r="C24" s="1595"/>
      <c r="D24" s="1590"/>
      <c r="E24" s="1590"/>
      <c r="F24" s="1590"/>
      <c r="G24" s="1590"/>
      <c r="H24" s="1590"/>
      <c r="I24" s="1590"/>
      <c r="J24" s="1590"/>
      <c r="K24" s="1590"/>
      <c r="L24" s="1590"/>
      <c r="M24" s="1589"/>
      <c r="N24" s="1596"/>
    </row>
    <row r="25" spans="1:14" x14ac:dyDescent="0.2">
      <c r="A25" s="430" t="s">
        <v>640</v>
      </c>
      <c r="B25" s="429">
        <v>410</v>
      </c>
      <c r="C25" s="1583">
        <v>0</v>
      </c>
      <c r="D25" s="1583">
        <v>0</v>
      </c>
      <c r="E25" s="1583">
        <v>0</v>
      </c>
      <c r="F25" s="1583">
        <v>0</v>
      </c>
      <c r="G25" s="1583">
        <v>0</v>
      </c>
      <c r="H25" s="1584">
        <v>0</v>
      </c>
      <c r="I25" s="1575"/>
      <c r="J25" s="1583">
        <v>0</v>
      </c>
      <c r="K25" s="1583">
        <v>0</v>
      </c>
      <c r="L25" s="1575"/>
      <c r="M25" s="1575"/>
      <c r="N25" s="1575"/>
    </row>
    <row r="26" spans="1:14" x14ac:dyDescent="0.2">
      <c r="A26" s="430" t="s">
        <v>641</v>
      </c>
      <c r="B26" s="429">
        <v>420</v>
      </c>
      <c r="C26" s="1574">
        <v>0</v>
      </c>
      <c r="D26" s="1574">
        <v>0</v>
      </c>
      <c r="E26" s="1574">
        <v>0</v>
      </c>
      <c r="F26" s="1574">
        <v>0</v>
      </c>
      <c r="G26" s="1574">
        <v>0</v>
      </c>
      <c r="H26" s="1574">
        <v>0</v>
      </c>
      <c r="I26" s="1574">
        <v>0</v>
      </c>
      <c r="J26" s="1579">
        <v>0</v>
      </c>
      <c r="K26" s="1574">
        <v>0</v>
      </c>
      <c r="L26" s="1575"/>
      <c r="M26" s="1575"/>
      <c r="N26" s="1575"/>
    </row>
    <row r="27" spans="1:14" ht="13.5" customHeight="1" x14ac:dyDescent="0.2">
      <c r="A27" s="430" t="s">
        <v>642</v>
      </c>
      <c r="B27" s="429">
        <v>430</v>
      </c>
      <c r="C27" s="1574">
        <v>0</v>
      </c>
      <c r="D27" s="1574">
        <v>0</v>
      </c>
      <c r="E27" s="1574">
        <v>0</v>
      </c>
      <c r="F27" s="1574">
        <v>0</v>
      </c>
      <c r="G27" s="1574">
        <v>0</v>
      </c>
      <c r="H27" s="1574">
        <v>0</v>
      </c>
      <c r="I27" s="1574">
        <v>0</v>
      </c>
      <c r="J27" s="1574">
        <v>0</v>
      </c>
      <c r="K27" s="1574">
        <v>0</v>
      </c>
      <c r="L27" s="1575"/>
      <c r="M27" s="1575"/>
      <c r="N27" s="1575"/>
    </row>
    <row r="28" spans="1:14" ht="13.5" customHeight="1" x14ac:dyDescent="0.2">
      <c r="A28" s="430" t="s">
        <v>643</v>
      </c>
      <c r="B28" s="429">
        <v>440</v>
      </c>
      <c r="C28" s="1574">
        <v>0</v>
      </c>
      <c r="D28" s="1574">
        <v>0</v>
      </c>
      <c r="E28" s="1579">
        <v>0</v>
      </c>
      <c r="F28" s="1574">
        <v>0</v>
      </c>
      <c r="G28" s="1579">
        <v>0</v>
      </c>
      <c r="H28" s="1579">
        <v>0</v>
      </c>
      <c r="I28" s="1574">
        <v>0</v>
      </c>
      <c r="J28" s="1574">
        <v>0</v>
      </c>
      <c r="K28" s="1584">
        <v>0</v>
      </c>
      <c r="L28" s="1575"/>
      <c r="M28" s="1575"/>
      <c r="N28" s="1575"/>
    </row>
    <row r="29" spans="1:14" ht="13.5" customHeight="1" x14ac:dyDescent="0.2">
      <c r="A29" s="430" t="s">
        <v>644</v>
      </c>
      <c r="B29" s="429">
        <v>460</v>
      </c>
      <c r="C29" s="1597">
        <v>0</v>
      </c>
      <c r="D29" s="1598">
        <v>0</v>
      </c>
      <c r="E29" s="1579">
        <v>0</v>
      </c>
      <c r="F29" s="1574">
        <v>0</v>
      </c>
      <c r="G29" s="1579">
        <v>0</v>
      </c>
      <c r="H29" s="1579">
        <v>0</v>
      </c>
      <c r="I29" s="1579">
        <v>0</v>
      </c>
      <c r="J29" s="1579">
        <v>0</v>
      </c>
      <c r="K29" s="1574">
        <v>0</v>
      </c>
      <c r="L29" s="1575"/>
      <c r="M29" s="1575"/>
      <c r="N29" s="1575"/>
    </row>
    <row r="30" spans="1:14" ht="13.5" customHeight="1" x14ac:dyDescent="0.2">
      <c r="A30" s="430" t="s">
        <v>645</v>
      </c>
      <c r="B30" s="429">
        <v>470</v>
      </c>
      <c r="C30" s="1574">
        <v>0</v>
      </c>
      <c r="D30" s="1579">
        <v>0</v>
      </c>
      <c r="E30" s="1574"/>
      <c r="F30" s="1574">
        <v>0</v>
      </c>
      <c r="G30" s="1574">
        <v>0</v>
      </c>
      <c r="H30" s="1574">
        <v>0</v>
      </c>
      <c r="I30" s="1574"/>
      <c r="J30" s="1574">
        <v>0</v>
      </c>
      <c r="K30" s="1583">
        <v>0</v>
      </c>
      <c r="L30" s="1575"/>
      <c r="M30" s="1575"/>
      <c r="N30" s="1575"/>
    </row>
    <row r="31" spans="1:14" ht="13.5" customHeight="1" x14ac:dyDescent="0.2">
      <c r="A31" s="430" t="s">
        <v>646</v>
      </c>
      <c r="B31" s="429">
        <v>480</v>
      </c>
      <c r="C31" s="1573">
        <v>0</v>
      </c>
      <c r="D31" s="1574">
        <v>0</v>
      </c>
      <c r="E31" s="1574"/>
      <c r="F31" s="1573">
        <v>0</v>
      </c>
      <c r="G31" s="1574">
        <v>0</v>
      </c>
      <c r="H31" s="1574">
        <v>0</v>
      </c>
      <c r="I31" s="1574"/>
      <c r="J31" s="1574">
        <v>0</v>
      </c>
      <c r="K31" s="1574">
        <v>0</v>
      </c>
      <c r="L31" s="1575"/>
      <c r="M31" s="1575"/>
      <c r="N31" s="1575"/>
    </row>
    <row r="32" spans="1:14" ht="13.5" customHeight="1" x14ac:dyDescent="0.2">
      <c r="A32" s="434" t="s">
        <v>647</v>
      </c>
      <c r="B32" s="435">
        <v>490</v>
      </c>
      <c r="C32" s="1599">
        <v>0</v>
      </c>
      <c r="D32" s="1599">
        <v>0</v>
      </c>
      <c r="E32" s="1579">
        <v>0</v>
      </c>
      <c r="F32" s="1579">
        <v>0</v>
      </c>
      <c r="G32" s="1579">
        <v>0</v>
      </c>
      <c r="H32" s="1579">
        <v>0</v>
      </c>
      <c r="I32" s="1579">
        <v>0</v>
      </c>
      <c r="J32" s="1579">
        <v>0</v>
      </c>
      <c r="K32" s="1584">
        <v>0</v>
      </c>
      <c r="L32" s="1575"/>
      <c r="M32" s="1575"/>
      <c r="N32" s="1575"/>
    </row>
    <row r="33" spans="1:14" ht="13.5" customHeight="1" x14ac:dyDescent="0.2">
      <c r="A33" s="436" t="s">
        <v>300</v>
      </c>
      <c r="B33" s="435">
        <v>493</v>
      </c>
      <c r="C33" s="1574">
        <v>0</v>
      </c>
      <c r="D33" s="1574"/>
      <c r="E33" s="1574"/>
      <c r="F33" s="1574"/>
      <c r="G33" s="1574"/>
      <c r="H33" s="1574"/>
      <c r="I33" s="1574"/>
      <c r="J33" s="1574"/>
      <c r="K33" s="1574"/>
      <c r="L33" s="1574">
        <v>268232</v>
      </c>
      <c r="M33" s="1575"/>
      <c r="N33" s="1576"/>
    </row>
    <row r="34" spans="1:14" ht="13.5" customHeight="1" thickBot="1" x14ac:dyDescent="0.25">
      <c r="A34" s="1427" t="s">
        <v>649</v>
      </c>
      <c r="B34" s="1428"/>
      <c r="C34" s="1600">
        <f>SUM(C25:C33)</f>
        <v>0</v>
      </c>
      <c r="D34" s="1600">
        <f t="shared" ref="D34:K34" si="1">SUM(D25:D33)</f>
        <v>0</v>
      </c>
      <c r="E34" s="1600">
        <f t="shared" si="1"/>
        <v>0</v>
      </c>
      <c r="F34" s="1600">
        <f t="shared" si="1"/>
        <v>0</v>
      </c>
      <c r="G34" s="1600">
        <f t="shared" si="1"/>
        <v>0</v>
      </c>
      <c r="H34" s="1600">
        <f t="shared" si="1"/>
        <v>0</v>
      </c>
      <c r="I34" s="1600">
        <f t="shared" si="1"/>
        <v>0</v>
      </c>
      <c r="J34" s="1600">
        <f t="shared" si="1"/>
        <v>0</v>
      </c>
      <c r="K34" s="1600">
        <f t="shared" si="1"/>
        <v>0</v>
      </c>
      <c r="L34" s="1601">
        <f>SUM(L33)</f>
        <v>268232</v>
      </c>
      <c r="M34" s="1575"/>
      <c r="N34" s="1585"/>
    </row>
    <row r="35" spans="1:14" ht="18" customHeight="1" thickTop="1" x14ac:dyDescent="0.2">
      <c r="A35" s="2304" t="s">
        <v>526</v>
      </c>
      <c r="B35" s="2305"/>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5103475</v>
      </c>
    </row>
    <row r="37" spans="1:14" ht="13.5" thickBot="1" x14ac:dyDescent="0.25">
      <c r="A37" s="1426" t="s">
        <v>648</v>
      </c>
      <c r="B37" s="1429"/>
      <c r="C37" s="1582"/>
      <c r="D37" s="1582"/>
      <c r="E37" s="1582"/>
      <c r="F37" s="1582"/>
      <c r="G37" s="1582"/>
      <c r="H37" s="1582"/>
      <c r="I37" s="1582"/>
      <c r="J37" s="1582"/>
      <c r="K37" s="1582"/>
      <c r="L37" s="1585"/>
      <c r="M37" s="1575"/>
      <c r="N37" s="1594">
        <f>SUM(N36:N36)</f>
        <v>5103475</v>
      </c>
    </row>
    <row r="38" spans="1:14" s="307" customFormat="1" ht="13.5" customHeight="1" thickTop="1" x14ac:dyDescent="0.2">
      <c r="A38" s="438" t="s">
        <v>417</v>
      </c>
      <c r="B38" s="432">
        <v>714</v>
      </c>
      <c r="C38" s="1573">
        <v>0</v>
      </c>
      <c r="D38" s="1573">
        <v>50000</v>
      </c>
      <c r="E38" s="1573">
        <v>0</v>
      </c>
      <c r="F38" s="1573">
        <v>0</v>
      </c>
      <c r="G38" s="1573">
        <v>310286</v>
      </c>
      <c r="H38" s="1573">
        <v>1761055</v>
      </c>
      <c r="I38" s="1573">
        <v>0</v>
      </c>
      <c r="J38" s="1574">
        <v>0</v>
      </c>
      <c r="K38" s="1573">
        <v>0</v>
      </c>
      <c r="L38" s="1586">
        <v>896741</v>
      </c>
      <c r="M38" s="1604"/>
      <c r="N38" s="1604"/>
    </row>
    <row r="39" spans="1:14" s="307" customFormat="1" ht="13.5" customHeight="1" x14ac:dyDescent="0.2">
      <c r="A39" s="438" t="s">
        <v>339</v>
      </c>
      <c r="B39" s="432">
        <v>730</v>
      </c>
      <c r="C39" s="1573">
        <v>3500688</v>
      </c>
      <c r="D39" s="1573">
        <v>2906429</v>
      </c>
      <c r="E39" s="1573">
        <v>63291</v>
      </c>
      <c r="F39" s="1573">
        <v>1431337</v>
      </c>
      <c r="G39" s="1573">
        <v>305581</v>
      </c>
      <c r="H39" s="1573">
        <v>0</v>
      </c>
      <c r="I39" s="1573">
        <v>1127962</v>
      </c>
      <c r="J39" s="1574">
        <v>694878</v>
      </c>
      <c r="K39" s="1573">
        <v>397677</v>
      </c>
      <c r="L39" s="1573">
        <v>0</v>
      </c>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31902146</v>
      </c>
      <c r="N40" s="1604"/>
    </row>
    <row r="41" spans="1:14" ht="13.5" customHeight="1" thickBot="1" x14ac:dyDescent="0.25">
      <c r="A41" s="1426" t="s">
        <v>650</v>
      </c>
      <c r="B41" s="1405"/>
      <c r="C41" s="1594">
        <f>(SUM(C34,C37,C38,C39))</f>
        <v>3500688</v>
      </c>
      <c r="D41" s="1594">
        <f t="shared" ref="D41:L41" si="2">SUM(D34,D37,D38:D39)</f>
        <v>2956429</v>
      </c>
      <c r="E41" s="1594">
        <f t="shared" si="2"/>
        <v>63291</v>
      </c>
      <c r="F41" s="1594">
        <f t="shared" si="2"/>
        <v>1431337</v>
      </c>
      <c r="G41" s="1594">
        <f t="shared" si="2"/>
        <v>615867</v>
      </c>
      <c r="H41" s="1594">
        <f t="shared" si="2"/>
        <v>1761055</v>
      </c>
      <c r="I41" s="1594">
        <f t="shared" si="2"/>
        <v>1127962</v>
      </c>
      <c r="J41" s="1594">
        <f t="shared" si="2"/>
        <v>694878</v>
      </c>
      <c r="K41" s="1594">
        <f t="shared" si="2"/>
        <v>397677</v>
      </c>
      <c r="L41" s="1594">
        <f t="shared" si="2"/>
        <v>1164973</v>
      </c>
      <c r="M41" s="1594">
        <f>SUM(M40)</f>
        <v>31902146</v>
      </c>
      <c r="N41" s="1594">
        <f>SUM(N37)</f>
        <v>5103475</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activeCell="G30" sqref="G30"/>
      <selection pane="bottomLeft" activeCell="A3" sqref="A3:B3"/>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314"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315"/>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326" t="s">
        <v>1165</v>
      </c>
      <c r="B3" s="2327"/>
      <c r="C3" s="1311"/>
      <c r="D3" s="1312"/>
      <c r="E3" s="1312"/>
      <c r="F3" s="1312"/>
      <c r="G3" s="1312"/>
      <c r="H3" s="1312"/>
      <c r="I3" s="1312"/>
      <c r="J3" s="1312"/>
      <c r="K3" s="1313"/>
      <c r="L3" s="446"/>
    </row>
    <row r="4" spans="1:13" ht="15.75" customHeight="1" x14ac:dyDescent="0.2">
      <c r="A4" s="1537" t="s">
        <v>1482</v>
      </c>
      <c r="B4" s="1538">
        <v>1000</v>
      </c>
      <c r="C4" s="1606">
        <f>'Revenues 9-14'!C109</f>
        <v>8281958</v>
      </c>
      <c r="D4" s="1606">
        <f>'Revenues 9-14'!D109</f>
        <v>1228606</v>
      </c>
      <c r="E4" s="1606">
        <f>'Revenues 9-14'!E109</f>
        <v>900372</v>
      </c>
      <c r="F4" s="1606">
        <f>'Revenues 9-14'!F109</f>
        <v>464222</v>
      </c>
      <c r="G4" s="1606">
        <f>'Revenues 9-14'!G109</f>
        <v>555596</v>
      </c>
      <c r="H4" s="1606">
        <f>'Revenues 9-14'!H109</f>
        <v>445300</v>
      </c>
      <c r="I4" s="1606">
        <f>'Revenues 9-14'!I109</f>
        <v>156425</v>
      </c>
      <c r="J4" s="1606">
        <f>'Revenues 9-14'!J109</f>
        <v>611902</v>
      </c>
      <c r="K4" s="1606">
        <f>'Revenues 9-14'!K109</f>
        <v>115389</v>
      </c>
      <c r="L4" s="325"/>
    </row>
    <row r="5" spans="1:13" ht="15.75" customHeight="1" x14ac:dyDescent="0.2">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4065965</v>
      </c>
      <c r="D6" s="1607">
        <f>'Revenues 9-14'!D170</f>
        <v>50000</v>
      </c>
      <c r="E6" s="1607">
        <f>'Revenues 9-14'!E170</f>
        <v>0</v>
      </c>
      <c r="F6" s="1607">
        <f>'Revenues 9-14'!F170</f>
        <v>286173</v>
      </c>
      <c r="G6" s="1607">
        <f>'Revenues 9-14'!G170</f>
        <v>0</v>
      </c>
      <c r="H6" s="1607">
        <f>'Revenues 9-14'!H170</f>
        <v>0</v>
      </c>
      <c r="I6" s="1607">
        <f>'Revenues 9-14'!I170</f>
        <v>0</v>
      </c>
      <c r="J6" s="1607">
        <f>'Revenues 9-14'!J170</f>
        <v>0</v>
      </c>
      <c r="K6" s="1607">
        <f>'Revenues 9-14'!K170</f>
        <v>0</v>
      </c>
      <c r="L6" s="325"/>
      <c r="M6" s="448"/>
    </row>
    <row r="7" spans="1:13" ht="15.75" customHeight="1" x14ac:dyDescent="0.2">
      <c r="A7" s="1314" t="s">
        <v>1485</v>
      </c>
      <c r="B7" s="1316">
        <v>4000</v>
      </c>
      <c r="C7" s="1607">
        <f>'Revenues 9-14'!C267</f>
        <v>783992</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13131915</v>
      </c>
      <c r="D8" s="1594">
        <f t="shared" ref="D8:K8" si="0">SUM(D4:D7)</f>
        <v>1278606</v>
      </c>
      <c r="E8" s="1594">
        <f t="shared" si="0"/>
        <v>900372</v>
      </c>
      <c r="F8" s="1594">
        <f t="shared" si="0"/>
        <v>750395</v>
      </c>
      <c r="G8" s="1594">
        <f t="shared" si="0"/>
        <v>555596</v>
      </c>
      <c r="H8" s="1594">
        <f t="shared" si="0"/>
        <v>445300</v>
      </c>
      <c r="I8" s="1594">
        <f t="shared" si="0"/>
        <v>156425</v>
      </c>
      <c r="J8" s="1594">
        <f t="shared" si="0"/>
        <v>611902</v>
      </c>
      <c r="K8" s="1594">
        <f t="shared" si="0"/>
        <v>115389</v>
      </c>
      <c r="L8" s="325"/>
    </row>
    <row r="9" spans="1:13" ht="15.75" thickTop="1" x14ac:dyDescent="0.2">
      <c r="A9" s="449" t="s">
        <v>1634</v>
      </c>
      <c r="B9" s="450">
        <v>3998</v>
      </c>
      <c r="C9" s="1586">
        <v>6018553</v>
      </c>
      <c r="D9" s="1613"/>
      <c r="E9" s="1586"/>
      <c r="F9" s="1586"/>
      <c r="G9" s="1614"/>
      <c r="H9" s="1586"/>
      <c r="I9" s="1609" t="s">
        <v>1159</v>
      </c>
      <c r="J9" s="1583"/>
      <c r="K9" s="1586"/>
      <c r="L9" s="325"/>
    </row>
    <row r="10" spans="1:13" s="452" customFormat="1" ht="13.5" thickBot="1" x14ac:dyDescent="0.25">
      <c r="A10" s="1426" t="s">
        <v>1163</v>
      </c>
      <c r="B10" s="1407"/>
      <c r="C10" s="1594">
        <f>SUM(C8:C9)</f>
        <v>19150468</v>
      </c>
      <c r="D10" s="1594">
        <f t="shared" ref="D10:K10" si="1">SUM(D8:D9)</f>
        <v>1278606</v>
      </c>
      <c r="E10" s="1594">
        <f t="shared" si="1"/>
        <v>900372</v>
      </c>
      <c r="F10" s="1594">
        <f t="shared" si="1"/>
        <v>750395</v>
      </c>
      <c r="G10" s="1594">
        <f t="shared" si="1"/>
        <v>555596</v>
      </c>
      <c r="H10" s="1594">
        <f t="shared" si="1"/>
        <v>445300</v>
      </c>
      <c r="I10" s="1594">
        <f t="shared" si="1"/>
        <v>156425</v>
      </c>
      <c r="J10" s="1594">
        <f t="shared" si="1"/>
        <v>611902</v>
      </c>
      <c r="K10" s="1594">
        <f t="shared" si="1"/>
        <v>115389</v>
      </c>
      <c r="L10" s="451"/>
    </row>
    <row r="11" spans="1:13" s="452" customFormat="1" ht="16.7" customHeight="1" thickTop="1" x14ac:dyDescent="0.2">
      <c r="A11" s="2300" t="s">
        <v>1166</v>
      </c>
      <c r="B11" s="2301"/>
      <c r="C11" s="1602"/>
      <c r="D11" s="1603"/>
      <c r="E11" s="1603"/>
      <c r="F11" s="1603"/>
      <c r="G11" s="1603"/>
      <c r="H11" s="1603"/>
      <c r="I11" s="1603"/>
      <c r="J11" s="1603"/>
      <c r="K11" s="1615"/>
      <c r="L11" s="451"/>
    </row>
    <row r="12" spans="1:13" ht="15.75" customHeight="1" x14ac:dyDescent="0.2">
      <c r="A12" s="1314" t="s">
        <v>453</v>
      </c>
      <c r="B12" s="1316">
        <v>1000</v>
      </c>
      <c r="C12" s="1606">
        <f>'Expenditures 15-22'!K33</f>
        <v>8837667</v>
      </c>
      <c r="D12" s="1616" t="s">
        <v>1159</v>
      </c>
      <c r="E12" s="1575" t="s">
        <v>1159</v>
      </c>
      <c r="F12" s="1575" t="s">
        <v>1159</v>
      </c>
      <c r="G12" s="1606">
        <f>'Expenditures 15-22'!K229</f>
        <v>177762</v>
      </c>
      <c r="H12" s="1617"/>
      <c r="I12" s="1575" t="s">
        <v>1159</v>
      </c>
      <c r="J12" s="1575" t="s">
        <v>1159</v>
      </c>
      <c r="K12" s="1617" t="s">
        <v>1159</v>
      </c>
      <c r="L12" s="325"/>
    </row>
    <row r="13" spans="1:13" ht="15.75" customHeight="1" x14ac:dyDescent="0.2">
      <c r="A13" s="1314" t="s">
        <v>454</v>
      </c>
      <c r="B13" s="1316">
        <v>2000</v>
      </c>
      <c r="C13" s="1607">
        <f>'Expenditures 15-22'!K74</f>
        <v>3338795</v>
      </c>
      <c r="D13" s="1607">
        <f>'Expenditures 15-22'!K129</f>
        <v>940956</v>
      </c>
      <c r="E13" s="1576" t="s">
        <v>1159</v>
      </c>
      <c r="F13" s="1607">
        <f>'Expenditures 15-22'!K184</f>
        <v>652459</v>
      </c>
      <c r="G13" s="1607">
        <f>'Expenditures 15-22'!K279</f>
        <v>276070</v>
      </c>
      <c r="H13" s="1607">
        <f>'Expenditures 15-22'!K303</f>
        <v>3997142</v>
      </c>
      <c r="I13" s="1575" t="s">
        <v>1159</v>
      </c>
      <c r="J13" s="1607">
        <f>'Expenditures 15-22'!K330</f>
        <v>448696</v>
      </c>
      <c r="K13" s="1618">
        <f>'Expenditures 15-22'!K352</f>
        <v>5430</v>
      </c>
      <c r="L13" s="325"/>
    </row>
    <row r="14" spans="1:13" ht="15.75" customHeight="1" x14ac:dyDescent="0.2">
      <c r="A14" s="1314" t="s">
        <v>446</v>
      </c>
      <c r="B14" s="1316">
        <v>3000</v>
      </c>
      <c r="C14" s="1607">
        <f>'Expenditures 15-22'!K75</f>
        <v>2874</v>
      </c>
      <c r="D14" s="1607">
        <f>'Expenditures 15-22'!K130</f>
        <v>0</v>
      </c>
      <c r="E14" s="1616" t="s">
        <v>1159</v>
      </c>
      <c r="F14" s="1607">
        <f>'Expenditures 15-22'!K185</f>
        <v>0</v>
      </c>
      <c r="G14" s="1607">
        <f>'Expenditures 15-22'!K280</f>
        <v>15</v>
      </c>
      <c r="H14" s="1612"/>
      <c r="I14" s="1575" t="s">
        <v>1159</v>
      </c>
      <c r="J14" s="1575" t="s">
        <v>1159</v>
      </c>
      <c r="K14" s="1612" t="s">
        <v>1159</v>
      </c>
      <c r="L14" s="325"/>
    </row>
    <row r="15" spans="1:13" ht="15.75" customHeight="1" x14ac:dyDescent="0.2">
      <c r="A15" s="1314" t="s">
        <v>107</v>
      </c>
      <c r="B15" s="1316">
        <v>4000</v>
      </c>
      <c r="C15" s="1607">
        <f>'Expenditures 15-22'!K102</f>
        <v>859002</v>
      </c>
      <c r="D15" s="1607">
        <f>'Expenditures 15-22'!K139</f>
        <v>8892</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1039507</v>
      </c>
      <c r="F16" s="1607">
        <f>'Expenditures 15-22'!K208</f>
        <v>0</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13038338</v>
      </c>
      <c r="D17" s="1594">
        <f t="shared" si="2"/>
        <v>949848</v>
      </c>
      <c r="E17" s="1594">
        <f t="shared" si="2"/>
        <v>1039507</v>
      </c>
      <c r="F17" s="1594">
        <f t="shared" si="2"/>
        <v>652459</v>
      </c>
      <c r="G17" s="1594">
        <f t="shared" si="2"/>
        <v>453847</v>
      </c>
      <c r="H17" s="1594">
        <f t="shared" si="2"/>
        <v>3997142</v>
      </c>
      <c r="I17" s="1575"/>
      <c r="J17" s="1594">
        <f>SUM(J12:J16)</f>
        <v>448696</v>
      </c>
      <c r="K17" s="1594">
        <f>SUM(K12:K16)</f>
        <v>5430</v>
      </c>
      <c r="L17" s="325"/>
    </row>
    <row r="18" spans="1:12" ht="15" customHeight="1" thickTop="1" x14ac:dyDescent="0.2">
      <c r="A18" s="1430" t="s">
        <v>1635</v>
      </c>
      <c r="B18" s="1431">
        <v>4180</v>
      </c>
      <c r="C18" s="1606">
        <f t="shared" ref="C18:H18" si="3">C9</f>
        <v>6018553</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19056891</v>
      </c>
      <c r="D19" s="1594">
        <f t="shared" si="4"/>
        <v>949848</v>
      </c>
      <c r="E19" s="1594">
        <f t="shared" si="4"/>
        <v>1039507</v>
      </c>
      <c r="F19" s="1594">
        <f t="shared" si="4"/>
        <v>652459</v>
      </c>
      <c r="G19" s="1594">
        <f t="shared" si="4"/>
        <v>453847</v>
      </c>
      <c r="H19" s="1594">
        <f t="shared" si="4"/>
        <v>3997142</v>
      </c>
      <c r="I19" s="1575"/>
      <c r="J19" s="1594">
        <f>SUM(J17:J18)</f>
        <v>448696</v>
      </c>
      <c r="K19" s="1594">
        <f>SUM(K17:K18)</f>
        <v>5430</v>
      </c>
      <c r="L19" s="325"/>
    </row>
    <row r="20" spans="1:12" ht="16.5" thickTop="1" thickBot="1" x14ac:dyDescent="0.25">
      <c r="A20" s="2316" t="s">
        <v>1636</v>
      </c>
      <c r="B20" s="2317"/>
      <c r="C20" s="1622">
        <f>C8-C17</f>
        <v>93577</v>
      </c>
      <c r="D20" s="1622">
        <f t="shared" ref="D20:K20" si="5">D8-D17</f>
        <v>328758</v>
      </c>
      <c r="E20" s="1622">
        <f t="shared" si="5"/>
        <v>-139135</v>
      </c>
      <c r="F20" s="1622">
        <f t="shared" si="5"/>
        <v>97936</v>
      </c>
      <c r="G20" s="1622">
        <f t="shared" si="5"/>
        <v>101749</v>
      </c>
      <c r="H20" s="1622">
        <f t="shared" si="5"/>
        <v>-3551842</v>
      </c>
      <c r="I20" s="1622">
        <f t="shared" si="5"/>
        <v>156425</v>
      </c>
      <c r="J20" s="1622">
        <f t="shared" si="5"/>
        <v>163206</v>
      </c>
      <c r="K20" s="1622">
        <f t="shared" si="5"/>
        <v>109959</v>
      </c>
      <c r="L20" s="325"/>
    </row>
    <row r="21" spans="1:12" ht="16.7" customHeight="1" thickTop="1" x14ac:dyDescent="0.2">
      <c r="A21" s="2328" t="s">
        <v>591</v>
      </c>
      <c r="B21" s="2329"/>
      <c r="C21" s="1602"/>
      <c r="D21" s="1603"/>
      <c r="E21" s="1603"/>
      <c r="F21" s="1603"/>
      <c r="G21" s="1603"/>
      <c r="H21" s="1603"/>
      <c r="I21" s="1603"/>
      <c r="J21" s="1603"/>
      <c r="K21" s="1615"/>
      <c r="L21" s="453"/>
    </row>
    <row r="22" spans="1:12" ht="15.75" customHeight="1" collapsed="1" x14ac:dyDescent="0.2">
      <c r="A22" s="2324" t="s">
        <v>592</v>
      </c>
      <c r="B22" s="2325"/>
      <c r="C22" s="1582"/>
      <c r="D22" s="1582"/>
      <c r="E22" s="1582"/>
      <c r="F22" s="1582"/>
      <c r="G22" s="1582"/>
      <c r="H22" s="1582"/>
      <c r="I22" s="1582"/>
      <c r="J22" s="1582"/>
      <c r="K22" s="1582"/>
      <c r="L22" s="325"/>
    </row>
    <row r="23" spans="1:12" s="433" customFormat="1" ht="15.75" customHeight="1" x14ac:dyDescent="0.2">
      <c r="A23" s="2320" t="s">
        <v>290</v>
      </c>
      <c r="B23" s="2321"/>
      <c r="C23" s="1585"/>
      <c r="D23" s="1582"/>
      <c r="E23" s="1582"/>
      <c r="F23" s="1582"/>
      <c r="G23" s="1582"/>
      <c r="H23" s="1582"/>
      <c r="I23" s="1582"/>
      <c r="J23" s="1582"/>
      <c r="K23" s="1582"/>
      <c r="L23" s="453"/>
    </row>
    <row r="24" spans="1:12" s="433" customFormat="1" ht="13.5" customHeight="1" x14ac:dyDescent="0.2">
      <c r="A24" s="1260" t="s">
        <v>1637</v>
      </c>
      <c r="B24" s="454">
        <v>7110</v>
      </c>
      <c r="C24" s="1574">
        <v>0</v>
      </c>
      <c r="D24" s="1582"/>
      <c r="E24" s="1582"/>
      <c r="F24" s="1582"/>
      <c r="G24" s="1582"/>
      <c r="H24" s="1582"/>
      <c r="I24" s="1582"/>
      <c r="J24" s="1582"/>
      <c r="K24" s="1582"/>
      <c r="L24" s="453"/>
    </row>
    <row r="25" spans="1:12" s="433" customFormat="1" ht="13.5" customHeight="1" x14ac:dyDescent="0.2">
      <c r="A25" s="1260" t="s">
        <v>1638</v>
      </c>
      <c r="B25" s="454">
        <v>7110</v>
      </c>
      <c r="C25" s="1574">
        <v>1500000</v>
      </c>
      <c r="D25" s="1574">
        <v>200000</v>
      </c>
      <c r="E25" s="1574">
        <v>0</v>
      </c>
      <c r="F25" s="1574">
        <v>0</v>
      </c>
      <c r="G25" s="1574">
        <v>0</v>
      </c>
      <c r="H25" s="1574">
        <v>200000</v>
      </c>
      <c r="I25" s="1582"/>
      <c r="J25" s="1574">
        <v>0</v>
      </c>
      <c r="K25" s="1574">
        <v>0</v>
      </c>
      <c r="L25" s="453"/>
    </row>
    <row r="26" spans="1:12" s="433" customFormat="1" ht="13.5" customHeight="1" x14ac:dyDescent="0.2">
      <c r="A26" s="1260" t="s">
        <v>183</v>
      </c>
      <c r="B26" s="432">
        <v>7120</v>
      </c>
      <c r="C26" s="1574">
        <v>0</v>
      </c>
      <c r="D26" s="1574">
        <v>0</v>
      </c>
      <c r="E26" s="1574">
        <v>0</v>
      </c>
      <c r="F26" s="1574">
        <v>0</v>
      </c>
      <c r="G26" s="1574">
        <v>0</v>
      </c>
      <c r="H26" s="1574">
        <v>0</v>
      </c>
      <c r="I26" s="1582"/>
      <c r="J26" s="1574">
        <v>0</v>
      </c>
      <c r="K26" s="1574">
        <v>0</v>
      </c>
      <c r="L26" s="453"/>
    </row>
    <row r="27" spans="1:12" s="433" customFormat="1" ht="13.5" customHeight="1" x14ac:dyDescent="0.2">
      <c r="A27" s="1260" t="s">
        <v>184</v>
      </c>
      <c r="B27" s="432">
        <v>7130</v>
      </c>
      <c r="C27" s="1574">
        <v>0</v>
      </c>
      <c r="D27" s="1574">
        <v>0</v>
      </c>
      <c r="E27" s="1623"/>
      <c r="F27" s="1574">
        <v>0</v>
      </c>
      <c r="G27" s="1585"/>
      <c r="H27" s="1585"/>
      <c r="I27" s="1585"/>
      <c r="J27" s="1585"/>
      <c r="K27" s="1585"/>
      <c r="L27" s="453"/>
    </row>
    <row r="28" spans="1:12" s="433" customFormat="1" ht="13.5" customHeight="1" x14ac:dyDescent="0.2">
      <c r="A28" s="1260" t="s">
        <v>1381</v>
      </c>
      <c r="B28" s="432">
        <v>7140</v>
      </c>
      <c r="C28" s="1574">
        <v>0</v>
      </c>
      <c r="D28" s="1574">
        <v>0</v>
      </c>
      <c r="E28" s="1574">
        <v>0</v>
      </c>
      <c r="F28" s="1574">
        <v>0</v>
      </c>
      <c r="G28" s="1574">
        <v>0</v>
      </c>
      <c r="H28" s="1574">
        <v>0</v>
      </c>
      <c r="I28" s="1574">
        <v>0</v>
      </c>
      <c r="J28" s="1574">
        <v>0</v>
      </c>
      <c r="K28" s="1574">
        <v>0</v>
      </c>
      <c r="L28" s="453"/>
    </row>
    <row r="29" spans="1:12" s="433" customFormat="1" ht="13.5" customHeight="1" x14ac:dyDescent="0.2">
      <c r="A29" s="1260" t="s">
        <v>291</v>
      </c>
      <c r="B29" s="432">
        <v>7150</v>
      </c>
      <c r="C29" s="1580"/>
      <c r="D29" s="1574">
        <v>0</v>
      </c>
      <c r="E29" s="1580"/>
      <c r="F29" s="1580"/>
      <c r="G29" s="1580"/>
      <c r="H29" s="1580"/>
      <c r="I29" s="1580"/>
      <c r="J29" s="1580"/>
      <c r="K29" s="1580"/>
      <c r="L29" s="453"/>
    </row>
    <row r="30" spans="1:12" s="433" customFormat="1" ht="26.25" x14ac:dyDescent="0.2">
      <c r="A30" s="1260" t="s">
        <v>1768</v>
      </c>
      <c r="B30" s="455">
        <v>7160</v>
      </c>
      <c r="C30" s="1582"/>
      <c r="D30" s="1574">
        <v>0</v>
      </c>
      <c r="E30" s="1582"/>
      <c r="F30" s="1582"/>
      <c r="G30" s="1582"/>
      <c r="H30" s="1582"/>
      <c r="I30" s="1582"/>
      <c r="J30" s="1582"/>
      <c r="K30" s="1582"/>
      <c r="L30" s="453"/>
    </row>
    <row r="31" spans="1:12" s="433" customFormat="1" ht="26.25" x14ac:dyDescent="0.2">
      <c r="A31" s="1260" t="s">
        <v>1772</v>
      </c>
      <c r="B31" s="455">
        <v>7170</v>
      </c>
      <c r="C31" s="1582"/>
      <c r="D31" s="1582"/>
      <c r="E31" s="1579">
        <v>0</v>
      </c>
      <c r="F31" s="1582"/>
      <c r="G31" s="1582"/>
      <c r="H31" s="1582"/>
      <c r="I31" s="1582"/>
      <c r="J31" s="1582"/>
      <c r="K31" s="1582"/>
      <c r="L31" s="453"/>
    </row>
    <row r="32" spans="1:12" s="433" customFormat="1" ht="15.75" customHeight="1" x14ac:dyDescent="0.2">
      <c r="A32" s="2322" t="s">
        <v>974</v>
      </c>
      <c r="B32" s="2323"/>
      <c r="C32" s="1582"/>
      <c r="D32" s="1582"/>
      <c r="E32" s="1580"/>
      <c r="F32" s="1582"/>
      <c r="G32" s="1582"/>
      <c r="H32" s="1582"/>
      <c r="I32" s="1582"/>
      <c r="J32" s="1582"/>
      <c r="K32" s="1582"/>
      <c r="L32" s="453"/>
    </row>
    <row r="33" spans="1:12" s="433" customFormat="1" x14ac:dyDescent="0.2">
      <c r="A33" s="1260" t="s">
        <v>409</v>
      </c>
      <c r="B33" s="454">
        <v>7210</v>
      </c>
      <c r="C33" s="1574">
        <v>0</v>
      </c>
      <c r="D33" s="1574">
        <v>0</v>
      </c>
      <c r="E33" s="1574">
        <v>0</v>
      </c>
      <c r="F33" s="1574">
        <v>0</v>
      </c>
      <c r="G33" s="1582"/>
      <c r="H33" s="1574">
        <v>0</v>
      </c>
      <c r="I33" s="1574">
        <v>0</v>
      </c>
      <c r="J33" s="1574">
        <v>0</v>
      </c>
      <c r="K33" s="1574">
        <v>0</v>
      </c>
      <c r="L33" s="453"/>
    </row>
    <row r="34" spans="1:12" s="433" customFormat="1" x14ac:dyDescent="0.2">
      <c r="A34" s="1260" t="s">
        <v>994</v>
      </c>
      <c r="B34" s="454">
        <v>7220</v>
      </c>
      <c r="C34" s="1574">
        <v>0</v>
      </c>
      <c r="D34" s="1574">
        <v>0</v>
      </c>
      <c r="E34" s="1574">
        <v>0</v>
      </c>
      <c r="F34" s="1574">
        <v>0</v>
      </c>
      <c r="G34" s="1582"/>
      <c r="H34" s="1583">
        <v>0</v>
      </c>
      <c r="I34" s="1583">
        <v>0</v>
      </c>
      <c r="J34" s="1583">
        <v>0</v>
      </c>
      <c r="K34" s="1583">
        <v>0</v>
      </c>
      <c r="L34" s="453"/>
    </row>
    <row r="35" spans="1:12" s="433" customFormat="1" x14ac:dyDescent="0.2">
      <c r="A35" s="1260" t="s">
        <v>983</v>
      </c>
      <c r="B35" s="454">
        <v>7230</v>
      </c>
      <c r="C35" s="1574">
        <v>0</v>
      </c>
      <c r="D35" s="1574">
        <v>0</v>
      </c>
      <c r="E35" s="1574">
        <v>0</v>
      </c>
      <c r="F35" s="1574">
        <v>0</v>
      </c>
      <c r="G35" s="1585"/>
      <c r="H35" s="1574">
        <v>0</v>
      </c>
      <c r="I35" s="1574">
        <v>0</v>
      </c>
      <c r="J35" s="1574">
        <v>0</v>
      </c>
      <c r="K35" s="1574">
        <v>0</v>
      </c>
      <c r="L35" s="453"/>
    </row>
    <row r="36" spans="1:12" s="433" customFormat="1" ht="15" x14ac:dyDescent="0.2">
      <c r="A36" s="1260" t="s">
        <v>1639</v>
      </c>
      <c r="B36" s="454">
        <v>7300</v>
      </c>
      <c r="C36" s="1574">
        <v>0</v>
      </c>
      <c r="D36" s="1574">
        <v>0</v>
      </c>
      <c r="E36" s="1574">
        <v>0</v>
      </c>
      <c r="F36" s="1574">
        <v>0</v>
      </c>
      <c r="G36" s="1574">
        <v>0</v>
      </c>
      <c r="H36" s="1574">
        <v>0</v>
      </c>
      <c r="I36" s="1580"/>
      <c r="J36" s="1574">
        <v>0</v>
      </c>
      <c r="K36" s="1574">
        <v>0</v>
      </c>
      <c r="L36" s="453"/>
    </row>
    <row r="37" spans="1:12" s="433" customFormat="1" x14ac:dyDescent="0.2">
      <c r="A37" s="1260" t="s">
        <v>438</v>
      </c>
      <c r="B37" s="454">
        <v>7400</v>
      </c>
      <c r="C37" s="1580"/>
      <c r="D37" s="1580"/>
      <c r="E37" s="1607">
        <f>SUM(C54:D57,H54:H57)</f>
        <v>139420</v>
      </c>
      <c r="F37" s="1580"/>
      <c r="G37" s="1580"/>
      <c r="H37" s="1580"/>
      <c r="I37" s="1582"/>
      <c r="J37" s="1580"/>
      <c r="K37" s="1580"/>
      <c r="L37" s="453"/>
    </row>
    <row r="38" spans="1:12" s="433" customFormat="1" x14ac:dyDescent="0.2">
      <c r="A38" s="1260" t="s">
        <v>439</v>
      </c>
      <c r="B38" s="454">
        <v>7500</v>
      </c>
      <c r="C38" s="1582"/>
      <c r="D38" s="1582"/>
      <c r="E38" s="1607">
        <f>SUM(C58:D61,H58:H61)</f>
        <v>7254</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800000</v>
      </c>
      <c r="I41" s="1582"/>
      <c r="J41" s="1582"/>
      <c r="K41" s="1585"/>
      <c r="L41" s="453"/>
    </row>
    <row r="42" spans="1:12" s="433" customFormat="1" ht="13.5" customHeight="1" x14ac:dyDescent="0.2">
      <c r="A42" s="1260" t="s">
        <v>636</v>
      </c>
      <c r="B42" s="432">
        <v>7900</v>
      </c>
      <c r="C42" s="1574">
        <v>0</v>
      </c>
      <c r="D42" s="1574">
        <v>0</v>
      </c>
      <c r="E42" s="1574">
        <v>0</v>
      </c>
      <c r="F42" s="1574">
        <v>0</v>
      </c>
      <c r="G42" s="1574">
        <v>0</v>
      </c>
      <c r="H42" s="1574">
        <v>0</v>
      </c>
      <c r="I42" s="1585"/>
      <c r="J42" s="1585"/>
      <c r="K42" s="1574">
        <v>0</v>
      </c>
      <c r="L42" s="453"/>
    </row>
    <row r="43" spans="1:12" s="433" customFormat="1" ht="13.5" customHeight="1" x14ac:dyDescent="0.2">
      <c r="A43" s="1260" t="s">
        <v>370</v>
      </c>
      <c r="B43" s="432">
        <v>7990</v>
      </c>
      <c r="C43" s="1574">
        <v>137943</v>
      </c>
      <c r="D43" s="1574">
        <v>0</v>
      </c>
      <c r="E43" s="1574">
        <v>0</v>
      </c>
      <c r="F43" s="1574">
        <v>0</v>
      </c>
      <c r="G43" s="1574">
        <v>0</v>
      </c>
      <c r="H43" s="1574">
        <v>4001000</v>
      </c>
      <c r="I43" s="1574">
        <v>0</v>
      </c>
      <c r="J43" s="1574">
        <v>0</v>
      </c>
      <c r="K43" s="1574">
        <v>0</v>
      </c>
      <c r="L43" s="453"/>
    </row>
    <row r="44" spans="1:12" s="433" customFormat="1" ht="13.5" customHeight="1" thickBot="1" x14ac:dyDescent="0.25">
      <c r="A44" s="2330" t="s">
        <v>371</v>
      </c>
      <c r="B44" s="2331"/>
      <c r="C44" s="1624">
        <f>SUM(C24:C43)</f>
        <v>1637943</v>
      </c>
      <c r="D44" s="1624">
        <f t="shared" ref="D44:K44" si="6">SUM(D24:D43)</f>
        <v>200000</v>
      </c>
      <c r="E44" s="1624">
        <f t="shared" si="6"/>
        <v>146674</v>
      </c>
      <c r="F44" s="1624">
        <f t="shared" si="6"/>
        <v>0</v>
      </c>
      <c r="G44" s="1624">
        <f t="shared" si="6"/>
        <v>0</v>
      </c>
      <c r="H44" s="1624">
        <f t="shared" si="6"/>
        <v>5001000</v>
      </c>
      <c r="I44" s="1624">
        <f t="shared" si="6"/>
        <v>0</v>
      </c>
      <c r="J44" s="1624">
        <f t="shared" si="6"/>
        <v>0</v>
      </c>
      <c r="K44" s="1624">
        <f t="shared" si="6"/>
        <v>0</v>
      </c>
      <c r="L44" s="453"/>
    </row>
    <row r="45" spans="1:12" ht="15.75" customHeight="1" thickTop="1" x14ac:dyDescent="0.2">
      <c r="A45" s="2324" t="s">
        <v>108</v>
      </c>
      <c r="B45" s="2325"/>
      <c r="C45" s="1625"/>
      <c r="D45" s="1625"/>
      <c r="E45" s="1625"/>
      <c r="F45" s="1625"/>
      <c r="G45" s="1625"/>
      <c r="H45" s="1625"/>
      <c r="I45" s="1625"/>
      <c r="J45" s="1625"/>
      <c r="K45" s="1625"/>
      <c r="L45" s="325"/>
    </row>
    <row r="46" spans="1:12" s="433" customFormat="1" ht="15.75" customHeight="1" x14ac:dyDescent="0.2">
      <c r="A46" s="2332" t="s">
        <v>109</v>
      </c>
      <c r="B46" s="2333"/>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7">
        <f>SUM(C24,C25:H25,J25:K25)</f>
        <v>1900000</v>
      </c>
      <c r="J47" s="1582"/>
      <c r="K47" s="1582"/>
      <c r="L47" s="456"/>
    </row>
    <row r="48" spans="1:12" s="433" customFormat="1" ht="15" x14ac:dyDescent="0.2">
      <c r="A48" s="1261" t="s">
        <v>1641</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v>0</v>
      </c>
      <c r="D49" s="1574">
        <v>0</v>
      </c>
      <c r="E49" s="1585"/>
      <c r="F49" s="1574">
        <v>0</v>
      </c>
      <c r="G49" s="1585"/>
      <c r="H49" s="1585"/>
      <c r="I49" s="1582"/>
      <c r="J49" s="1585"/>
      <c r="K49" s="1582"/>
      <c r="L49" s="453"/>
    </row>
    <row r="50" spans="1:12" s="433" customFormat="1" x14ac:dyDescent="0.2">
      <c r="A50" s="1261" t="s">
        <v>1381</v>
      </c>
      <c r="B50" s="432">
        <v>8140</v>
      </c>
      <c r="C50" s="1574">
        <v>0</v>
      </c>
      <c r="D50" s="1574">
        <v>0</v>
      </c>
      <c r="E50" s="1574">
        <v>0</v>
      </c>
      <c r="F50" s="1574">
        <v>0</v>
      </c>
      <c r="G50" s="1574">
        <v>0</v>
      </c>
      <c r="H50" s="1574">
        <v>0</v>
      </c>
      <c r="I50" s="1582"/>
      <c r="J50" s="1574">
        <v>0</v>
      </c>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1771</v>
      </c>
      <c r="B52" s="432">
        <v>8160</v>
      </c>
      <c r="C52" s="1582"/>
      <c r="D52" s="1582"/>
      <c r="E52" s="1582"/>
      <c r="F52" s="1582"/>
      <c r="G52" s="1582"/>
      <c r="H52" s="1582"/>
      <c r="I52" s="1582"/>
      <c r="J52" s="1582"/>
      <c r="K52" s="1607">
        <f>D30</f>
        <v>0</v>
      </c>
      <c r="L52" s="453"/>
    </row>
    <row r="53" spans="1:12" s="433" customFormat="1" ht="26.25" x14ac:dyDescent="0.2">
      <c r="A53" s="1261" t="s">
        <v>1770</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v>117780</v>
      </c>
      <c r="D54" s="1626">
        <v>0</v>
      </c>
      <c r="E54" s="1582"/>
      <c r="F54" s="1582"/>
      <c r="G54" s="1582"/>
      <c r="H54" s="1626">
        <v>0</v>
      </c>
      <c r="I54" s="1582"/>
      <c r="J54" s="1582"/>
      <c r="K54" s="1580"/>
      <c r="L54" s="453"/>
    </row>
    <row r="55" spans="1:12" s="433" customFormat="1" ht="14.25" thickTop="1" thickBot="1" x14ac:dyDescent="0.25">
      <c r="A55" s="1262" t="s">
        <v>688</v>
      </c>
      <c r="B55" s="432">
        <v>8420</v>
      </c>
      <c r="C55" s="1627">
        <v>0</v>
      </c>
      <c r="D55" s="1627">
        <v>0</v>
      </c>
      <c r="E55" s="1582"/>
      <c r="F55" s="1582"/>
      <c r="G55" s="1582"/>
      <c r="H55" s="1626">
        <v>0</v>
      </c>
      <c r="I55" s="1582"/>
      <c r="J55" s="1582"/>
      <c r="K55" s="1582"/>
      <c r="L55" s="453"/>
    </row>
    <row r="56" spans="1:12" s="433" customFormat="1" ht="14.25" thickTop="1" thickBot="1" x14ac:dyDescent="0.25">
      <c r="A56" s="1261" t="s">
        <v>577</v>
      </c>
      <c r="B56" s="432">
        <v>8430</v>
      </c>
      <c r="C56" s="1627">
        <v>0</v>
      </c>
      <c r="D56" s="1627">
        <v>0</v>
      </c>
      <c r="E56" s="1582"/>
      <c r="F56" s="1582"/>
      <c r="G56" s="1582"/>
      <c r="H56" s="1626">
        <v>0</v>
      </c>
      <c r="I56" s="1582"/>
      <c r="J56" s="1582"/>
      <c r="K56" s="1582"/>
      <c r="L56" s="453"/>
    </row>
    <row r="57" spans="1:12" s="433" customFormat="1" ht="14.25" thickTop="1" thickBot="1" x14ac:dyDescent="0.25">
      <c r="A57" s="1262" t="s">
        <v>574</v>
      </c>
      <c r="B57" s="432">
        <v>8440</v>
      </c>
      <c r="C57" s="1627">
        <v>21640</v>
      </c>
      <c r="D57" s="1627">
        <v>0</v>
      </c>
      <c r="E57" s="1582"/>
      <c r="F57" s="1582"/>
      <c r="G57" s="1582"/>
      <c r="H57" s="1626">
        <v>0</v>
      </c>
      <c r="I57" s="1582"/>
      <c r="J57" s="1582"/>
      <c r="K57" s="1582"/>
      <c r="L57" s="453"/>
    </row>
    <row r="58" spans="1:12" s="433" customFormat="1" ht="14.25" thickTop="1" thickBot="1" x14ac:dyDescent="0.25">
      <c r="A58" s="1261" t="s">
        <v>575</v>
      </c>
      <c r="B58" s="432">
        <v>8510</v>
      </c>
      <c r="C58" s="1627">
        <v>6415</v>
      </c>
      <c r="D58" s="1627">
        <v>0</v>
      </c>
      <c r="E58" s="1582"/>
      <c r="F58" s="1582"/>
      <c r="G58" s="1582"/>
      <c r="H58" s="1626">
        <v>0</v>
      </c>
      <c r="I58" s="1582"/>
      <c r="J58" s="1582"/>
      <c r="K58" s="1582"/>
      <c r="L58" s="453"/>
    </row>
    <row r="59" spans="1:12" s="433" customFormat="1" ht="14.25" thickTop="1" thickBot="1" x14ac:dyDescent="0.25">
      <c r="A59" s="1263" t="s">
        <v>689</v>
      </c>
      <c r="B59" s="432">
        <v>8520</v>
      </c>
      <c r="C59" s="1627">
        <v>0</v>
      </c>
      <c r="D59" s="1627">
        <v>0</v>
      </c>
      <c r="E59" s="1582"/>
      <c r="F59" s="1582"/>
      <c r="G59" s="1582"/>
      <c r="H59" s="1626">
        <v>0</v>
      </c>
      <c r="I59" s="1582"/>
      <c r="J59" s="1582"/>
      <c r="K59" s="1582"/>
      <c r="L59" s="453"/>
    </row>
    <row r="60" spans="1:12" s="433" customFormat="1" ht="14.25" thickTop="1" thickBot="1" x14ac:dyDescent="0.25">
      <c r="A60" s="1261" t="s">
        <v>576</v>
      </c>
      <c r="B60" s="432">
        <v>8530</v>
      </c>
      <c r="C60" s="1627">
        <v>0</v>
      </c>
      <c r="D60" s="1627">
        <v>0</v>
      </c>
      <c r="E60" s="1582"/>
      <c r="F60" s="1582"/>
      <c r="G60" s="1582"/>
      <c r="H60" s="1626">
        <v>0</v>
      </c>
      <c r="I60" s="1582"/>
      <c r="J60" s="1582"/>
      <c r="K60" s="1582"/>
      <c r="L60" s="453"/>
    </row>
    <row r="61" spans="1:12" s="433" customFormat="1" ht="14.25" thickTop="1" thickBot="1" x14ac:dyDescent="0.25">
      <c r="A61" s="1262" t="s">
        <v>738</v>
      </c>
      <c r="B61" s="432">
        <v>8540</v>
      </c>
      <c r="C61" s="1627">
        <v>839</v>
      </c>
      <c r="D61" s="1627">
        <v>0</v>
      </c>
      <c r="E61" s="1582"/>
      <c r="F61" s="1582"/>
      <c r="G61" s="1582"/>
      <c r="H61" s="1626">
        <v>0</v>
      </c>
      <c r="I61" s="1582"/>
      <c r="J61" s="1582"/>
      <c r="K61" s="1582"/>
      <c r="L61" s="453"/>
    </row>
    <row r="62" spans="1:12" s="433" customFormat="1" ht="13.5" customHeight="1" thickTop="1" thickBot="1" x14ac:dyDescent="0.25">
      <c r="A62" s="1261" t="s">
        <v>739</v>
      </c>
      <c r="B62" s="432">
        <v>8610</v>
      </c>
      <c r="C62" s="1627">
        <v>0</v>
      </c>
      <c r="D62" s="1627">
        <v>0</v>
      </c>
      <c r="E62" s="1582"/>
      <c r="F62" s="1582"/>
      <c r="G62" s="1582"/>
      <c r="H62" s="1582"/>
      <c r="I62" s="1582"/>
      <c r="J62" s="1582"/>
      <c r="K62" s="1582"/>
      <c r="L62" s="453"/>
    </row>
    <row r="63" spans="1:12" s="433" customFormat="1" ht="14.25" thickTop="1" thickBot="1" x14ac:dyDescent="0.25">
      <c r="A63" s="1262" t="s">
        <v>690</v>
      </c>
      <c r="B63" s="432">
        <v>8620</v>
      </c>
      <c r="C63" s="1627">
        <v>0</v>
      </c>
      <c r="D63" s="1627">
        <v>0</v>
      </c>
      <c r="E63" s="1582"/>
      <c r="F63" s="1582"/>
      <c r="G63" s="1582"/>
      <c r="H63" s="1582"/>
      <c r="I63" s="1582"/>
      <c r="J63" s="1582"/>
      <c r="K63" s="1582"/>
      <c r="L63" s="453"/>
    </row>
    <row r="64" spans="1:12" s="433" customFormat="1" ht="13.5" customHeight="1" thickTop="1" thickBot="1" x14ac:dyDescent="0.25">
      <c r="A64" s="1261" t="s">
        <v>740</v>
      </c>
      <c r="B64" s="432">
        <v>8630</v>
      </c>
      <c r="C64" s="1627">
        <v>0</v>
      </c>
      <c r="D64" s="1627">
        <v>0</v>
      </c>
      <c r="E64" s="1582"/>
      <c r="F64" s="1582"/>
      <c r="G64" s="1582"/>
      <c r="H64" s="1582"/>
      <c r="I64" s="1582"/>
      <c r="J64" s="1582"/>
      <c r="K64" s="1582"/>
      <c r="L64" s="453"/>
    </row>
    <row r="65" spans="1:12" s="433" customFormat="1" ht="14.25" thickTop="1" thickBot="1" x14ac:dyDescent="0.25">
      <c r="A65" s="1262" t="s">
        <v>741</v>
      </c>
      <c r="B65" s="432">
        <v>8640</v>
      </c>
      <c r="C65" s="1627">
        <v>0</v>
      </c>
      <c r="D65" s="1627">
        <v>0</v>
      </c>
      <c r="E65" s="1582"/>
      <c r="F65" s="1582"/>
      <c r="G65" s="1582"/>
      <c r="H65" s="1582"/>
      <c r="I65" s="1582"/>
      <c r="J65" s="1582"/>
      <c r="K65" s="1582"/>
      <c r="L65" s="453"/>
    </row>
    <row r="66" spans="1:12" s="433" customFormat="1" ht="14.25" thickTop="1" thickBot="1" x14ac:dyDescent="0.25">
      <c r="A66" s="1261" t="s">
        <v>742</v>
      </c>
      <c r="B66" s="432">
        <v>8710</v>
      </c>
      <c r="C66" s="1627">
        <v>0</v>
      </c>
      <c r="D66" s="1627">
        <v>0</v>
      </c>
      <c r="E66" s="1582"/>
      <c r="F66" s="1582"/>
      <c r="G66" s="1582"/>
      <c r="H66" s="1582"/>
      <c r="I66" s="1582"/>
      <c r="J66" s="1582"/>
      <c r="K66" s="1582"/>
      <c r="L66" s="453"/>
    </row>
    <row r="67" spans="1:12" s="433" customFormat="1" ht="14.25" thickTop="1" thickBot="1" x14ac:dyDescent="0.25">
      <c r="A67" s="1262" t="s">
        <v>691</v>
      </c>
      <c r="B67" s="432">
        <v>8720</v>
      </c>
      <c r="C67" s="1627">
        <v>0</v>
      </c>
      <c r="D67" s="1627">
        <v>0</v>
      </c>
      <c r="E67" s="1582"/>
      <c r="F67" s="1582"/>
      <c r="G67" s="1582"/>
      <c r="H67" s="1582"/>
      <c r="I67" s="1582"/>
      <c r="J67" s="1582"/>
      <c r="K67" s="1582"/>
      <c r="L67" s="453"/>
    </row>
    <row r="68" spans="1:12" s="433" customFormat="1" ht="14.25" thickTop="1" thickBot="1" x14ac:dyDescent="0.25">
      <c r="A68" s="1263" t="s">
        <v>743</v>
      </c>
      <c r="B68" s="432">
        <v>8730</v>
      </c>
      <c r="C68" s="1627">
        <v>0</v>
      </c>
      <c r="D68" s="1627">
        <v>0</v>
      </c>
      <c r="E68" s="1582"/>
      <c r="F68" s="1582"/>
      <c r="G68" s="1582"/>
      <c r="H68" s="1582"/>
      <c r="I68" s="1582"/>
      <c r="J68" s="1582"/>
      <c r="K68" s="1582"/>
      <c r="L68" s="453"/>
    </row>
    <row r="69" spans="1:12" s="433" customFormat="1" ht="14.25" thickTop="1" thickBot="1" x14ac:dyDescent="0.25">
      <c r="A69" s="1262" t="s">
        <v>744</v>
      </c>
      <c r="B69" s="432">
        <v>8740</v>
      </c>
      <c r="C69" s="1627">
        <v>0</v>
      </c>
      <c r="D69" s="1627">
        <v>0</v>
      </c>
      <c r="E69" s="1582"/>
      <c r="F69" s="1582"/>
      <c r="G69" s="1582"/>
      <c r="H69" s="1582"/>
      <c r="I69" s="1582"/>
      <c r="J69" s="1582"/>
      <c r="K69" s="1582"/>
      <c r="L69" s="453"/>
    </row>
    <row r="70" spans="1:12" s="433" customFormat="1" ht="14.25" thickTop="1" thickBot="1" x14ac:dyDescent="0.25">
      <c r="A70" s="1261" t="s">
        <v>745</v>
      </c>
      <c r="B70" s="432">
        <v>8810</v>
      </c>
      <c r="C70" s="1627">
        <v>0</v>
      </c>
      <c r="D70" s="1627">
        <v>0</v>
      </c>
      <c r="E70" s="1582"/>
      <c r="F70" s="1582"/>
      <c r="G70" s="1582"/>
      <c r="H70" s="1582"/>
      <c r="I70" s="1582"/>
      <c r="J70" s="1582"/>
      <c r="K70" s="1582"/>
      <c r="L70" s="453"/>
    </row>
    <row r="71" spans="1:12" s="433" customFormat="1" ht="14.25" thickTop="1" thickBot="1" x14ac:dyDescent="0.25">
      <c r="A71" s="1261" t="s">
        <v>749</v>
      </c>
      <c r="B71" s="432">
        <v>8820</v>
      </c>
      <c r="C71" s="1627">
        <v>0</v>
      </c>
      <c r="D71" s="1627">
        <v>0</v>
      </c>
      <c r="E71" s="1582"/>
      <c r="F71" s="1582"/>
      <c r="G71" s="1582"/>
      <c r="H71" s="1582"/>
      <c r="I71" s="1582"/>
      <c r="J71" s="1582"/>
      <c r="K71" s="1582"/>
      <c r="L71" s="453"/>
    </row>
    <row r="72" spans="1:12" s="433" customFormat="1" ht="14.25" thickTop="1" thickBot="1" x14ac:dyDescent="0.25">
      <c r="A72" s="1261" t="s">
        <v>746</v>
      </c>
      <c r="B72" s="432">
        <v>8830</v>
      </c>
      <c r="C72" s="1627">
        <v>0</v>
      </c>
      <c r="D72" s="1627">
        <v>0</v>
      </c>
      <c r="E72" s="1582"/>
      <c r="F72" s="1582"/>
      <c r="G72" s="1582"/>
      <c r="H72" s="1582"/>
      <c r="I72" s="1582"/>
      <c r="J72" s="1582"/>
      <c r="K72" s="1582"/>
      <c r="L72" s="453"/>
    </row>
    <row r="73" spans="1:12" s="433" customFormat="1" ht="14.25" thickTop="1" thickBot="1" x14ac:dyDescent="0.25">
      <c r="A73" s="1261" t="s">
        <v>747</v>
      </c>
      <c r="B73" s="432">
        <v>8840</v>
      </c>
      <c r="C73" s="1627">
        <v>0</v>
      </c>
      <c r="D73" s="1627">
        <v>800000</v>
      </c>
      <c r="E73" s="1582"/>
      <c r="F73" s="1582"/>
      <c r="G73" s="1582"/>
      <c r="H73" s="1582"/>
      <c r="I73" s="1582"/>
      <c r="J73" s="1582"/>
      <c r="K73" s="1585"/>
      <c r="L73" s="453"/>
    </row>
    <row r="74" spans="1:12" s="433" customFormat="1" ht="14.25" thickTop="1" thickBot="1" x14ac:dyDescent="0.25">
      <c r="A74" s="1261" t="s">
        <v>372</v>
      </c>
      <c r="B74" s="432">
        <v>8910</v>
      </c>
      <c r="C74" s="1627">
        <v>0</v>
      </c>
      <c r="D74" s="1627">
        <v>0</v>
      </c>
      <c r="E74" s="1585"/>
      <c r="F74" s="1626">
        <v>0</v>
      </c>
      <c r="G74" s="1626">
        <v>0</v>
      </c>
      <c r="H74" s="1626">
        <v>0</v>
      </c>
      <c r="I74" s="1585"/>
      <c r="J74" s="1585"/>
      <c r="K74" s="1626">
        <v>0</v>
      </c>
      <c r="L74" s="453"/>
    </row>
    <row r="75" spans="1:12" s="433" customFormat="1" ht="14.25" thickTop="1" thickBot="1" x14ac:dyDescent="0.25">
      <c r="A75" s="1264" t="s">
        <v>436</v>
      </c>
      <c r="B75" s="432">
        <v>8990</v>
      </c>
      <c r="C75" s="1627">
        <v>0</v>
      </c>
      <c r="D75" s="1627">
        <v>0</v>
      </c>
      <c r="E75" s="1626">
        <v>0</v>
      </c>
      <c r="F75" s="1628">
        <v>0</v>
      </c>
      <c r="G75" s="1628">
        <v>0</v>
      </c>
      <c r="H75" s="1628">
        <v>0</v>
      </c>
      <c r="I75" s="1626">
        <v>0</v>
      </c>
      <c r="J75" s="1626">
        <v>0</v>
      </c>
      <c r="K75" s="1628">
        <v>0</v>
      </c>
      <c r="L75" s="453"/>
    </row>
    <row r="76" spans="1:12" s="433" customFormat="1" ht="14.25" thickTop="1" thickBot="1" x14ac:dyDescent="0.25">
      <c r="A76" s="2306" t="s">
        <v>437</v>
      </c>
      <c r="B76" s="2307"/>
      <c r="C76" s="1624">
        <f t="shared" ref="C76:K76" si="7">SUM(C47:C75)</f>
        <v>146674</v>
      </c>
      <c r="D76" s="1624">
        <f t="shared" si="7"/>
        <v>800000</v>
      </c>
      <c r="E76" s="1624">
        <f t="shared" si="7"/>
        <v>0</v>
      </c>
      <c r="F76" s="1624">
        <f t="shared" si="7"/>
        <v>0</v>
      </c>
      <c r="G76" s="1624">
        <f t="shared" si="7"/>
        <v>0</v>
      </c>
      <c r="H76" s="1624">
        <f t="shared" si="7"/>
        <v>0</v>
      </c>
      <c r="I76" s="1624">
        <f t="shared" si="7"/>
        <v>1900000</v>
      </c>
      <c r="J76" s="1624">
        <f t="shared" si="7"/>
        <v>0</v>
      </c>
      <c r="K76" s="1624">
        <f t="shared" si="7"/>
        <v>0</v>
      </c>
      <c r="L76" s="453"/>
    </row>
    <row r="77" spans="1:12" ht="14.25" thickTop="1" thickBot="1" x14ac:dyDescent="0.25">
      <c r="A77" s="2308" t="s">
        <v>1167</v>
      </c>
      <c r="B77" s="2309"/>
      <c r="C77" s="1624">
        <f t="shared" ref="C77:K77" si="8">C44-C76</f>
        <v>1491269</v>
      </c>
      <c r="D77" s="1624">
        <f t="shared" si="8"/>
        <v>-600000</v>
      </c>
      <c r="E77" s="1624">
        <f t="shared" si="8"/>
        <v>146674</v>
      </c>
      <c r="F77" s="1624">
        <f t="shared" si="8"/>
        <v>0</v>
      </c>
      <c r="G77" s="1624">
        <f t="shared" si="8"/>
        <v>0</v>
      </c>
      <c r="H77" s="1624">
        <f t="shared" si="8"/>
        <v>5001000</v>
      </c>
      <c r="I77" s="1624">
        <f t="shared" si="8"/>
        <v>-1900000</v>
      </c>
      <c r="J77" s="1624">
        <f t="shared" si="8"/>
        <v>0</v>
      </c>
      <c r="K77" s="1624">
        <f t="shared" si="8"/>
        <v>0</v>
      </c>
      <c r="L77" s="325"/>
    </row>
    <row r="78" spans="1:12" ht="21.75" customHeight="1" thickTop="1" thickBot="1" x14ac:dyDescent="0.25">
      <c r="A78" s="2312" t="s">
        <v>593</v>
      </c>
      <c r="B78" s="2313"/>
      <c r="C78" s="1629">
        <f t="shared" ref="C78:K78" si="9">C20+C77</f>
        <v>1584846</v>
      </c>
      <c r="D78" s="1629">
        <f t="shared" si="9"/>
        <v>-271242</v>
      </c>
      <c r="E78" s="1629">
        <f t="shared" si="9"/>
        <v>7539</v>
      </c>
      <c r="F78" s="1629">
        <f t="shared" si="9"/>
        <v>97936</v>
      </c>
      <c r="G78" s="1629">
        <f t="shared" si="9"/>
        <v>101749</v>
      </c>
      <c r="H78" s="1629">
        <f t="shared" si="9"/>
        <v>1449158</v>
      </c>
      <c r="I78" s="1629">
        <f t="shared" si="9"/>
        <v>-1743575</v>
      </c>
      <c r="J78" s="1629">
        <f t="shared" si="9"/>
        <v>163206</v>
      </c>
      <c r="K78" s="1629">
        <f t="shared" si="9"/>
        <v>109959</v>
      </c>
      <c r="L78" s="457"/>
    </row>
    <row r="79" spans="1:12" ht="13.5" thickTop="1" x14ac:dyDescent="0.2">
      <c r="A79" s="1844" t="str">
        <f>"Fund Balances - July 1, "&amp;'AFR20'!E2-1</f>
        <v>Fund Balances - July 1, 2019</v>
      </c>
      <c r="B79" s="458"/>
      <c r="C79" s="1583">
        <v>1915842</v>
      </c>
      <c r="D79" s="1583">
        <v>3227671</v>
      </c>
      <c r="E79" s="1630">
        <v>55752</v>
      </c>
      <c r="F79" s="1630">
        <v>1333401</v>
      </c>
      <c r="G79" s="1630">
        <v>514118</v>
      </c>
      <c r="H79" s="1630">
        <v>311897</v>
      </c>
      <c r="I79" s="1630">
        <v>2871537</v>
      </c>
      <c r="J79" s="1630">
        <v>531672</v>
      </c>
      <c r="K79" s="1630">
        <v>287718</v>
      </c>
      <c r="L79" s="325"/>
    </row>
    <row r="80" spans="1:12" x14ac:dyDescent="0.2">
      <c r="A80" s="2318" t="s">
        <v>1769</v>
      </c>
      <c r="B80" s="2319"/>
      <c r="C80" s="1574">
        <v>0</v>
      </c>
      <c r="D80" s="1574">
        <v>0</v>
      </c>
      <c r="E80" s="1574">
        <v>0</v>
      </c>
      <c r="F80" s="1574">
        <v>0</v>
      </c>
      <c r="G80" s="1574">
        <v>0</v>
      </c>
      <c r="H80" s="1574">
        <v>0</v>
      </c>
      <c r="I80" s="1574">
        <v>0</v>
      </c>
      <c r="J80" s="1574">
        <v>0</v>
      </c>
      <c r="K80" s="1574">
        <v>0</v>
      </c>
      <c r="L80" s="325"/>
    </row>
    <row r="81" spans="1:12" ht="13.5" thickBot="1" x14ac:dyDescent="0.25">
      <c r="A81" s="2310" t="str">
        <f>"Fund Balances - June 30, "&amp;'AFR20'!E2</f>
        <v>Fund Balances - June 30, 2020</v>
      </c>
      <c r="B81" s="2311"/>
      <c r="C81" s="1594">
        <f>(SUM(C78:C80))</f>
        <v>3500688</v>
      </c>
      <c r="D81" s="1594">
        <f>SUM(D78:D80)</f>
        <v>2956429</v>
      </c>
      <c r="E81" s="1594">
        <f t="shared" ref="E81:K81" si="10">SUM(E78:E80)</f>
        <v>63291</v>
      </c>
      <c r="F81" s="1594">
        <f t="shared" si="10"/>
        <v>1431337</v>
      </c>
      <c r="G81" s="1594">
        <f t="shared" si="10"/>
        <v>615867</v>
      </c>
      <c r="H81" s="1594">
        <f t="shared" si="10"/>
        <v>1761055</v>
      </c>
      <c r="I81" s="1594">
        <f t="shared" si="10"/>
        <v>1127962</v>
      </c>
      <c r="J81" s="1594">
        <f t="shared" si="10"/>
        <v>694878</v>
      </c>
      <c r="K81" s="1594">
        <f t="shared" si="10"/>
        <v>397677</v>
      </c>
      <c r="L81" s="325"/>
    </row>
    <row r="82" spans="1:12" ht="0.75" customHeight="1" thickTop="1" thickBot="1" x14ac:dyDescent="0.25">
      <c r="A82" s="459" t="s">
        <v>340</v>
      </c>
      <c r="B82" s="460"/>
      <c r="C82" s="461">
        <f>(C81-C79)</f>
        <v>1584846</v>
      </c>
      <c r="D82" s="461">
        <f t="shared" ref="D82:K82" si="11">(D81-D79)</f>
        <v>-271242</v>
      </c>
      <c r="E82" s="461">
        <f t="shared" si="11"/>
        <v>7539</v>
      </c>
      <c r="F82" s="461">
        <f t="shared" si="11"/>
        <v>97936</v>
      </c>
      <c r="G82" s="461">
        <f t="shared" si="11"/>
        <v>101749</v>
      </c>
      <c r="H82" s="461">
        <f t="shared" si="11"/>
        <v>1449158</v>
      </c>
      <c r="I82" s="461">
        <f t="shared" si="11"/>
        <v>-1743575</v>
      </c>
      <c r="J82" s="461">
        <f t="shared" si="11"/>
        <v>163206</v>
      </c>
      <c r="K82" s="461">
        <f t="shared" si="11"/>
        <v>109959</v>
      </c>
    </row>
    <row r="83" spans="1:12" ht="14.25" hidden="1" thickTop="1" thickBot="1" x14ac:dyDescent="0.25">
      <c r="A83" s="462" t="s">
        <v>341</v>
      </c>
      <c r="B83" s="428"/>
      <c r="C83" s="463">
        <f>C82/C81</f>
        <v>0.4527241502241845</v>
      </c>
      <c r="D83" s="463">
        <f t="shared" ref="D83:K83" si="12">D82/D81</f>
        <v>-9.1746495518749138E-2</v>
      </c>
      <c r="E83" s="463">
        <f t="shared" si="12"/>
        <v>0.11911646205621652</v>
      </c>
      <c r="F83" s="463">
        <f t="shared" si="12"/>
        <v>6.8422740416827069E-2</v>
      </c>
      <c r="G83" s="463">
        <f t="shared" si="12"/>
        <v>0.16521261895831404</v>
      </c>
      <c r="H83" s="463">
        <f t="shared" si="12"/>
        <v>0.8228919596491876</v>
      </c>
      <c r="I83" s="463">
        <f t="shared" si="12"/>
        <v>-1.5457745916972381</v>
      </c>
      <c r="J83" s="463">
        <f t="shared" si="12"/>
        <v>0.23487000595788038</v>
      </c>
      <c r="K83" s="463">
        <f t="shared" si="12"/>
        <v>0.27650329287336206</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G30" sqref="G30"/>
      <selection pane="bottomLeft" activeCell="C16" sqref="C1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314" t="s">
        <v>1776</v>
      </c>
      <c r="B1" s="416"/>
      <c r="C1" s="417" t="s">
        <v>422</v>
      </c>
      <c r="D1" s="417" t="s">
        <v>423</v>
      </c>
      <c r="E1" s="417" t="s">
        <v>424</v>
      </c>
      <c r="F1" s="417" t="s">
        <v>425</v>
      </c>
      <c r="G1" s="417" t="s">
        <v>426</v>
      </c>
      <c r="H1" s="417" t="s">
        <v>427</v>
      </c>
      <c r="I1" s="417" t="s">
        <v>428</v>
      </c>
      <c r="J1" s="417" t="s">
        <v>429</v>
      </c>
      <c r="K1" s="417" t="s">
        <v>751</v>
      </c>
    </row>
    <row r="2" spans="1:12" ht="36" x14ac:dyDescent="0.2">
      <c r="A2" s="2315"/>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586">
        <v>6910482</v>
      </c>
      <c r="D5" s="1586">
        <v>1170323</v>
      </c>
      <c r="E5" s="1573">
        <v>891237</v>
      </c>
      <c r="F5" s="1631">
        <v>445838</v>
      </c>
      <c r="G5" s="1573">
        <v>234735</v>
      </c>
      <c r="H5" s="1573">
        <v>0</v>
      </c>
      <c r="I5" s="1573">
        <v>111459</v>
      </c>
      <c r="J5" s="1574">
        <v>588955</v>
      </c>
      <c r="K5" s="1573">
        <v>111459</v>
      </c>
    </row>
    <row r="6" spans="1:12" ht="15" x14ac:dyDescent="0.2">
      <c r="A6" s="427" t="s">
        <v>1643</v>
      </c>
      <c r="B6" s="429">
        <v>1130</v>
      </c>
      <c r="C6" s="1573">
        <v>111459</v>
      </c>
      <c r="D6" s="1573">
        <v>0</v>
      </c>
      <c r="E6" s="1580"/>
      <c r="F6" s="1580"/>
      <c r="G6" s="1575"/>
      <c r="H6" s="1575"/>
      <c r="I6" s="1575"/>
      <c r="J6" s="1575"/>
      <c r="K6" s="1575"/>
    </row>
    <row r="7" spans="1:12" x14ac:dyDescent="0.2">
      <c r="A7" s="427" t="s">
        <v>110</v>
      </c>
      <c r="B7" s="471">
        <v>1140</v>
      </c>
      <c r="C7" s="1573">
        <v>89168</v>
      </c>
      <c r="D7" s="1573">
        <v>0</v>
      </c>
      <c r="E7" s="1575"/>
      <c r="F7" s="1574">
        <v>0</v>
      </c>
      <c r="G7" s="1574">
        <v>0</v>
      </c>
      <c r="H7" s="1574">
        <v>0</v>
      </c>
      <c r="I7" s="1575"/>
      <c r="J7" s="1575"/>
      <c r="K7" s="1575"/>
    </row>
    <row r="8" spans="1:12" x14ac:dyDescent="0.2">
      <c r="A8" s="427" t="s">
        <v>410</v>
      </c>
      <c r="B8" s="429">
        <v>1150</v>
      </c>
      <c r="C8" s="1580"/>
      <c r="D8" s="1580"/>
      <c r="E8" s="1582"/>
      <c r="F8" s="1582"/>
      <c r="G8" s="1586">
        <v>279542</v>
      </c>
      <c r="H8" s="1575"/>
      <c r="I8" s="1575"/>
      <c r="J8" s="1575"/>
      <c r="K8" s="1575"/>
    </row>
    <row r="9" spans="1:12" x14ac:dyDescent="0.2">
      <c r="A9" s="430" t="s">
        <v>111</v>
      </c>
      <c r="B9" s="429">
        <v>1160</v>
      </c>
      <c r="C9" s="1575"/>
      <c r="D9" s="1574">
        <v>0</v>
      </c>
      <c r="E9" s="1574">
        <v>0</v>
      </c>
      <c r="F9" s="1576"/>
      <c r="G9" s="1580"/>
      <c r="H9" s="1574">
        <v>0</v>
      </c>
      <c r="I9" s="1575"/>
      <c r="J9" s="1575"/>
      <c r="K9" s="1575"/>
    </row>
    <row r="10" spans="1:12" x14ac:dyDescent="0.2">
      <c r="A10" s="430" t="s">
        <v>112</v>
      </c>
      <c r="B10" s="429">
        <v>1170</v>
      </c>
      <c r="C10" s="1574">
        <v>0</v>
      </c>
      <c r="D10" s="1623"/>
      <c r="E10" s="1623"/>
      <c r="F10" s="1576"/>
      <c r="G10" s="1575"/>
      <c r="H10" s="1575"/>
      <c r="I10" s="1575"/>
      <c r="J10" s="1575"/>
      <c r="K10" s="1575"/>
    </row>
    <row r="11" spans="1:12" x14ac:dyDescent="0.2">
      <c r="A11" s="430" t="s">
        <v>411</v>
      </c>
      <c r="B11" s="472">
        <v>1190</v>
      </c>
      <c r="C11" s="1632">
        <v>0</v>
      </c>
      <c r="D11" s="1573">
        <v>0</v>
      </c>
      <c r="E11" s="1573">
        <v>0</v>
      </c>
      <c r="F11" s="1573">
        <v>0</v>
      </c>
      <c r="G11" s="1573">
        <v>0</v>
      </c>
      <c r="H11" s="1573">
        <v>0</v>
      </c>
      <c r="I11" s="1573">
        <v>0</v>
      </c>
      <c r="J11" s="1574">
        <v>0</v>
      </c>
      <c r="K11" s="1573">
        <v>0</v>
      </c>
      <c r="L11" s="473"/>
    </row>
    <row r="12" spans="1:12" ht="12.75" customHeight="1" thickBot="1" x14ac:dyDescent="0.25">
      <c r="A12" s="1404" t="s">
        <v>29</v>
      </c>
      <c r="B12" s="1405"/>
      <c r="C12" s="1633">
        <f t="shared" ref="C12:K12" si="0">SUM(C5:C11)</f>
        <v>7111109</v>
      </c>
      <c r="D12" s="1633">
        <f t="shared" si="0"/>
        <v>1170323</v>
      </c>
      <c r="E12" s="1633">
        <f t="shared" si="0"/>
        <v>891237</v>
      </c>
      <c r="F12" s="1633">
        <f t="shared" si="0"/>
        <v>445838</v>
      </c>
      <c r="G12" s="1633">
        <f t="shared" si="0"/>
        <v>514277</v>
      </c>
      <c r="H12" s="1633">
        <f t="shared" si="0"/>
        <v>0</v>
      </c>
      <c r="I12" s="1633">
        <f t="shared" si="0"/>
        <v>111459</v>
      </c>
      <c r="J12" s="1633">
        <f t="shared" si="0"/>
        <v>588955</v>
      </c>
      <c r="K12" s="1594">
        <f t="shared" si="0"/>
        <v>111459</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v>2224</v>
      </c>
      <c r="D14" s="1573">
        <v>811</v>
      </c>
      <c r="E14" s="1573">
        <v>2207</v>
      </c>
      <c r="F14" s="1573">
        <v>311</v>
      </c>
      <c r="G14" s="1573">
        <v>1003</v>
      </c>
      <c r="H14" s="1573">
        <v>0</v>
      </c>
      <c r="I14" s="1573">
        <v>77</v>
      </c>
      <c r="J14" s="1574">
        <v>810</v>
      </c>
      <c r="K14" s="1573">
        <v>77</v>
      </c>
    </row>
    <row r="15" spans="1:12" ht="12.75" customHeight="1" x14ac:dyDescent="0.2">
      <c r="A15" s="427" t="s">
        <v>95</v>
      </c>
      <c r="B15" s="429">
        <v>1220</v>
      </c>
      <c r="C15" s="1632">
        <v>948</v>
      </c>
      <c r="D15" s="1573">
        <v>170</v>
      </c>
      <c r="E15" s="1573">
        <v>130</v>
      </c>
      <c r="F15" s="1573">
        <v>65</v>
      </c>
      <c r="G15" s="1573">
        <v>75</v>
      </c>
      <c r="H15" s="1573">
        <v>0</v>
      </c>
      <c r="I15" s="1573">
        <v>16</v>
      </c>
      <c r="J15" s="1574">
        <v>172</v>
      </c>
      <c r="K15" s="1573">
        <v>16</v>
      </c>
    </row>
    <row r="16" spans="1:12" ht="15" customHeight="1" x14ac:dyDescent="0.2">
      <c r="A16" s="427" t="s">
        <v>1644</v>
      </c>
      <c r="B16" s="471">
        <v>1230</v>
      </c>
      <c r="C16" s="1632">
        <v>535286</v>
      </c>
      <c r="D16" s="1573">
        <v>0</v>
      </c>
      <c r="E16" s="1573">
        <v>0</v>
      </c>
      <c r="F16" s="1573">
        <v>0</v>
      </c>
      <c r="G16" s="1573">
        <v>30000</v>
      </c>
      <c r="H16" s="1573">
        <v>0</v>
      </c>
      <c r="I16" s="1573">
        <v>0</v>
      </c>
      <c r="J16" s="1574">
        <v>0</v>
      </c>
      <c r="K16" s="1573">
        <v>0</v>
      </c>
    </row>
    <row r="17" spans="1:11" ht="12.75" customHeight="1" x14ac:dyDescent="0.2">
      <c r="A17" s="427" t="s">
        <v>802</v>
      </c>
      <c r="B17" s="429">
        <v>1290</v>
      </c>
      <c r="C17" s="1632">
        <v>0</v>
      </c>
      <c r="D17" s="1573">
        <v>0</v>
      </c>
      <c r="E17" s="1573">
        <v>0</v>
      </c>
      <c r="F17" s="1573">
        <v>0</v>
      </c>
      <c r="G17" s="1573">
        <v>0</v>
      </c>
      <c r="H17" s="1573">
        <v>0</v>
      </c>
      <c r="I17" s="1573">
        <v>0</v>
      </c>
      <c r="J17" s="1574">
        <v>0</v>
      </c>
      <c r="K17" s="1573">
        <v>0</v>
      </c>
    </row>
    <row r="18" spans="1:11" ht="12.75" customHeight="1" thickBot="1" x14ac:dyDescent="0.25">
      <c r="A18" s="1406" t="s">
        <v>534</v>
      </c>
      <c r="B18" s="1407"/>
      <c r="C18" s="1635">
        <f>SUM(C14:C17)</f>
        <v>538458</v>
      </c>
      <c r="D18" s="1635">
        <f t="shared" ref="D18:K18" si="1">SUM(D14:D17)</f>
        <v>981</v>
      </c>
      <c r="E18" s="1635">
        <f t="shared" si="1"/>
        <v>2337</v>
      </c>
      <c r="F18" s="1635">
        <f t="shared" si="1"/>
        <v>376</v>
      </c>
      <c r="G18" s="1635">
        <f t="shared" si="1"/>
        <v>31078</v>
      </c>
      <c r="H18" s="1635">
        <f t="shared" si="1"/>
        <v>0</v>
      </c>
      <c r="I18" s="1635">
        <f t="shared" si="1"/>
        <v>93</v>
      </c>
      <c r="J18" s="1635">
        <f t="shared" si="1"/>
        <v>982</v>
      </c>
      <c r="K18" s="1636">
        <f t="shared" si="1"/>
        <v>93</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v>4098</v>
      </c>
      <c r="D20" s="1575"/>
      <c r="E20" s="1575"/>
      <c r="F20" s="1575"/>
      <c r="G20" s="1575"/>
      <c r="H20" s="1575"/>
      <c r="I20" s="1575"/>
      <c r="J20" s="1575"/>
      <c r="K20" s="1575"/>
    </row>
    <row r="21" spans="1:11" ht="12.75" customHeight="1" x14ac:dyDescent="0.2">
      <c r="A21" s="427" t="s">
        <v>827</v>
      </c>
      <c r="B21" s="429">
        <v>1312</v>
      </c>
      <c r="C21" s="1632">
        <v>0</v>
      </c>
      <c r="D21" s="1575"/>
      <c r="E21" s="1575"/>
      <c r="F21" s="1575"/>
      <c r="G21" s="1575"/>
      <c r="H21" s="1575"/>
      <c r="I21" s="1575"/>
      <c r="J21" s="1575"/>
      <c r="K21" s="1575"/>
    </row>
    <row r="22" spans="1:11" ht="12.75" customHeight="1" x14ac:dyDescent="0.2">
      <c r="A22" s="427" t="s">
        <v>1065</v>
      </c>
      <c r="B22" s="429">
        <v>1313</v>
      </c>
      <c r="C22" s="1632">
        <v>0</v>
      </c>
      <c r="D22" s="1575"/>
      <c r="E22" s="1575"/>
      <c r="F22" s="1575"/>
      <c r="G22" s="1575"/>
      <c r="H22" s="1575"/>
      <c r="I22" s="1575"/>
      <c r="J22" s="1575"/>
      <c r="K22" s="1575"/>
    </row>
    <row r="23" spans="1:11" ht="12.75" customHeight="1" x14ac:dyDescent="0.2">
      <c r="A23" s="427" t="s">
        <v>1066</v>
      </c>
      <c r="B23" s="429">
        <v>1314</v>
      </c>
      <c r="C23" s="1598">
        <v>0</v>
      </c>
      <c r="D23" s="1575"/>
      <c r="E23" s="1575"/>
      <c r="F23" s="1575"/>
      <c r="G23" s="1575"/>
      <c r="H23" s="1575"/>
      <c r="I23" s="1575"/>
      <c r="J23" s="1575"/>
      <c r="K23" s="1575"/>
    </row>
    <row r="24" spans="1:11" ht="12.75" customHeight="1" x14ac:dyDescent="0.2">
      <c r="A24" s="427" t="s">
        <v>1020</v>
      </c>
      <c r="B24" s="429">
        <v>1321</v>
      </c>
      <c r="C24" s="1632">
        <v>0</v>
      </c>
      <c r="D24" s="1575"/>
      <c r="E24" s="1575"/>
      <c r="F24" s="1575"/>
      <c r="G24" s="1575"/>
      <c r="H24" s="1575"/>
      <c r="I24" s="1575"/>
      <c r="J24" s="1575"/>
      <c r="K24" s="1575"/>
    </row>
    <row r="25" spans="1:11" ht="12.75" customHeight="1" x14ac:dyDescent="0.2">
      <c r="A25" s="427" t="s">
        <v>828</v>
      </c>
      <c r="B25" s="429">
        <v>1322</v>
      </c>
      <c r="C25" s="1632">
        <v>0</v>
      </c>
      <c r="D25" s="1575"/>
      <c r="E25" s="1575"/>
      <c r="F25" s="1575"/>
      <c r="G25" s="1575"/>
      <c r="H25" s="1575"/>
      <c r="I25" s="1575"/>
      <c r="J25" s="1575"/>
      <c r="K25" s="1575"/>
    </row>
    <row r="26" spans="1:11" ht="12.75" customHeight="1" x14ac:dyDescent="0.2">
      <c r="A26" s="427" t="s">
        <v>1092</v>
      </c>
      <c r="B26" s="429">
        <v>1323</v>
      </c>
      <c r="C26" s="1632">
        <v>0</v>
      </c>
      <c r="D26" s="1575"/>
      <c r="E26" s="1575"/>
      <c r="F26" s="1575"/>
      <c r="G26" s="1575"/>
      <c r="H26" s="1575"/>
      <c r="I26" s="1575"/>
      <c r="J26" s="1575"/>
      <c r="K26" s="1575"/>
    </row>
    <row r="27" spans="1:11" ht="12.75" customHeight="1" x14ac:dyDescent="0.2">
      <c r="A27" s="427" t="s">
        <v>1016</v>
      </c>
      <c r="B27" s="429">
        <v>1324</v>
      </c>
      <c r="C27" s="1598">
        <v>0</v>
      </c>
      <c r="D27" s="1575"/>
      <c r="E27" s="1575"/>
      <c r="F27" s="1575"/>
      <c r="G27" s="1575"/>
      <c r="H27" s="1575"/>
      <c r="I27" s="1575"/>
      <c r="J27" s="1575"/>
      <c r="K27" s="1575"/>
    </row>
    <row r="28" spans="1:11" ht="12.75" customHeight="1" x14ac:dyDescent="0.2">
      <c r="A28" s="427" t="s">
        <v>1017</v>
      </c>
      <c r="B28" s="429">
        <v>1331</v>
      </c>
      <c r="C28" s="1632">
        <v>0</v>
      </c>
      <c r="D28" s="1575"/>
      <c r="E28" s="1575"/>
      <c r="F28" s="1575"/>
      <c r="G28" s="1575"/>
      <c r="H28" s="1575"/>
      <c r="I28" s="1575"/>
      <c r="J28" s="1575"/>
      <c r="K28" s="1575"/>
    </row>
    <row r="29" spans="1:11" ht="12.75" customHeight="1" x14ac:dyDescent="0.2">
      <c r="A29" s="427" t="s">
        <v>829</v>
      </c>
      <c r="B29" s="429">
        <v>1332</v>
      </c>
      <c r="C29" s="1632">
        <v>0</v>
      </c>
      <c r="D29" s="1575"/>
      <c r="E29" s="1575"/>
      <c r="F29" s="1575"/>
      <c r="G29" s="1575"/>
      <c r="H29" s="1575"/>
      <c r="I29" s="1575"/>
      <c r="J29" s="1575"/>
      <c r="K29" s="1575"/>
    </row>
    <row r="30" spans="1:11" ht="12.75" customHeight="1" x14ac:dyDescent="0.2">
      <c r="A30" s="427" t="s">
        <v>1019</v>
      </c>
      <c r="B30" s="429">
        <v>1333</v>
      </c>
      <c r="C30" s="1632">
        <v>0</v>
      </c>
      <c r="D30" s="1575"/>
      <c r="E30" s="1575"/>
      <c r="F30" s="1575"/>
      <c r="G30" s="1575"/>
      <c r="H30" s="1575"/>
      <c r="I30" s="1575"/>
      <c r="J30" s="1575"/>
      <c r="K30" s="1575"/>
    </row>
    <row r="31" spans="1:11" ht="12.75" customHeight="1" x14ac:dyDescent="0.2">
      <c r="A31" s="427" t="s">
        <v>1018</v>
      </c>
      <c r="B31" s="429">
        <v>1334</v>
      </c>
      <c r="C31" s="1598">
        <v>0</v>
      </c>
      <c r="D31" s="1575"/>
      <c r="E31" s="1575"/>
      <c r="F31" s="1575"/>
      <c r="G31" s="1575"/>
      <c r="H31" s="1575"/>
      <c r="I31" s="1575"/>
      <c r="J31" s="1575"/>
      <c r="K31" s="1575"/>
    </row>
    <row r="32" spans="1:11" ht="12.75" customHeight="1" x14ac:dyDescent="0.2">
      <c r="A32" s="427" t="s">
        <v>491</v>
      </c>
      <c r="B32" s="429">
        <v>1341</v>
      </c>
      <c r="C32" s="1632">
        <v>0</v>
      </c>
      <c r="D32" s="1575"/>
      <c r="E32" s="1575"/>
      <c r="F32" s="1575"/>
      <c r="G32" s="1575"/>
      <c r="H32" s="1575"/>
      <c r="I32" s="1575"/>
      <c r="J32" s="1575"/>
      <c r="K32" s="1575"/>
    </row>
    <row r="33" spans="1:11" ht="12.75" customHeight="1" x14ac:dyDescent="0.2">
      <c r="A33" s="427" t="s">
        <v>830</v>
      </c>
      <c r="B33" s="429">
        <v>1342</v>
      </c>
      <c r="C33" s="1632">
        <v>0</v>
      </c>
      <c r="D33" s="1575"/>
      <c r="E33" s="1575"/>
      <c r="F33" s="1575"/>
      <c r="G33" s="1575"/>
      <c r="H33" s="1575"/>
      <c r="I33" s="1575"/>
      <c r="J33" s="1575"/>
      <c r="K33" s="1575"/>
    </row>
    <row r="34" spans="1:11" ht="12.75" customHeight="1" x14ac:dyDescent="0.2">
      <c r="A34" s="427" t="s">
        <v>492</v>
      </c>
      <c r="B34" s="429">
        <v>1343</v>
      </c>
      <c r="C34" s="1632">
        <v>0</v>
      </c>
      <c r="D34" s="1575"/>
      <c r="E34" s="1575"/>
      <c r="F34" s="1575"/>
      <c r="G34" s="1575"/>
      <c r="H34" s="1575"/>
      <c r="I34" s="1575"/>
      <c r="J34" s="1575"/>
      <c r="K34" s="1575"/>
    </row>
    <row r="35" spans="1:11" ht="12.75" customHeight="1" x14ac:dyDescent="0.2">
      <c r="A35" s="427" t="s">
        <v>490</v>
      </c>
      <c r="B35" s="429">
        <v>1344</v>
      </c>
      <c r="C35" s="1598">
        <v>0</v>
      </c>
      <c r="D35" s="1575"/>
      <c r="E35" s="1575"/>
      <c r="F35" s="1575"/>
      <c r="G35" s="1575"/>
      <c r="H35" s="1575"/>
      <c r="I35" s="1575"/>
      <c r="J35" s="1575"/>
      <c r="K35" s="1575"/>
    </row>
    <row r="36" spans="1:11" ht="12.75" customHeight="1" x14ac:dyDescent="0.2">
      <c r="A36" s="427" t="s">
        <v>826</v>
      </c>
      <c r="B36" s="429">
        <v>1351</v>
      </c>
      <c r="C36" s="1632">
        <v>0</v>
      </c>
      <c r="D36" s="1575"/>
      <c r="E36" s="1575"/>
      <c r="F36" s="1575"/>
      <c r="G36" s="1575"/>
      <c r="H36" s="1575"/>
      <c r="I36" s="1575"/>
      <c r="J36" s="1575"/>
      <c r="K36" s="1575"/>
    </row>
    <row r="37" spans="1:11" ht="12.75" customHeight="1" x14ac:dyDescent="0.2">
      <c r="A37" s="427" t="s">
        <v>831</v>
      </c>
      <c r="B37" s="429">
        <v>1352</v>
      </c>
      <c r="C37" s="1632">
        <v>0</v>
      </c>
      <c r="D37" s="1575"/>
      <c r="E37" s="1575"/>
      <c r="F37" s="1575"/>
      <c r="G37" s="1575"/>
      <c r="H37" s="1575"/>
      <c r="I37" s="1575"/>
      <c r="J37" s="1575"/>
      <c r="K37" s="1575"/>
    </row>
    <row r="38" spans="1:11" ht="12.75" customHeight="1" x14ac:dyDescent="0.2">
      <c r="A38" s="427" t="s">
        <v>589</v>
      </c>
      <c r="B38" s="429">
        <v>1353</v>
      </c>
      <c r="C38" s="1632">
        <v>0</v>
      </c>
      <c r="D38" s="1575"/>
      <c r="E38" s="1575"/>
      <c r="F38" s="1575"/>
      <c r="G38" s="1575"/>
      <c r="H38" s="1575"/>
      <c r="I38" s="1575"/>
      <c r="J38" s="1575"/>
      <c r="K38" s="1575"/>
    </row>
    <row r="39" spans="1:11" ht="12.75" customHeight="1" x14ac:dyDescent="0.2">
      <c r="A39" s="1265" t="s">
        <v>590</v>
      </c>
      <c r="B39" s="474">
        <v>1354</v>
      </c>
      <c r="C39" s="1598">
        <v>0</v>
      </c>
      <c r="D39" s="1575"/>
      <c r="E39" s="1575"/>
      <c r="F39" s="1575"/>
      <c r="G39" s="1575"/>
      <c r="H39" s="1575"/>
      <c r="I39" s="1575"/>
      <c r="J39" s="1575"/>
      <c r="K39" s="1575"/>
    </row>
    <row r="40" spans="1:11" ht="12.75" customHeight="1" thickBot="1" x14ac:dyDescent="0.25">
      <c r="A40" s="1406" t="s">
        <v>535</v>
      </c>
      <c r="B40" s="1407"/>
      <c r="C40" s="1594">
        <f>SUM(C20:C39)</f>
        <v>4098</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v>0</v>
      </c>
      <c r="G42" s="1575"/>
      <c r="H42" s="1575"/>
      <c r="I42" s="1575"/>
      <c r="J42" s="1575"/>
      <c r="K42" s="1575"/>
    </row>
    <row r="43" spans="1:11" ht="12.75" customHeight="1" x14ac:dyDescent="0.2">
      <c r="A43" s="427" t="s">
        <v>832</v>
      </c>
      <c r="B43" s="429">
        <v>1412</v>
      </c>
      <c r="C43" s="1575"/>
      <c r="D43" s="1575"/>
      <c r="E43" s="1575"/>
      <c r="F43" s="1573">
        <v>0</v>
      </c>
      <c r="G43" s="1575"/>
      <c r="H43" s="1575"/>
      <c r="I43" s="1575"/>
      <c r="J43" s="1575"/>
      <c r="K43" s="1575"/>
    </row>
    <row r="44" spans="1:11" ht="12.75" customHeight="1" x14ac:dyDescent="0.2">
      <c r="A44" s="427" t="s">
        <v>381</v>
      </c>
      <c r="B44" s="429">
        <v>1413</v>
      </c>
      <c r="C44" s="1575"/>
      <c r="D44" s="1575"/>
      <c r="E44" s="1575"/>
      <c r="F44" s="1573">
        <v>0</v>
      </c>
      <c r="G44" s="1575"/>
      <c r="H44" s="1575"/>
      <c r="I44" s="1575"/>
      <c r="J44" s="1575"/>
      <c r="K44" s="1575"/>
    </row>
    <row r="45" spans="1:11" ht="12.75" customHeight="1" x14ac:dyDescent="0.2">
      <c r="A45" s="427" t="s">
        <v>238</v>
      </c>
      <c r="B45" s="429">
        <v>1415</v>
      </c>
      <c r="C45" s="1575"/>
      <c r="D45" s="1575"/>
      <c r="E45" s="1575"/>
      <c r="F45" s="1573">
        <v>60</v>
      </c>
      <c r="G45" s="1575"/>
      <c r="H45" s="1575"/>
      <c r="I45" s="1575"/>
      <c r="J45" s="1575"/>
      <c r="K45" s="1575"/>
    </row>
    <row r="46" spans="1:11" ht="12.75" customHeight="1" x14ac:dyDescent="0.2">
      <c r="A46" s="427" t="s">
        <v>1164</v>
      </c>
      <c r="B46" s="429">
        <v>1416</v>
      </c>
      <c r="C46" s="1575"/>
      <c r="D46" s="1575"/>
      <c r="E46" s="1575"/>
      <c r="F46" s="1574">
        <v>0</v>
      </c>
      <c r="G46" s="1575"/>
      <c r="H46" s="1575"/>
      <c r="I46" s="1575"/>
      <c r="J46" s="1575"/>
      <c r="K46" s="1575"/>
    </row>
    <row r="47" spans="1:11" ht="12.75" customHeight="1" x14ac:dyDescent="0.2">
      <c r="A47" s="427" t="s">
        <v>57</v>
      </c>
      <c r="B47" s="429">
        <v>1421</v>
      </c>
      <c r="C47" s="1575"/>
      <c r="D47" s="1575"/>
      <c r="E47" s="1575"/>
      <c r="F47" s="1573">
        <v>0</v>
      </c>
      <c r="G47" s="1575"/>
      <c r="H47" s="1575"/>
      <c r="I47" s="1575"/>
      <c r="J47" s="1575"/>
      <c r="K47" s="1575"/>
    </row>
    <row r="48" spans="1:11" ht="12.75" customHeight="1" x14ac:dyDescent="0.2">
      <c r="A48" s="427" t="s">
        <v>833</v>
      </c>
      <c r="B48" s="429">
        <v>1422</v>
      </c>
      <c r="C48" s="1575"/>
      <c r="D48" s="1575"/>
      <c r="E48" s="1575"/>
      <c r="F48" s="1573">
        <v>0</v>
      </c>
      <c r="G48" s="1575"/>
      <c r="H48" s="1575"/>
      <c r="I48" s="1575"/>
      <c r="J48" s="1575"/>
      <c r="K48" s="1575"/>
    </row>
    <row r="49" spans="1:11" ht="12.75" customHeight="1" x14ac:dyDescent="0.2">
      <c r="A49" s="427" t="s">
        <v>58</v>
      </c>
      <c r="B49" s="429">
        <v>1423</v>
      </c>
      <c r="C49" s="1575"/>
      <c r="D49" s="1575"/>
      <c r="E49" s="1575"/>
      <c r="F49" s="1573">
        <v>0</v>
      </c>
      <c r="G49" s="1575"/>
      <c r="H49" s="1575"/>
      <c r="I49" s="1575"/>
      <c r="J49" s="1575"/>
      <c r="K49" s="1575"/>
    </row>
    <row r="50" spans="1:11" ht="12.75" customHeight="1" x14ac:dyDescent="0.2">
      <c r="A50" s="427" t="s">
        <v>59</v>
      </c>
      <c r="B50" s="429">
        <v>1424</v>
      </c>
      <c r="C50" s="1575"/>
      <c r="D50" s="1575"/>
      <c r="E50" s="1575"/>
      <c r="F50" s="1574">
        <v>0</v>
      </c>
      <c r="G50" s="1575"/>
      <c r="H50" s="1575"/>
      <c r="I50" s="1575"/>
      <c r="J50" s="1575"/>
      <c r="K50" s="1575"/>
    </row>
    <row r="51" spans="1:11" ht="12.75" customHeight="1" x14ac:dyDescent="0.2">
      <c r="A51" s="1266" t="s">
        <v>60</v>
      </c>
      <c r="B51" s="475">
        <v>1431</v>
      </c>
      <c r="C51" s="1575"/>
      <c r="D51" s="1575"/>
      <c r="E51" s="1575"/>
      <c r="F51" s="1573">
        <v>0</v>
      </c>
      <c r="G51" s="1575"/>
      <c r="H51" s="1575"/>
      <c r="I51" s="1575"/>
      <c r="J51" s="1575"/>
      <c r="K51" s="1575"/>
    </row>
    <row r="52" spans="1:11" ht="12.75" customHeight="1" x14ac:dyDescent="0.2">
      <c r="A52" s="1266" t="s">
        <v>1097</v>
      </c>
      <c r="B52" s="475">
        <v>1432</v>
      </c>
      <c r="C52" s="1575"/>
      <c r="D52" s="1575"/>
      <c r="E52" s="1575"/>
      <c r="F52" s="1573">
        <v>0</v>
      </c>
      <c r="G52" s="1575"/>
      <c r="H52" s="1575"/>
      <c r="I52" s="1575"/>
      <c r="J52" s="1575"/>
      <c r="K52" s="1575"/>
    </row>
    <row r="53" spans="1:11" ht="12.75" customHeight="1" x14ac:dyDescent="0.2">
      <c r="A53" s="1266" t="s">
        <v>61</v>
      </c>
      <c r="B53" s="475">
        <v>1433</v>
      </c>
      <c r="C53" s="1575"/>
      <c r="D53" s="1575"/>
      <c r="E53" s="1575"/>
      <c r="F53" s="1573">
        <v>0</v>
      </c>
      <c r="G53" s="1575"/>
      <c r="H53" s="1575"/>
      <c r="I53" s="1575"/>
      <c r="J53" s="1575"/>
      <c r="K53" s="1575"/>
    </row>
    <row r="54" spans="1:11" ht="12.75" customHeight="1" x14ac:dyDescent="0.2">
      <c r="A54" s="1266" t="s">
        <v>62</v>
      </c>
      <c r="B54" s="475">
        <v>1434</v>
      </c>
      <c r="C54" s="1575"/>
      <c r="D54" s="1575"/>
      <c r="E54" s="1575"/>
      <c r="F54" s="1574">
        <v>0</v>
      </c>
      <c r="G54" s="1575"/>
      <c r="H54" s="1575"/>
      <c r="I54" s="1575"/>
      <c r="J54" s="1575"/>
      <c r="K54" s="1575"/>
    </row>
    <row r="55" spans="1:11" ht="12.75" customHeight="1" x14ac:dyDescent="0.2">
      <c r="A55" s="1266" t="s">
        <v>63</v>
      </c>
      <c r="B55" s="475">
        <v>1441</v>
      </c>
      <c r="C55" s="1575"/>
      <c r="D55" s="1575"/>
      <c r="E55" s="1575"/>
      <c r="F55" s="1573">
        <v>0</v>
      </c>
      <c r="G55" s="1575"/>
      <c r="H55" s="1575"/>
      <c r="I55" s="1575"/>
      <c r="J55" s="1575"/>
      <c r="K55" s="1575"/>
    </row>
    <row r="56" spans="1:11" ht="12.75" customHeight="1" x14ac:dyDescent="0.2">
      <c r="A56" s="1266" t="s">
        <v>1098</v>
      </c>
      <c r="B56" s="475">
        <v>1442</v>
      </c>
      <c r="C56" s="1575"/>
      <c r="D56" s="1575"/>
      <c r="E56" s="1575"/>
      <c r="F56" s="1573">
        <v>1972</v>
      </c>
      <c r="G56" s="1575"/>
      <c r="H56" s="1575"/>
      <c r="I56" s="1575"/>
      <c r="J56" s="1575"/>
      <c r="K56" s="1575"/>
    </row>
    <row r="57" spans="1:11" ht="12.75" customHeight="1" x14ac:dyDescent="0.2">
      <c r="A57" s="1266" t="s">
        <v>486</v>
      </c>
      <c r="B57" s="475">
        <v>1443</v>
      </c>
      <c r="C57" s="1575"/>
      <c r="D57" s="1575"/>
      <c r="E57" s="1575"/>
      <c r="F57" s="1573">
        <v>0</v>
      </c>
      <c r="G57" s="1575"/>
      <c r="H57" s="1575"/>
      <c r="I57" s="1575"/>
      <c r="J57" s="1575"/>
      <c r="K57" s="1575"/>
    </row>
    <row r="58" spans="1:11" ht="12.75" customHeight="1" x14ac:dyDescent="0.2">
      <c r="A58" s="1266" t="s">
        <v>65</v>
      </c>
      <c r="B58" s="475">
        <v>1444</v>
      </c>
      <c r="C58" s="1575"/>
      <c r="D58" s="1575"/>
      <c r="E58" s="1575"/>
      <c r="F58" s="1573">
        <v>0</v>
      </c>
      <c r="G58" s="1575"/>
      <c r="H58" s="1575"/>
      <c r="I58" s="1575"/>
      <c r="J58" s="1575"/>
      <c r="K58" s="1575"/>
    </row>
    <row r="59" spans="1:11" ht="12.75" customHeight="1" x14ac:dyDescent="0.2">
      <c r="A59" s="1266" t="s">
        <v>873</v>
      </c>
      <c r="B59" s="475">
        <v>1451</v>
      </c>
      <c r="C59" s="1575"/>
      <c r="D59" s="1575"/>
      <c r="E59" s="1575"/>
      <c r="F59" s="1573">
        <v>0</v>
      </c>
      <c r="G59" s="1575"/>
      <c r="H59" s="1575"/>
      <c r="I59" s="1575"/>
      <c r="J59" s="1575"/>
      <c r="K59" s="1575"/>
    </row>
    <row r="60" spans="1:11" ht="12.75" customHeight="1" x14ac:dyDescent="0.2">
      <c r="A60" s="1266" t="s">
        <v>1099</v>
      </c>
      <c r="B60" s="475">
        <v>1452</v>
      </c>
      <c r="C60" s="1575"/>
      <c r="D60" s="1575"/>
      <c r="E60" s="1575"/>
      <c r="F60" s="1573">
        <v>0</v>
      </c>
      <c r="G60" s="1575"/>
      <c r="H60" s="1575"/>
      <c r="I60" s="1575"/>
      <c r="J60" s="1575"/>
      <c r="K60" s="1575"/>
    </row>
    <row r="61" spans="1:11" ht="12.75" customHeight="1" x14ac:dyDescent="0.2">
      <c r="A61" s="479" t="s">
        <v>874</v>
      </c>
      <c r="B61" s="475">
        <v>1453</v>
      </c>
      <c r="C61" s="1575"/>
      <c r="D61" s="1575"/>
      <c r="E61" s="1575"/>
      <c r="F61" s="1573">
        <v>0</v>
      </c>
      <c r="G61" s="1575"/>
      <c r="H61" s="1575"/>
      <c r="I61" s="1575"/>
      <c r="J61" s="1575"/>
      <c r="K61" s="1575"/>
    </row>
    <row r="62" spans="1:11" ht="12.75" customHeight="1" x14ac:dyDescent="0.2">
      <c r="A62" s="1267" t="s">
        <v>875</v>
      </c>
      <c r="B62" s="476">
        <v>1454</v>
      </c>
      <c r="C62" s="1575"/>
      <c r="D62" s="1575"/>
      <c r="E62" s="1575"/>
      <c r="F62" s="1574">
        <v>0</v>
      </c>
      <c r="G62" s="1575"/>
      <c r="H62" s="1575"/>
      <c r="I62" s="1575"/>
      <c r="J62" s="1575"/>
      <c r="K62" s="1575"/>
    </row>
    <row r="63" spans="1:11" ht="12.75" customHeight="1" thickBot="1" x14ac:dyDescent="0.25">
      <c r="A63" s="1406" t="s">
        <v>482</v>
      </c>
      <c r="B63" s="1407"/>
      <c r="C63" s="1575"/>
      <c r="D63" s="1575"/>
      <c r="E63" s="1575"/>
      <c r="F63" s="1594">
        <f>SUM(F42:F62)</f>
        <v>2032</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54717</v>
      </c>
      <c r="D65" s="1573">
        <v>27682</v>
      </c>
      <c r="E65" s="1573">
        <v>2641</v>
      </c>
      <c r="F65" s="1574">
        <v>13718</v>
      </c>
      <c r="G65" s="1573">
        <v>7202</v>
      </c>
      <c r="H65" s="1573">
        <v>0</v>
      </c>
      <c r="I65" s="1573">
        <v>44352</v>
      </c>
      <c r="J65" s="1574">
        <v>8525</v>
      </c>
      <c r="K65" s="1573">
        <v>3316</v>
      </c>
    </row>
    <row r="66" spans="1:11" ht="12.75" customHeight="1" x14ac:dyDescent="0.2">
      <c r="A66" s="427" t="s">
        <v>674</v>
      </c>
      <c r="B66" s="429">
        <v>1520</v>
      </c>
      <c r="C66" s="1573">
        <v>0</v>
      </c>
      <c r="D66" s="1573">
        <v>0</v>
      </c>
      <c r="E66" s="1573">
        <v>0</v>
      </c>
      <c r="F66" s="1573">
        <v>0</v>
      </c>
      <c r="G66" s="1573">
        <v>0</v>
      </c>
      <c r="H66" s="1573">
        <v>0</v>
      </c>
      <c r="I66" s="1573">
        <v>0</v>
      </c>
      <c r="J66" s="1574">
        <v>0</v>
      </c>
      <c r="K66" s="1573">
        <v>0</v>
      </c>
    </row>
    <row r="67" spans="1:11" ht="12.75" customHeight="1" thickBot="1" x14ac:dyDescent="0.25">
      <c r="A67" s="1406" t="s">
        <v>483</v>
      </c>
      <c r="B67" s="1407"/>
      <c r="C67" s="1594">
        <f>SUM(C65:C66)</f>
        <v>54717</v>
      </c>
      <c r="D67" s="1594">
        <f t="shared" ref="D67:K67" si="2">SUM(D65:D66)</f>
        <v>27682</v>
      </c>
      <c r="E67" s="1594">
        <f t="shared" si="2"/>
        <v>2641</v>
      </c>
      <c r="F67" s="1594">
        <f t="shared" si="2"/>
        <v>13718</v>
      </c>
      <c r="G67" s="1594">
        <f t="shared" si="2"/>
        <v>7202</v>
      </c>
      <c r="H67" s="1594">
        <f t="shared" si="2"/>
        <v>0</v>
      </c>
      <c r="I67" s="1594">
        <f t="shared" si="2"/>
        <v>44352</v>
      </c>
      <c r="J67" s="1594">
        <f t="shared" si="2"/>
        <v>8525</v>
      </c>
      <c r="K67" s="1594">
        <f t="shared" si="2"/>
        <v>3316</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201228</v>
      </c>
      <c r="D69" s="1575"/>
      <c r="E69" s="1575"/>
      <c r="F69" s="1575"/>
      <c r="G69" s="1575"/>
      <c r="H69" s="1575"/>
      <c r="I69" s="1575"/>
      <c r="J69" s="1575"/>
      <c r="K69" s="1575"/>
    </row>
    <row r="70" spans="1:11" ht="12.75" customHeight="1" x14ac:dyDescent="0.2">
      <c r="A70" s="427" t="s">
        <v>990</v>
      </c>
      <c r="B70" s="429">
        <v>1612</v>
      </c>
      <c r="C70" s="1632">
        <v>0</v>
      </c>
      <c r="D70" s="1575"/>
      <c r="E70" s="1575"/>
      <c r="F70" s="1575"/>
      <c r="G70" s="1575"/>
      <c r="H70" s="1575"/>
      <c r="I70" s="1575"/>
      <c r="J70" s="1575"/>
      <c r="K70" s="1575"/>
    </row>
    <row r="71" spans="1:11" ht="12.75" customHeight="1" x14ac:dyDescent="0.2">
      <c r="A71" s="427" t="s">
        <v>271</v>
      </c>
      <c r="B71" s="429">
        <v>1613</v>
      </c>
      <c r="C71" s="1632">
        <v>64283</v>
      </c>
      <c r="D71" s="1575"/>
      <c r="E71" s="1575"/>
      <c r="F71" s="1575"/>
      <c r="G71" s="1575"/>
      <c r="H71" s="1575"/>
      <c r="I71" s="1575"/>
      <c r="J71" s="1575"/>
      <c r="K71" s="1575"/>
    </row>
    <row r="72" spans="1:11" ht="12.75" customHeight="1" x14ac:dyDescent="0.2">
      <c r="A72" s="427" t="s">
        <v>24</v>
      </c>
      <c r="B72" s="429">
        <v>1614</v>
      </c>
      <c r="C72" s="1632">
        <v>2287</v>
      </c>
      <c r="D72" s="1575"/>
      <c r="E72" s="1575"/>
      <c r="F72" s="1575"/>
      <c r="G72" s="1575"/>
      <c r="H72" s="1575"/>
      <c r="I72" s="1575"/>
      <c r="J72" s="1575"/>
      <c r="K72" s="1575"/>
    </row>
    <row r="73" spans="1:11" ht="12.75" customHeight="1" x14ac:dyDescent="0.2">
      <c r="A73" s="427" t="s">
        <v>991</v>
      </c>
      <c r="B73" s="429">
        <v>1620</v>
      </c>
      <c r="C73" s="1632">
        <v>3840</v>
      </c>
      <c r="D73" s="1575"/>
      <c r="E73" s="1575"/>
      <c r="F73" s="1575"/>
      <c r="G73" s="1575"/>
      <c r="H73" s="1575"/>
      <c r="I73" s="1575"/>
      <c r="J73" s="1575"/>
      <c r="K73" s="1575"/>
    </row>
    <row r="74" spans="1:11" ht="12.75" customHeight="1" x14ac:dyDescent="0.2">
      <c r="A74" s="427" t="s">
        <v>25</v>
      </c>
      <c r="B74" s="429">
        <v>1690</v>
      </c>
      <c r="C74" s="1632">
        <v>2632</v>
      </c>
      <c r="D74" s="1575"/>
      <c r="E74" s="1575"/>
      <c r="F74" s="1575"/>
      <c r="G74" s="1575"/>
      <c r="H74" s="1575"/>
      <c r="I74" s="1575"/>
      <c r="J74" s="1575"/>
      <c r="K74" s="1575"/>
    </row>
    <row r="75" spans="1:11" ht="12.75" customHeight="1" thickBot="1" x14ac:dyDescent="0.25">
      <c r="A75" s="1406" t="s">
        <v>544</v>
      </c>
      <c r="B75" s="1407"/>
      <c r="C75" s="1594">
        <f>SUM(C69:C74)</f>
        <v>274270</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v>31130</v>
      </c>
      <c r="D77" s="1573">
        <v>0</v>
      </c>
      <c r="E77" s="1575"/>
      <c r="F77" s="1575"/>
      <c r="G77" s="1575"/>
      <c r="H77" s="1575"/>
      <c r="I77" s="1575"/>
      <c r="J77" s="1575"/>
      <c r="K77" s="1575"/>
    </row>
    <row r="78" spans="1:11" ht="12.75" customHeight="1" x14ac:dyDescent="0.2">
      <c r="A78" s="427" t="s">
        <v>76</v>
      </c>
      <c r="B78" s="429">
        <v>1719</v>
      </c>
      <c r="C78" s="1632">
        <v>0</v>
      </c>
      <c r="D78" s="1573">
        <v>0</v>
      </c>
      <c r="E78" s="1575"/>
      <c r="F78" s="1575"/>
      <c r="G78" s="1575"/>
      <c r="H78" s="1575"/>
      <c r="I78" s="1575"/>
      <c r="J78" s="1575"/>
      <c r="K78" s="1575"/>
    </row>
    <row r="79" spans="1:11" ht="12.75" customHeight="1" x14ac:dyDescent="0.2">
      <c r="A79" s="427" t="s">
        <v>546</v>
      </c>
      <c r="B79" s="429">
        <v>1720</v>
      </c>
      <c r="C79" s="1632">
        <v>28514</v>
      </c>
      <c r="D79" s="1573">
        <v>0</v>
      </c>
      <c r="E79" s="1575"/>
      <c r="F79" s="1575"/>
      <c r="G79" s="1575"/>
      <c r="H79" s="1575"/>
      <c r="I79" s="1575"/>
      <c r="J79" s="1575"/>
      <c r="K79" s="1575"/>
    </row>
    <row r="80" spans="1:11" ht="12.75" customHeight="1" x14ac:dyDescent="0.2">
      <c r="A80" s="427" t="s">
        <v>547</v>
      </c>
      <c r="B80" s="429">
        <v>1730</v>
      </c>
      <c r="C80" s="1632">
        <v>0</v>
      </c>
      <c r="D80" s="1573">
        <v>0</v>
      </c>
      <c r="E80" s="1575"/>
      <c r="F80" s="1575"/>
      <c r="G80" s="1575"/>
      <c r="H80" s="1575"/>
      <c r="I80" s="1575"/>
      <c r="J80" s="1575"/>
      <c r="K80" s="1575"/>
    </row>
    <row r="81" spans="1:11" ht="12.75" customHeight="1" x14ac:dyDescent="0.2">
      <c r="A81" s="427" t="s">
        <v>26</v>
      </c>
      <c r="B81" s="429">
        <v>1790</v>
      </c>
      <c r="C81" s="1632">
        <v>1751</v>
      </c>
      <c r="D81" s="1573">
        <v>0</v>
      </c>
      <c r="E81" s="1575"/>
      <c r="F81" s="1575"/>
      <c r="G81" s="1575"/>
      <c r="H81" s="1575"/>
      <c r="I81" s="1575"/>
      <c r="J81" s="1575"/>
      <c r="K81" s="1575"/>
    </row>
    <row r="82" spans="1:11" ht="12.75" customHeight="1" thickBot="1" x14ac:dyDescent="0.25">
      <c r="A82" s="1406" t="s">
        <v>239</v>
      </c>
      <c r="B82" s="1407"/>
      <c r="C82" s="1633">
        <f>SUM(C77:C81)</f>
        <v>61395</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v>118003</v>
      </c>
      <c r="D84" s="1575"/>
      <c r="E84" s="1575"/>
      <c r="F84" s="1575"/>
      <c r="G84" s="1575"/>
      <c r="H84" s="1575"/>
      <c r="I84" s="1575"/>
      <c r="J84" s="1575"/>
      <c r="K84" s="1575"/>
    </row>
    <row r="85" spans="1:11" ht="12.75" customHeight="1" x14ac:dyDescent="0.2">
      <c r="A85" s="427" t="s">
        <v>549</v>
      </c>
      <c r="B85" s="429">
        <v>1812</v>
      </c>
      <c r="C85" s="1632">
        <v>0</v>
      </c>
      <c r="D85" s="1575"/>
      <c r="E85" s="1575"/>
      <c r="F85" s="1575"/>
      <c r="G85" s="1575"/>
      <c r="H85" s="1575"/>
      <c r="I85" s="1575"/>
      <c r="J85" s="1575"/>
      <c r="K85" s="1575"/>
    </row>
    <row r="86" spans="1:11" ht="12.75" customHeight="1" x14ac:dyDescent="0.2">
      <c r="A86" s="427" t="s">
        <v>992</v>
      </c>
      <c r="B86" s="429">
        <v>1813</v>
      </c>
      <c r="C86" s="1632">
        <v>0</v>
      </c>
      <c r="D86" s="1575"/>
      <c r="E86" s="1575"/>
      <c r="F86" s="1575"/>
      <c r="G86" s="1575"/>
      <c r="H86" s="1575"/>
      <c r="I86" s="1575"/>
      <c r="J86" s="1575"/>
      <c r="K86" s="1575"/>
    </row>
    <row r="87" spans="1:11" ht="12.75" customHeight="1" x14ac:dyDescent="0.2">
      <c r="A87" s="427" t="s">
        <v>77</v>
      </c>
      <c r="B87" s="429">
        <v>1819</v>
      </c>
      <c r="C87" s="1632">
        <v>0</v>
      </c>
      <c r="D87" s="1575"/>
      <c r="E87" s="1575"/>
      <c r="F87" s="1575"/>
      <c r="G87" s="1575"/>
      <c r="H87" s="1575"/>
      <c r="I87" s="1575"/>
      <c r="J87" s="1575"/>
      <c r="K87" s="1575"/>
    </row>
    <row r="88" spans="1:11" ht="12.75" customHeight="1" x14ac:dyDescent="0.2">
      <c r="A88" s="427" t="s">
        <v>550</v>
      </c>
      <c r="B88" s="429">
        <v>1821</v>
      </c>
      <c r="C88" s="1632">
        <v>0</v>
      </c>
      <c r="D88" s="1575"/>
      <c r="E88" s="1575"/>
      <c r="F88" s="1575"/>
      <c r="G88" s="1575"/>
      <c r="H88" s="1575"/>
      <c r="I88" s="1575"/>
      <c r="J88" s="1575"/>
      <c r="K88" s="1575"/>
    </row>
    <row r="89" spans="1:11" ht="12.75" customHeight="1" x14ac:dyDescent="0.2">
      <c r="A89" s="427" t="s">
        <v>709</v>
      </c>
      <c r="B89" s="429">
        <v>1822</v>
      </c>
      <c r="C89" s="1632">
        <v>0</v>
      </c>
      <c r="D89" s="1575"/>
      <c r="E89" s="1575"/>
      <c r="F89" s="1575"/>
      <c r="G89" s="1575"/>
      <c r="H89" s="1575"/>
      <c r="I89" s="1575"/>
      <c r="J89" s="1575"/>
      <c r="K89" s="1575"/>
    </row>
    <row r="90" spans="1:11" ht="12.75" customHeight="1" x14ac:dyDescent="0.2">
      <c r="A90" s="427" t="s">
        <v>138</v>
      </c>
      <c r="B90" s="429">
        <v>1823</v>
      </c>
      <c r="C90" s="1632">
        <v>0</v>
      </c>
      <c r="D90" s="1575"/>
      <c r="E90" s="1575"/>
      <c r="F90" s="1575"/>
      <c r="G90" s="1575"/>
      <c r="H90" s="1575"/>
      <c r="I90" s="1575"/>
      <c r="J90" s="1575"/>
      <c r="K90" s="1575"/>
    </row>
    <row r="91" spans="1:11" ht="12.75" customHeight="1" x14ac:dyDescent="0.2">
      <c r="A91" s="427" t="s">
        <v>27</v>
      </c>
      <c r="B91" s="429">
        <v>1829</v>
      </c>
      <c r="C91" s="1632">
        <v>0</v>
      </c>
      <c r="D91" s="1575"/>
      <c r="E91" s="1575"/>
      <c r="F91" s="1575"/>
      <c r="G91" s="1575"/>
      <c r="H91" s="1575"/>
      <c r="I91" s="1575"/>
      <c r="J91" s="1575"/>
      <c r="K91" s="1575"/>
    </row>
    <row r="92" spans="1:11" ht="12.75" customHeight="1" x14ac:dyDescent="0.2">
      <c r="A92" s="427" t="s">
        <v>757</v>
      </c>
      <c r="B92" s="429">
        <v>1890</v>
      </c>
      <c r="C92" s="1632">
        <v>0</v>
      </c>
      <c r="D92" s="1575"/>
      <c r="E92" s="1575"/>
      <c r="F92" s="1575"/>
      <c r="G92" s="1575"/>
      <c r="H92" s="1575"/>
      <c r="I92" s="1575"/>
      <c r="J92" s="1575"/>
      <c r="K92" s="1575"/>
    </row>
    <row r="93" spans="1:11" ht="12.75" customHeight="1" thickBot="1" x14ac:dyDescent="0.25">
      <c r="A93" s="1406" t="s">
        <v>241</v>
      </c>
      <c r="B93" s="1407"/>
      <c r="C93" s="1594">
        <f>SUM(C84:C92)</f>
        <v>118003</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v>0</v>
      </c>
      <c r="D95" s="1632">
        <v>13120</v>
      </c>
      <c r="E95" s="1617"/>
      <c r="F95" s="1617"/>
      <c r="G95" s="1617"/>
      <c r="H95" s="1617"/>
      <c r="I95" s="1617"/>
      <c r="J95" s="1617"/>
      <c r="K95" s="1617"/>
    </row>
    <row r="96" spans="1:11" ht="12.75" customHeight="1" x14ac:dyDescent="0.2">
      <c r="A96" s="427" t="s">
        <v>388</v>
      </c>
      <c r="B96" s="429">
        <v>1920</v>
      </c>
      <c r="C96" s="1632">
        <v>1485</v>
      </c>
      <c r="D96" s="1632">
        <v>0</v>
      </c>
      <c r="E96" s="1584">
        <v>0</v>
      </c>
      <c r="F96" s="1583">
        <v>0</v>
      </c>
      <c r="G96" s="1583">
        <v>0</v>
      </c>
      <c r="H96" s="1583">
        <v>0</v>
      </c>
      <c r="I96" s="1583">
        <v>0</v>
      </c>
      <c r="J96" s="1583">
        <v>0</v>
      </c>
      <c r="K96" s="1583">
        <v>0</v>
      </c>
    </row>
    <row r="97" spans="1:12" ht="12.75" customHeight="1" x14ac:dyDescent="0.2">
      <c r="A97" s="1265" t="s">
        <v>242</v>
      </c>
      <c r="B97" s="477">
        <v>1930</v>
      </c>
      <c r="C97" s="1598">
        <v>0</v>
      </c>
      <c r="D97" s="1574">
        <v>0</v>
      </c>
      <c r="E97" s="1579">
        <v>0</v>
      </c>
      <c r="F97" s="1574">
        <v>0</v>
      </c>
      <c r="G97" s="1574">
        <v>0</v>
      </c>
      <c r="H97" s="1574">
        <v>0</v>
      </c>
      <c r="I97" s="1574">
        <v>0</v>
      </c>
      <c r="J97" s="1574">
        <v>0</v>
      </c>
      <c r="K97" s="1574">
        <v>0</v>
      </c>
    </row>
    <row r="98" spans="1:12" ht="12.75" customHeight="1" x14ac:dyDescent="0.2">
      <c r="A98" s="427" t="s">
        <v>188</v>
      </c>
      <c r="B98" s="429">
        <v>1940</v>
      </c>
      <c r="C98" s="1598">
        <v>0</v>
      </c>
      <c r="D98" s="1573">
        <v>0</v>
      </c>
      <c r="E98" s="1612"/>
      <c r="F98" s="1573">
        <v>0</v>
      </c>
      <c r="G98" s="1612"/>
      <c r="H98" s="1612"/>
      <c r="I98" s="1610"/>
      <c r="J98" s="1612"/>
      <c r="K98" s="1612"/>
    </row>
    <row r="99" spans="1:12" ht="12.75" customHeight="1" x14ac:dyDescent="0.2">
      <c r="A99" s="427" t="s">
        <v>816</v>
      </c>
      <c r="B99" s="429">
        <v>1950</v>
      </c>
      <c r="C99" s="1598">
        <v>6561</v>
      </c>
      <c r="D99" s="1573">
        <v>0</v>
      </c>
      <c r="E99" s="1573">
        <v>0</v>
      </c>
      <c r="F99" s="1573">
        <v>0</v>
      </c>
      <c r="G99" s="1573">
        <v>0</v>
      </c>
      <c r="H99" s="1573">
        <v>0</v>
      </c>
      <c r="I99" s="1575"/>
      <c r="J99" s="1574">
        <v>10391</v>
      </c>
      <c r="K99" s="1573">
        <v>0</v>
      </c>
    </row>
    <row r="100" spans="1:12" ht="12.75" customHeight="1" x14ac:dyDescent="0.2">
      <c r="A100" s="427" t="s">
        <v>243</v>
      </c>
      <c r="B100" s="429">
        <v>1960</v>
      </c>
      <c r="C100" s="1598">
        <v>33186</v>
      </c>
      <c r="D100" s="1598">
        <v>5459</v>
      </c>
      <c r="E100" s="1598">
        <v>4157</v>
      </c>
      <c r="F100" s="1598">
        <v>2078</v>
      </c>
      <c r="G100" s="1598">
        <v>2395</v>
      </c>
      <c r="H100" s="1598">
        <v>0</v>
      </c>
      <c r="I100" s="1574">
        <v>521</v>
      </c>
      <c r="J100" s="1598">
        <v>2747</v>
      </c>
      <c r="K100" s="1574">
        <v>521</v>
      </c>
    </row>
    <row r="101" spans="1:12" ht="12.75" customHeight="1" x14ac:dyDescent="0.2">
      <c r="A101" s="427" t="s">
        <v>244</v>
      </c>
      <c r="B101" s="429">
        <v>1970</v>
      </c>
      <c r="C101" s="1598">
        <v>18710</v>
      </c>
      <c r="D101" s="1623"/>
      <c r="E101" s="1585"/>
      <c r="F101" s="1623"/>
      <c r="G101" s="1580"/>
      <c r="H101" s="1623"/>
      <c r="I101" s="1575"/>
      <c r="J101" s="1580"/>
      <c r="K101" s="1580"/>
    </row>
    <row r="102" spans="1:12" ht="12.75" customHeight="1" x14ac:dyDescent="0.2">
      <c r="A102" s="427" t="s">
        <v>245</v>
      </c>
      <c r="B102" s="429">
        <v>1980</v>
      </c>
      <c r="C102" s="1598">
        <v>0</v>
      </c>
      <c r="D102" s="1598">
        <v>0</v>
      </c>
      <c r="E102" s="1598">
        <v>0</v>
      </c>
      <c r="F102" s="1598">
        <v>0</v>
      </c>
      <c r="G102" s="1598">
        <v>0</v>
      </c>
      <c r="H102" s="1598">
        <v>0</v>
      </c>
      <c r="I102" s="1574">
        <v>0</v>
      </c>
      <c r="J102" s="1598">
        <v>0</v>
      </c>
      <c r="K102" s="1574">
        <v>0</v>
      </c>
    </row>
    <row r="103" spans="1:12" ht="12.75" customHeight="1" x14ac:dyDescent="0.2">
      <c r="A103" s="427" t="s">
        <v>342</v>
      </c>
      <c r="B103" s="429">
        <v>1983</v>
      </c>
      <c r="C103" s="1575"/>
      <c r="D103" s="1575"/>
      <c r="E103" s="1639">
        <v>0</v>
      </c>
      <c r="F103" s="1575"/>
      <c r="G103" s="1575"/>
      <c r="H103" s="1598">
        <v>445300</v>
      </c>
      <c r="I103" s="1575"/>
      <c r="J103" s="1610"/>
      <c r="K103" s="1610"/>
    </row>
    <row r="104" spans="1:12" ht="12.75" customHeight="1" x14ac:dyDescent="0.2">
      <c r="A104" s="427" t="s">
        <v>825</v>
      </c>
      <c r="B104" s="429">
        <v>1991</v>
      </c>
      <c r="C104" s="1598">
        <v>0</v>
      </c>
      <c r="D104" s="1573">
        <v>0</v>
      </c>
      <c r="E104" s="1586">
        <v>0</v>
      </c>
      <c r="F104" s="1574">
        <v>0</v>
      </c>
      <c r="G104" s="1574">
        <v>0</v>
      </c>
      <c r="H104" s="1573">
        <v>0</v>
      </c>
      <c r="I104" s="1575"/>
      <c r="J104" s="1575"/>
      <c r="K104" s="1575"/>
    </row>
    <row r="105" spans="1:12" ht="12.75" customHeight="1" x14ac:dyDescent="0.2">
      <c r="A105" s="427" t="s">
        <v>817</v>
      </c>
      <c r="B105" s="429">
        <v>1992</v>
      </c>
      <c r="C105" s="1573">
        <v>0</v>
      </c>
      <c r="D105" s="1640"/>
      <c r="E105" s="1575"/>
      <c r="F105" s="1575"/>
      <c r="G105" s="1575"/>
      <c r="H105" s="1610"/>
      <c r="I105" s="1575"/>
      <c r="J105" s="1575"/>
      <c r="K105" s="1575"/>
    </row>
    <row r="106" spans="1:12" ht="12.75" customHeight="1" x14ac:dyDescent="0.2">
      <c r="A106" s="427" t="s">
        <v>1413</v>
      </c>
      <c r="B106" s="429">
        <v>1993</v>
      </c>
      <c r="C106" s="1573">
        <v>19975</v>
      </c>
      <c r="D106" s="1598">
        <v>0</v>
      </c>
      <c r="E106" s="1574">
        <v>0</v>
      </c>
      <c r="F106" s="1574">
        <v>0</v>
      </c>
      <c r="G106" s="1574">
        <v>0</v>
      </c>
      <c r="H106" s="1574">
        <v>0</v>
      </c>
      <c r="I106" s="1617"/>
      <c r="J106" s="1574">
        <v>0</v>
      </c>
      <c r="K106" s="1574">
        <v>0</v>
      </c>
    </row>
    <row r="107" spans="1:12" ht="12.75" customHeight="1" x14ac:dyDescent="0.2">
      <c r="A107" s="427" t="s">
        <v>78</v>
      </c>
      <c r="B107" s="429">
        <v>1999</v>
      </c>
      <c r="C107" s="1632">
        <v>39991</v>
      </c>
      <c r="D107" s="1573">
        <v>11041</v>
      </c>
      <c r="E107" s="1573">
        <v>0</v>
      </c>
      <c r="F107" s="1573">
        <v>180</v>
      </c>
      <c r="G107" s="1573">
        <v>644</v>
      </c>
      <c r="H107" s="1573">
        <v>0</v>
      </c>
      <c r="I107" s="1573">
        <v>0</v>
      </c>
      <c r="J107" s="1574">
        <v>302</v>
      </c>
      <c r="K107" s="1573">
        <v>0</v>
      </c>
    </row>
    <row r="108" spans="1:12" ht="12.75" customHeight="1" thickBot="1" x14ac:dyDescent="0.25">
      <c r="A108" s="1406" t="s">
        <v>484</v>
      </c>
      <c r="B108" s="1408"/>
      <c r="C108" s="1633">
        <f>SUM(C95:C107)</f>
        <v>119908</v>
      </c>
      <c r="D108" s="1633">
        <f t="shared" ref="D108:K108" si="3">SUM(D95:D107)</f>
        <v>29620</v>
      </c>
      <c r="E108" s="1633">
        <f t="shared" si="3"/>
        <v>4157</v>
      </c>
      <c r="F108" s="1633">
        <f t="shared" si="3"/>
        <v>2258</v>
      </c>
      <c r="G108" s="1633">
        <f t="shared" si="3"/>
        <v>3039</v>
      </c>
      <c r="H108" s="1633">
        <f t="shared" si="3"/>
        <v>445300</v>
      </c>
      <c r="I108" s="1633">
        <f t="shared" si="3"/>
        <v>521</v>
      </c>
      <c r="J108" s="1633">
        <f t="shared" si="3"/>
        <v>13440</v>
      </c>
      <c r="K108" s="1594">
        <f t="shared" si="3"/>
        <v>521</v>
      </c>
    </row>
    <row r="109" spans="1:12" ht="14.25" thickTop="1" thickBot="1" x14ac:dyDescent="0.25">
      <c r="A109" s="1409" t="s">
        <v>246</v>
      </c>
      <c r="B109" s="1410" t="s">
        <v>566</v>
      </c>
      <c r="C109" s="1641">
        <f t="shared" ref="C109:K109" si="4">SUM(C12,C18,C40,C63,C67,C75,C82,C93,C108,)</f>
        <v>8281958</v>
      </c>
      <c r="D109" s="1641">
        <f t="shared" si="4"/>
        <v>1228606</v>
      </c>
      <c r="E109" s="1641">
        <f t="shared" si="4"/>
        <v>900372</v>
      </c>
      <c r="F109" s="1641">
        <f t="shared" si="4"/>
        <v>464222</v>
      </c>
      <c r="G109" s="1641">
        <f t="shared" si="4"/>
        <v>555596</v>
      </c>
      <c r="H109" s="1641">
        <f t="shared" si="4"/>
        <v>445300</v>
      </c>
      <c r="I109" s="1641">
        <f t="shared" si="4"/>
        <v>156425</v>
      </c>
      <c r="J109" s="1641">
        <f t="shared" si="4"/>
        <v>611902</v>
      </c>
      <c r="K109" s="1629">
        <f t="shared" si="4"/>
        <v>115389</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v>0</v>
      </c>
      <c r="D111" s="1586">
        <v>0</v>
      </c>
      <c r="E111" s="1640"/>
      <c r="F111" s="1586">
        <v>0</v>
      </c>
      <c r="G111" s="1586">
        <v>0</v>
      </c>
      <c r="H111" s="1640"/>
      <c r="I111" s="1575"/>
      <c r="J111" s="1575"/>
      <c r="K111" s="1575"/>
    </row>
    <row r="112" spans="1:12" ht="12.75" customHeight="1" x14ac:dyDescent="0.2">
      <c r="A112" s="427" t="s">
        <v>819</v>
      </c>
      <c r="B112" s="429">
        <v>2200</v>
      </c>
      <c r="C112" s="1632">
        <v>0</v>
      </c>
      <c r="D112" s="1573">
        <v>0</v>
      </c>
      <c r="E112" s="1640"/>
      <c r="F112" s="1573">
        <v>0</v>
      </c>
      <c r="G112" s="1573">
        <v>0</v>
      </c>
      <c r="H112" s="1640"/>
      <c r="I112" s="1575"/>
      <c r="J112" s="1575"/>
      <c r="K112" s="1575"/>
      <c r="L112" s="473"/>
    </row>
    <row r="113" spans="1:11" ht="12.75" customHeight="1" x14ac:dyDescent="0.2">
      <c r="A113" s="427" t="s">
        <v>28</v>
      </c>
      <c r="B113" s="429">
        <v>2300</v>
      </c>
      <c r="C113" s="1632">
        <v>0</v>
      </c>
      <c r="D113" s="1573">
        <v>0</v>
      </c>
      <c r="E113" s="1640"/>
      <c r="F113" s="1573">
        <v>0</v>
      </c>
      <c r="G113" s="1573">
        <v>0</v>
      </c>
      <c r="H113" s="1640"/>
      <c r="I113" s="1575"/>
      <c r="J113" s="1575"/>
      <c r="K113" s="1575"/>
    </row>
    <row r="114" spans="1:11" ht="13.5" thickBot="1" x14ac:dyDescent="0.2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1648</v>
      </c>
      <c r="B117" s="478">
        <v>3001</v>
      </c>
      <c r="C117" s="1613">
        <v>3816168</v>
      </c>
      <c r="D117" s="1586">
        <v>0</v>
      </c>
      <c r="E117" s="1573">
        <v>0</v>
      </c>
      <c r="F117" s="1586">
        <v>0</v>
      </c>
      <c r="G117" s="1586">
        <v>0</v>
      </c>
      <c r="H117" s="1573">
        <v>0</v>
      </c>
      <c r="I117" s="1575"/>
      <c r="J117" s="1574">
        <v>0</v>
      </c>
      <c r="K117" s="1573">
        <v>0</v>
      </c>
    </row>
    <row r="118" spans="1:11" ht="12.75" customHeight="1" x14ac:dyDescent="0.2">
      <c r="A118" s="427" t="s">
        <v>1773</v>
      </c>
      <c r="B118" s="478">
        <v>3002</v>
      </c>
      <c r="C118" s="1632"/>
      <c r="D118" s="1573"/>
      <c r="E118" s="1573"/>
      <c r="F118" s="1573"/>
      <c r="G118" s="1573"/>
      <c r="H118" s="1573"/>
      <c r="I118" s="1575"/>
      <c r="J118" s="1574"/>
      <c r="K118" s="1573"/>
    </row>
    <row r="119" spans="1:11" ht="12.75" customHeight="1" x14ac:dyDescent="0.2">
      <c r="A119" s="427" t="s">
        <v>1774</v>
      </c>
      <c r="B119" s="478">
        <v>3005</v>
      </c>
      <c r="C119" s="1632">
        <v>0</v>
      </c>
      <c r="D119" s="1573">
        <v>0</v>
      </c>
      <c r="E119" s="1573">
        <v>0</v>
      </c>
      <c r="F119" s="1573">
        <v>0</v>
      </c>
      <c r="G119" s="1573">
        <v>0</v>
      </c>
      <c r="H119" s="1573">
        <v>0</v>
      </c>
      <c r="I119" s="1575"/>
      <c r="J119" s="1574">
        <v>0</v>
      </c>
      <c r="K119" s="1573">
        <v>0</v>
      </c>
    </row>
    <row r="120" spans="1:11" ht="12.75" customHeight="1" x14ac:dyDescent="0.2">
      <c r="A120" s="1539" t="s">
        <v>1892</v>
      </c>
      <c r="B120" s="478">
        <v>3030</v>
      </c>
      <c r="C120" s="1632">
        <v>0</v>
      </c>
      <c r="D120" s="1573">
        <v>0</v>
      </c>
      <c r="E120" s="1573">
        <v>0</v>
      </c>
      <c r="F120" s="1573">
        <v>0</v>
      </c>
      <c r="G120" s="1573">
        <v>0</v>
      </c>
      <c r="H120" s="1573">
        <v>0</v>
      </c>
      <c r="I120" s="1575"/>
      <c r="J120" s="1574">
        <v>0</v>
      </c>
      <c r="K120" s="1573">
        <v>0</v>
      </c>
    </row>
    <row r="121" spans="1:11" x14ac:dyDescent="0.2">
      <c r="A121" s="1266" t="s">
        <v>1775</v>
      </c>
      <c r="B121" s="480">
        <v>3099</v>
      </c>
      <c r="C121" s="1632">
        <v>0</v>
      </c>
      <c r="D121" s="1573">
        <v>0</v>
      </c>
      <c r="E121" s="1573">
        <v>0</v>
      </c>
      <c r="F121" s="1573">
        <v>0</v>
      </c>
      <c r="G121" s="1573">
        <v>0</v>
      </c>
      <c r="H121" s="1573">
        <v>0</v>
      </c>
      <c r="I121" s="1575"/>
      <c r="J121" s="1574">
        <v>0</v>
      </c>
      <c r="K121" s="1573">
        <v>0</v>
      </c>
    </row>
    <row r="122" spans="1:11" ht="12.6" customHeight="1" thickBot="1" x14ac:dyDescent="0.25">
      <c r="A122" s="1406" t="s">
        <v>485</v>
      </c>
      <c r="B122" s="1413"/>
      <c r="C122" s="1633">
        <f t="shared" ref="C122:H122" si="5">SUM(C117:C121)</f>
        <v>3816168</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v>5829</v>
      </c>
      <c r="D125" s="1640"/>
      <c r="E125" s="1575"/>
      <c r="F125" s="1631">
        <v>0</v>
      </c>
      <c r="G125" s="1575"/>
      <c r="H125" s="1575"/>
      <c r="I125" s="1575"/>
      <c r="J125" s="1575"/>
      <c r="K125" s="1575"/>
    </row>
    <row r="126" spans="1:11" ht="12.75" customHeight="1" x14ac:dyDescent="0.2">
      <c r="A126" s="427" t="s">
        <v>1429</v>
      </c>
      <c r="B126" s="478">
        <v>3105</v>
      </c>
      <c r="C126" s="1573">
        <v>0</v>
      </c>
      <c r="D126" s="1640"/>
      <c r="E126" s="1575"/>
      <c r="F126" s="1573">
        <v>0</v>
      </c>
      <c r="G126" s="1575"/>
      <c r="H126" s="1575"/>
      <c r="I126" s="1575"/>
      <c r="J126" s="1575"/>
      <c r="K126" s="1575"/>
    </row>
    <row r="127" spans="1:11" ht="12.75" customHeight="1" x14ac:dyDescent="0.2">
      <c r="A127" s="427" t="s">
        <v>862</v>
      </c>
      <c r="B127" s="478">
        <v>3110</v>
      </c>
      <c r="C127" s="1632">
        <v>165566</v>
      </c>
      <c r="D127" s="1573">
        <v>0</v>
      </c>
      <c r="E127" s="1575"/>
      <c r="F127" s="1573">
        <v>0</v>
      </c>
      <c r="G127" s="1575"/>
      <c r="H127" s="1575"/>
      <c r="I127" s="1575"/>
      <c r="J127" s="1575"/>
      <c r="K127" s="1575"/>
    </row>
    <row r="128" spans="1:11" ht="12.75" customHeight="1" x14ac:dyDescent="0.2">
      <c r="A128" s="427" t="s">
        <v>105</v>
      </c>
      <c r="B128" s="478">
        <v>3120</v>
      </c>
      <c r="C128" s="1573">
        <v>16543</v>
      </c>
      <c r="D128" s="1640"/>
      <c r="E128" s="1575"/>
      <c r="F128" s="1573">
        <v>0</v>
      </c>
      <c r="G128" s="1575"/>
      <c r="H128" s="1575"/>
      <c r="I128" s="1575"/>
      <c r="J128" s="1575"/>
      <c r="K128" s="1575"/>
    </row>
    <row r="129" spans="1:11" ht="12.75" customHeight="1" x14ac:dyDescent="0.2">
      <c r="A129" s="427" t="s">
        <v>1430</v>
      </c>
      <c r="B129" s="478">
        <v>3130</v>
      </c>
      <c r="C129" s="1573">
        <v>0</v>
      </c>
      <c r="D129" s="1640"/>
      <c r="E129" s="1575"/>
      <c r="F129" s="1573">
        <v>0</v>
      </c>
      <c r="G129" s="1575"/>
      <c r="H129" s="1575"/>
      <c r="I129" s="1575"/>
      <c r="J129" s="1575"/>
      <c r="K129" s="1575"/>
    </row>
    <row r="130" spans="1:11" ht="12.75" customHeight="1" x14ac:dyDescent="0.2">
      <c r="A130" s="427" t="s">
        <v>136</v>
      </c>
      <c r="B130" s="478">
        <v>3145</v>
      </c>
      <c r="C130" s="1573">
        <v>0</v>
      </c>
      <c r="D130" s="1640"/>
      <c r="E130" s="1575"/>
      <c r="F130" s="1573">
        <v>0</v>
      </c>
      <c r="G130" s="1575"/>
      <c r="H130" s="1575"/>
      <c r="I130" s="1575"/>
      <c r="J130" s="1575"/>
      <c r="K130" s="1575"/>
    </row>
    <row r="131" spans="1:11" ht="12.75" customHeight="1" x14ac:dyDescent="0.2">
      <c r="A131" s="427" t="s">
        <v>66</v>
      </c>
      <c r="B131" s="478">
        <v>3199</v>
      </c>
      <c r="C131" s="1632">
        <v>0</v>
      </c>
      <c r="D131" s="1574">
        <v>0</v>
      </c>
      <c r="E131" s="1575"/>
      <c r="F131" s="1573">
        <v>0</v>
      </c>
      <c r="G131" s="1575"/>
      <c r="H131" s="1575"/>
      <c r="I131" s="1575"/>
      <c r="J131" s="1575"/>
      <c r="K131" s="1575"/>
    </row>
    <row r="132" spans="1:11" ht="12.75" customHeight="1" thickBot="1" x14ac:dyDescent="0.25">
      <c r="A132" s="1406" t="s">
        <v>1025</v>
      </c>
      <c r="B132" s="1414"/>
      <c r="C132" s="1633">
        <f>SUM(C125:C131)</f>
        <v>187938</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v>0</v>
      </c>
      <c r="D134" s="1573">
        <v>0</v>
      </c>
      <c r="E134" s="1640"/>
      <c r="F134" s="1575"/>
      <c r="G134" s="1573">
        <v>0</v>
      </c>
      <c r="H134" s="1575"/>
      <c r="I134" s="1575"/>
      <c r="J134" s="1575"/>
      <c r="K134" s="1575"/>
    </row>
    <row r="135" spans="1:11" ht="12.75" customHeight="1" x14ac:dyDescent="0.2">
      <c r="A135" s="427" t="s">
        <v>664</v>
      </c>
      <c r="B135" s="478">
        <v>3220</v>
      </c>
      <c r="C135" s="1632">
        <v>34620</v>
      </c>
      <c r="D135" s="1573">
        <v>0</v>
      </c>
      <c r="E135" s="1640"/>
      <c r="F135" s="1575"/>
      <c r="G135" s="1574">
        <v>0</v>
      </c>
      <c r="H135" s="1575"/>
      <c r="I135" s="1575"/>
      <c r="J135" s="1575"/>
      <c r="K135" s="1575"/>
    </row>
    <row r="136" spans="1:11" ht="12.75" customHeight="1" x14ac:dyDescent="0.2">
      <c r="A136" s="427" t="s">
        <v>247</v>
      </c>
      <c r="B136" s="478">
        <v>3225</v>
      </c>
      <c r="C136" s="1632">
        <v>0</v>
      </c>
      <c r="D136" s="1573">
        <v>0</v>
      </c>
      <c r="E136" s="1640"/>
      <c r="F136" s="1575"/>
      <c r="G136" s="1574">
        <v>0</v>
      </c>
      <c r="H136" s="1575"/>
      <c r="I136" s="1575"/>
      <c r="J136" s="1575"/>
      <c r="K136" s="1575"/>
    </row>
    <row r="137" spans="1:11" ht="12.75" customHeight="1" x14ac:dyDescent="0.2">
      <c r="A137" s="427" t="s">
        <v>596</v>
      </c>
      <c r="B137" s="478">
        <v>3235</v>
      </c>
      <c r="C137" s="1598">
        <v>9450</v>
      </c>
      <c r="D137" s="1574">
        <v>0</v>
      </c>
      <c r="E137" s="1640"/>
      <c r="F137" s="1575"/>
      <c r="G137" s="1574">
        <v>0</v>
      </c>
      <c r="H137" s="1575"/>
      <c r="I137" s="1575"/>
      <c r="J137" s="1575"/>
      <c r="K137" s="1575"/>
    </row>
    <row r="138" spans="1:11" ht="12.75" customHeight="1" x14ac:dyDescent="0.2">
      <c r="A138" s="427" t="s">
        <v>597</v>
      </c>
      <c r="B138" s="478">
        <v>3240</v>
      </c>
      <c r="C138" s="1598">
        <v>0</v>
      </c>
      <c r="D138" s="1574">
        <v>0</v>
      </c>
      <c r="E138" s="1640"/>
      <c r="F138" s="1575"/>
      <c r="G138" s="1574">
        <v>0</v>
      </c>
      <c r="H138" s="1575"/>
      <c r="I138" s="1575"/>
      <c r="J138" s="1575"/>
      <c r="K138" s="1575"/>
    </row>
    <row r="139" spans="1:11" ht="12.75" customHeight="1" x14ac:dyDescent="0.2">
      <c r="A139" s="427" t="s">
        <v>598</v>
      </c>
      <c r="B139" s="478">
        <v>3270</v>
      </c>
      <c r="C139" s="1598">
        <v>0</v>
      </c>
      <c r="D139" s="1574">
        <v>0</v>
      </c>
      <c r="E139" s="1640"/>
      <c r="F139" s="1575"/>
      <c r="G139" s="1574">
        <v>0</v>
      </c>
      <c r="H139" s="1575"/>
      <c r="I139" s="1575"/>
      <c r="J139" s="1575"/>
      <c r="K139" s="1575"/>
    </row>
    <row r="140" spans="1:11" ht="12.75" customHeight="1" x14ac:dyDescent="0.2">
      <c r="A140" s="427" t="s">
        <v>67</v>
      </c>
      <c r="B140" s="478">
        <v>3299</v>
      </c>
      <c r="C140" s="1632">
        <v>0</v>
      </c>
      <c r="D140" s="1573">
        <v>0</v>
      </c>
      <c r="E140" s="1640"/>
      <c r="F140" s="1582"/>
      <c r="G140" s="1574">
        <v>0</v>
      </c>
      <c r="H140" s="1575"/>
      <c r="I140" s="1575"/>
      <c r="J140" s="1575"/>
      <c r="K140" s="1575"/>
    </row>
    <row r="141" spans="1:11" ht="12.75" customHeight="1" thickBot="1" x14ac:dyDescent="0.25">
      <c r="A141" s="1406" t="s">
        <v>599</v>
      </c>
      <c r="B141" s="1414"/>
      <c r="C141" s="1633">
        <f>SUM(C134:C140)</f>
        <v>44070</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v>0</v>
      </c>
      <c r="D143" s="1575"/>
      <c r="E143" s="1640"/>
      <c r="F143" s="1575"/>
      <c r="G143" s="1573">
        <v>0</v>
      </c>
      <c r="H143" s="1575"/>
      <c r="I143" s="1575"/>
      <c r="J143" s="1575"/>
      <c r="K143" s="1575"/>
    </row>
    <row r="144" spans="1:11" ht="12.75" customHeight="1" x14ac:dyDescent="0.2">
      <c r="A144" s="427" t="s">
        <v>344</v>
      </c>
      <c r="B144" s="478">
        <v>3310</v>
      </c>
      <c r="C144" s="1632">
        <v>0</v>
      </c>
      <c r="D144" s="1575"/>
      <c r="E144" s="1640"/>
      <c r="F144" s="1575"/>
      <c r="G144" s="1573">
        <v>0</v>
      </c>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v>2144</v>
      </c>
      <c r="D146" s="1647"/>
      <c r="E146" s="1609"/>
      <c r="F146" s="1575"/>
      <c r="G146" s="1648"/>
      <c r="H146" s="1575"/>
      <c r="I146" s="1575"/>
      <c r="J146" s="1575"/>
      <c r="K146" s="1575"/>
    </row>
    <row r="147" spans="1:11" ht="12.75" customHeight="1" thickBot="1" x14ac:dyDescent="0.25">
      <c r="A147" s="1269" t="s">
        <v>916</v>
      </c>
      <c r="B147" s="483">
        <v>3365</v>
      </c>
      <c r="C147" s="1649">
        <v>0</v>
      </c>
      <c r="D147" s="1628">
        <v>0</v>
      </c>
      <c r="E147" s="1640"/>
      <c r="F147" s="1575"/>
      <c r="G147" s="1628">
        <v>0</v>
      </c>
      <c r="H147" s="1575"/>
      <c r="I147" s="1575"/>
      <c r="J147" s="1575"/>
      <c r="K147" s="1575"/>
    </row>
    <row r="148" spans="1:11" ht="12.75" customHeight="1" thickTop="1" thickBot="1" x14ac:dyDescent="0.25">
      <c r="A148" s="1270" t="s">
        <v>137</v>
      </c>
      <c r="B148" s="484">
        <v>3370</v>
      </c>
      <c r="C148" s="1649">
        <v>13760</v>
      </c>
      <c r="D148" s="1649">
        <v>0</v>
      </c>
      <c r="E148" s="1609"/>
      <c r="F148" s="1575"/>
      <c r="G148" s="1575"/>
      <c r="H148" s="1575"/>
      <c r="I148" s="1575"/>
      <c r="J148" s="1575"/>
      <c r="K148" s="1575"/>
    </row>
    <row r="149" spans="1:11" ht="12.75" customHeight="1" thickTop="1" thickBot="1" x14ac:dyDescent="0.25">
      <c r="A149" s="1270" t="s">
        <v>762</v>
      </c>
      <c r="B149" s="484">
        <v>3410</v>
      </c>
      <c r="C149" s="1650">
        <v>0</v>
      </c>
      <c r="D149" s="1651">
        <v>0</v>
      </c>
      <c r="E149" s="1652">
        <v>0</v>
      </c>
      <c r="F149" s="1626">
        <v>0</v>
      </c>
      <c r="G149" s="1626">
        <v>0</v>
      </c>
      <c r="H149" s="1626">
        <v>0</v>
      </c>
      <c r="I149" s="1626"/>
      <c r="J149" s="1626">
        <v>0</v>
      </c>
      <c r="K149" s="1626">
        <v>0</v>
      </c>
    </row>
    <row r="150" spans="1:11" ht="12.75" customHeight="1" thickTop="1" thickBot="1" x14ac:dyDescent="0.25">
      <c r="A150" s="1270" t="s">
        <v>68</v>
      </c>
      <c r="B150" s="484">
        <v>3499</v>
      </c>
      <c r="C150" s="1650">
        <v>0</v>
      </c>
      <c r="D150" s="1651">
        <v>0</v>
      </c>
      <c r="E150" s="1628">
        <v>0</v>
      </c>
      <c r="F150" s="1628">
        <v>0</v>
      </c>
      <c r="G150" s="1628">
        <v>0</v>
      </c>
      <c r="H150" s="1628">
        <v>0</v>
      </c>
      <c r="I150" s="1628"/>
      <c r="J150" s="1628">
        <v>0</v>
      </c>
      <c r="K150" s="1628">
        <v>0</v>
      </c>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v>0</v>
      </c>
      <c r="D152" s="1573">
        <v>0</v>
      </c>
      <c r="E152" s="1640"/>
      <c r="F152" s="1573">
        <v>178362</v>
      </c>
      <c r="G152" s="1574">
        <v>0</v>
      </c>
      <c r="H152" s="1575"/>
      <c r="I152" s="1575"/>
      <c r="J152" s="1575"/>
      <c r="K152" s="1575"/>
    </row>
    <row r="153" spans="1:11" ht="12.75" customHeight="1" x14ac:dyDescent="0.2">
      <c r="A153" s="427" t="s">
        <v>1048</v>
      </c>
      <c r="B153" s="478">
        <v>3510</v>
      </c>
      <c r="C153" s="1632">
        <v>0</v>
      </c>
      <c r="D153" s="1573">
        <v>0</v>
      </c>
      <c r="E153" s="1640"/>
      <c r="F153" s="1573">
        <v>107811</v>
      </c>
      <c r="G153" s="1574">
        <v>0</v>
      </c>
      <c r="H153" s="1575"/>
      <c r="I153" s="1575"/>
      <c r="J153" s="1575"/>
      <c r="K153" s="1575"/>
    </row>
    <row r="154" spans="1:11" ht="12.75" customHeight="1" x14ac:dyDescent="0.2">
      <c r="A154" s="427" t="s">
        <v>69</v>
      </c>
      <c r="B154" s="478">
        <v>3599</v>
      </c>
      <c r="C154" s="1632">
        <v>0</v>
      </c>
      <c r="D154" s="1573">
        <v>0</v>
      </c>
      <c r="E154" s="1640"/>
      <c r="F154" s="1573">
        <v>0</v>
      </c>
      <c r="G154" s="1574">
        <v>0</v>
      </c>
      <c r="H154" s="1575"/>
      <c r="I154" s="1575"/>
      <c r="J154" s="1575"/>
      <c r="K154" s="1575"/>
    </row>
    <row r="155" spans="1:11" ht="12.75" customHeight="1" thickBot="1" x14ac:dyDescent="0.25">
      <c r="A155" s="1406" t="s">
        <v>94</v>
      </c>
      <c r="B155" s="1414"/>
      <c r="C155" s="1633">
        <f>SUM(C152:C154)</f>
        <v>0</v>
      </c>
      <c r="D155" s="1633">
        <f>SUM(D152:D154)</f>
        <v>0</v>
      </c>
      <c r="E155" s="1640"/>
      <c r="F155" s="1633">
        <f>SUM(F152:F154)</f>
        <v>286173</v>
      </c>
      <c r="G155" s="1633">
        <f>SUM(G152:G154)</f>
        <v>0</v>
      </c>
      <c r="H155" s="1575"/>
      <c r="I155" s="1575"/>
      <c r="J155" s="1575"/>
      <c r="K155" s="1575"/>
    </row>
    <row r="156" spans="1:11" ht="12.75" customHeight="1" thickTop="1" thickBot="1" x14ac:dyDescent="0.25">
      <c r="A156" s="1270" t="s">
        <v>377</v>
      </c>
      <c r="B156" s="484">
        <v>3610</v>
      </c>
      <c r="C156" s="1651">
        <v>0</v>
      </c>
      <c r="D156" s="1575"/>
      <c r="E156" s="1609"/>
      <c r="F156" s="1575"/>
      <c r="G156" s="1575"/>
      <c r="H156" s="1575"/>
      <c r="I156" s="1575"/>
      <c r="J156" s="1575"/>
      <c r="K156" s="1575"/>
    </row>
    <row r="157" spans="1:11" ht="12.75" customHeight="1" thickTop="1" thickBot="1" x14ac:dyDescent="0.25">
      <c r="A157" s="1270" t="s">
        <v>50</v>
      </c>
      <c r="B157" s="484">
        <v>3660</v>
      </c>
      <c r="C157" s="1649">
        <v>0</v>
      </c>
      <c r="D157" s="1653">
        <v>0</v>
      </c>
      <c r="E157" s="1640"/>
      <c r="F157" s="1653">
        <v>0</v>
      </c>
      <c r="G157" s="1653">
        <v>0</v>
      </c>
      <c r="H157" s="1575"/>
      <c r="I157" s="1575"/>
      <c r="J157" s="1575"/>
      <c r="K157" s="1575"/>
    </row>
    <row r="158" spans="1:11" ht="12.75" customHeight="1" thickTop="1" thickBot="1" x14ac:dyDescent="0.25">
      <c r="A158" s="1270" t="s">
        <v>993</v>
      </c>
      <c r="B158" s="484">
        <v>3695</v>
      </c>
      <c r="C158" s="1651">
        <v>0</v>
      </c>
      <c r="D158" s="1575"/>
      <c r="E158" s="1640"/>
      <c r="F158" s="1651">
        <v>0</v>
      </c>
      <c r="G158" s="1651">
        <v>0</v>
      </c>
      <c r="H158" s="1575"/>
      <c r="I158" s="1575"/>
      <c r="J158" s="1575"/>
      <c r="K158" s="1575"/>
    </row>
    <row r="159" spans="1:11" ht="12.75" customHeight="1" thickTop="1" thickBot="1" x14ac:dyDescent="0.25">
      <c r="A159" s="1270" t="s">
        <v>1042</v>
      </c>
      <c r="B159" s="484">
        <v>3705</v>
      </c>
      <c r="C159" s="1651">
        <v>0</v>
      </c>
      <c r="D159" s="1653">
        <v>0</v>
      </c>
      <c r="E159" s="1640"/>
      <c r="F159" s="1651">
        <v>0</v>
      </c>
      <c r="G159" s="1651">
        <v>0</v>
      </c>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v>0</v>
      </c>
      <c r="D162" s="1649">
        <v>0</v>
      </c>
      <c r="E162" s="1626">
        <v>0</v>
      </c>
      <c r="F162" s="1649">
        <v>0</v>
      </c>
      <c r="G162" s="1628">
        <v>0</v>
      </c>
      <c r="H162" s="1626">
        <v>0</v>
      </c>
      <c r="I162" s="1575"/>
      <c r="J162" s="1575"/>
      <c r="K162" s="1626">
        <v>0</v>
      </c>
    </row>
    <row r="163" spans="1:11" ht="12.75" customHeight="1" thickTop="1" thickBot="1" x14ac:dyDescent="0.25">
      <c r="A163" s="1270" t="s">
        <v>1432</v>
      </c>
      <c r="B163" s="484">
        <v>3780</v>
      </c>
      <c r="C163" s="1627">
        <v>0</v>
      </c>
      <c r="D163" s="1626">
        <v>0</v>
      </c>
      <c r="E163" s="1627">
        <v>0</v>
      </c>
      <c r="F163" s="1627">
        <v>0</v>
      </c>
      <c r="G163" s="1627">
        <v>0</v>
      </c>
      <c r="H163" s="1627">
        <v>0</v>
      </c>
      <c r="I163" s="1575"/>
      <c r="J163" s="1575"/>
      <c r="K163" s="1627">
        <v>0</v>
      </c>
    </row>
    <row r="164" spans="1:11" ht="12.75" customHeight="1" thickTop="1" thickBot="1" x14ac:dyDescent="0.25">
      <c r="A164" s="1270" t="s">
        <v>853</v>
      </c>
      <c r="B164" s="484">
        <v>3815</v>
      </c>
      <c r="C164" s="1651">
        <v>0</v>
      </c>
      <c r="D164" s="1575"/>
      <c r="E164" s="1640"/>
      <c r="F164" s="1651">
        <v>0</v>
      </c>
      <c r="G164" s="1575"/>
      <c r="H164" s="1575"/>
      <c r="I164" s="1575"/>
      <c r="J164" s="1575"/>
      <c r="K164" s="1575"/>
    </row>
    <row r="165" spans="1:11" ht="12.75" customHeight="1" thickTop="1" thickBot="1" x14ac:dyDescent="0.25">
      <c r="A165" s="1270" t="s">
        <v>394</v>
      </c>
      <c r="B165" s="484">
        <v>3825</v>
      </c>
      <c r="C165" s="1651">
        <v>0</v>
      </c>
      <c r="D165" s="1575"/>
      <c r="E165" s="1640"/>
      <c r="F165" s="1651">
        <v>0</v>
      </c>
      <c r="G165" s="1575"/>
      <c r="H165" s="1575"/>
      <c r="I165" s="1575"/>
      <c r="J165" s="1575"/>
      <c r="K165" s="1575"/>
    </row>
    <row r="166" spans="1:11" ht="12.75" customHeight="1" thickTop="1" thickBot="1" x14ac:dyDescent="0.25">
      <c r="A166" s="1270" t="s">
        <v>345</v>
      </c>
      <c r="B166" s="484">
        <v>3920</v>
      </c>
      <c r="C166" s="1645"/>
      <c r="D166" s="1653">
        <v>0</v>
      </c>
      <c r="E166" s="1575"/>
      <c r="F166" s="1645"/>
      <c r="G166" s="1575"/>
      <c r="H166" s="1626">
        <v>0</v>
      </c>
      <c r="I166" s="1575"/>
      <c r="J166" s="1575"/>
      <c r="K166" s="1575"/>
    </row>
    <row r="167" spans="1:11" ht="12.75" customHeight="1" thickTop="1" thickBot="1" x14ac:dyDescent="0.25">
      <c r="A167" s="1270" t="s">
        <v>346</v>
      </c>
      <c r="B167" s="484">
        <v>3925</v>
      </c>
      <c r="C167" s="1617"/>
      <c r="D167" s="1651">
        <v>50000</v>
      </c>
      <c r="E167" s="1617"/>
      <c r="F167" s="1617"/>
      <c r="G167" s="1575"/>
      <c r="H167" s="1627">
        <v>0</v>
      </c>
      <c r="I167" s="1575"/>
      <c r="J167" s="1575"/>
      <c r="K167" s="1626">
        <v>0</v>
      </c>
    </row>
    <row r="168" spans="1:11" ht="14.25" thickTop="1" thickBot="1" x14ac:dyDescent="0.25">
      <c r="A168" s="1270" t="s">
        <v>70</v>
      </c>
      <c r="B168" s="484">
        <v>3999</v>
      </c>
      <c r="C168" s="1654">
        <v>1885</v>
      </c>
      <c r="D168" s="1655">
        <v>0</v>
      </c>
      <c r="E168" s="1655">
        <v>0</v>
      </c>
      <c r="F168" s="1655">
        <v>0</v>
      </c>
      <c r="G168" s="1656">
        <v>0</v>
      </c>
      <c r="H168" s="1657">
        <v>0</v>
      </c>
      <c r="I168" s="1656">
        <v>0</v>
      </c>
      <c r="J168" s="1656">
        <v>0</v>
      </c>
      <c r="K168" s="1657">
        <v>0</v>
      </c>
    </row>
    <row r="169" spans="1:11" ht="12.75" customHeight="1" thickTop="1" thickBot="1" x14ac:dyDescent="0.25">
      <c r="A169" s="2334" t="s">
        <v>395</v>
      </c>
      <c r="B169" s="2335"/>
      <c r="C169" s="1658">
        <f t="shared" ref="C169:K169" si="6">SUM(C132,C141,C145,C146:C150,C155,C156:C167,C168)</f>
        <v>249797</v>
      </c>
      <c r="D169" s="1658">
        <f t="shared" si="6"/>
        <v>50000</v>
      </c>
      <c r="E169" s="1658">
        <f t="shared" si="6"/>
        <v>0</v>
      </c>
      <c r="F169" s="1658">
        <f t="shared" si="6"/>
        <v>286173</v>
      </c>
      <c r="G169" s="1658">
        <f t="shared" si="6"/>
        <v>0</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4065965</v>
      </c>
      <c r="D170" s="1641">
        <f t="shared" si="7"/>
        <v>50000</v>
      </c>
      <c r="E170" s="1641">
        <f t="shared" si="7"/>
        <v>0</v>
      </c>
      <c r="F170" s="1641">
        <f t="shared" si="7"/>
        <v>286173</v>
      </c>
      <c r="G170" s="1641">
        <f t="shared" si="7"/>
        <v>0</v>
      </c>
      <c r="H170" s="1641">
        <f t="shared" si="7"/>
        <v>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336" t="s">
        <v>1475</v>
      </c>
      <c r="B172" s="2337"/>
      <c r="C172" s="1616"/>
      <c r="D172" s="1616"/>
      <c r="E172" s="1609"/>
      <c r="F172" s="1575"/>
      <c r="G172" s="1575"/>
      <c r="H172" s="1575"/>
      <c r="I172" s="1575"/>
      <c r="J172" s="1575"/>
      <c r="K172" s="1575"/>
    </row>
    <row r="173" spans="1:11" ht="12.6" customHeight="1" x14ac:dyDescent="0.2">
      <c r="A173" s="436" t="s">
        <v>1035</v>
      </c>
      <c r="B173" s="435">
        <v>4001</v>
      </c>
      <c r="C173" s="1613">
        <v>0</v>
      </c>
      <c r="D173" s="1586">
        <v>0</v>
      </c>
      <c r="E173" s="1574">
        <v>0</v>
      </c>
      <c r="F173" s="1573">
        <v>0</v>
      </c>
      <c r="G173" s="1573">
        <v>0</v>
      </c>
      <c r="H173" s="1574">
        <v>0</v>
      </c>
      <c r="I173" s="1574"/>
      <c r="J173" s="1574">
        <v>0</v>
      </c>
      <c r="K173" s="1574">
        <v>0</v>
      </c>
    </row>
    <row r="174" spans="1:11" ht="22.5" x14ac:dyDescent="0.2">
      <c r="A174" s="479" t="s">
        <v>800</v>
      </c>
      <c r="B174" s="485">
        <v>4009</v>
      </c>
      <c r="C174" s="1632">
        <v>0</v>
      </c>
      <c r="D174" s="1573">
        <v>0</v>
      </c>
      <c r="E174" s="1574">
        <v>0</v>
      </c>
      <c r="F174" s="1573">
        <v>0</v>
      </c>
      <c r="G174" s="1573">
        <v>0</v>
      </c>
      <c r="H174" s="1574">
        <v>0</v>
      </c>
      <c r="I174" s="1574"/>
      <c r="J174" s="1574">
        <v>0</v>
      </c>
      <c r="K174" s="1574">
        <v>0</v>
      </c>
    </row>
    <row r="175" spans="1:11" ht="13.5" thickBot="1" x14ac:dyDescent="0.25">
      <c r="A175" s="2340" t="s">
        <v>1646</v>
      </c>
      <c r="B175" s="2341"/>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344" t="s">
        <v>1645</v>
      </c>
      <c r="B176" s="2345"/>
      <c r="C176" s="1659"/>
      <c r="D176" s="1660"/>
      <c r="E176" s="1661"/>
      <c r="F176" s="1662"/>
      <c r="G176" s="1662"/>
      <c r="H176" s="1662"/>
      <c r="I176" s="1662"/>
      <c r="J176" s="1662"/>
      <c r="K176" s="1662"/>
    </row>
    <row r="177" spans="1:11" ht="12.75" customHeight="1" x14ac:dyDescent="0.2">
      <c r="A177" s="427" t="s">
        <v>1036</v>
      </c>
      <c r="B177" s="429">
        <v>4045</v>
      </c>
      <c r="C177" s="1632">
        <v>0</v>
      </c>
      <c r="D177" s="1575"/>
      <c r="E177" s="1640"/>
      <c r="F177" s="1575"/>
      <c r="G177" s="1575"/>
      <c r="H177" s="1575"/>
      <c r="I177" s="1575"/>
      <c r="J177" s="1575"/>
      <c r="K177" s="1575"/>
    </row>
    <row r="178" spans="1:11" ht="12.75" customHeight="1" x14ac:dyDescent="0.2">
      <c r="A178" s="427" t="s">
        <v>1037</v>
      </c>
      <c r="B178" s="429">
        <v>4050</v>
      </c>
      <c r="C178" s="1632">
        <v>0</v>
      </c>
      <c r="D178" s="1574">
        <v>0</v>
      </c>
      <c r="E178" s="1640"/>
      <c r="F178" s="1575"/>
      <c r="G178" s="1575"/>
      <c r="H178" s="1574">
        <v>0</v>
      </c>
      <c r="I178" s="1575"/>
      <c r="J178" s="1575"/>
      <c r="K178" s="1575"/>
    </row>
    <row r="179" spans="1:11" ht="12.75" customHeight="1" x14ac:dyDescent="0.2">
      <c r="A179" s="427" t="s">
        <v>258</v>
      </c>
      <c r="B179" s="429">
        <v>4060</v>
      </c>
      <c r="C179" s="1613">
        <v>0</v>
      </c>
      <c r="D179" s="1573">
        <v>0</v>
      </c>
      <c r="E179" s="1575"/>
      <c r="F179" s="1573">
        <v>0</v>
      </c>
      <c r="G179" s="1573">
        <v>0</v>
      </c>
      <c r="H179" s="1573">
        <v>0</v>
      </c>
      <c r="I179" s="1575"/>
      <c r="J179" s="1575"/>
      <c r="K179" s="1617"/>
    </row>
    <row r="180" spans="1:11" ht="22.5" x14ac:dyDescent="0.2">
      <c r="A180" s="479" t="s">
        <v>781</v>
      </c>
      <c r="B180" s="485">
        <v>4090</v>
      </c>
      <c r="C180" s="1632">
        <v>0</v>
      </c>
      <c r="D180" s="1573">
        <v>0</v>
      </c>
      <c r="E180" s="1575"/>
      <c r="F180" s="1573">
        <v>0</v>
      </c>
      <c r="G180" s="1573">
        <v>0</v>
      </c>
      <c r="H180" s="1573">
        <v>0</v>
      </c>
      <c r="I180" s="1575"/>
      <c r="J180" s="1575"/>
      <c r="K180" s="1573">
        <v>0</v>
      </c>
    </row>
    <row r="181" spans="1:11" ht="13.5" thickBot="1" x14ac:dyDescent="0.25">
      <c r="A181" s="2342" t="s">
        <v>780</v>
      </c>
      <c r="B181" s="2343"/>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338" t="s">
        <v>1777</v>
      </c>
      <c r="B182" s="2339"/>
      <c r="C182" s="1663"/>
      <c r="D182" s="1645"/>
      <c r="E182" s="1609"/>
      <c r="F182" s="1645"/>
      <c r="G182" s="1645"/>
      <c r="H182" s="1575"/>
      <c r="I182" s="1575"/>
      <c r="J182" s="1575"/>
      <c r="K182" s="1575"/>
    </row>
    <row r="183" spans="1:11" ht="15.75" customHeight="1" x14ac:dyDescent="0.2">
      <c r="A183" s="1341" t="s">
        <v>1585</v>
      </c>
      <c r="B183" s="1342"/>
      <c r="C183" s="1643"/>
      <c r="D183" s="1617"/>
      <c r="E183" s="1609"/>
      <c r="F183" s="1617"/>
      <c r="G183" s="1617"/>
      <c r="H183" s="1575"/>
      <c r="I183" s="1575"/>
      <c r="J183" s="1575"/>
      <c r="K183" s="1575"/>
    </row>
    <row r="184" spans="1:11" ht="12.75" customHeight="1" x14ac:dyDescent="0.2">
      <c r="A184" s="427" t="s">
        <v>1586</v>
      </c>
      <c r="B184" s="429">
        <v>4100</v>
      </c>
      <c r="C184" s="1613">
        <v>0</v>
      </c>
      <c r="D184" s="1586">
        <v>0</v>
      </c>
      <c r="E184" s="1640"/>
      <c r="F184" s="1586">
        <v>0</v>
      </c>
      <c r="G184" s="1586">
        <v>0</v>
      </c>
      <c r="H184" s="1575"/>
      <c r="I184" s="1575"/>
      <c r="J184" s="1575"/>
      <c r="K184" s="1575"/>
    </row>
    <row r="185" spans="1:11" ht="12.75" customHeight="1" x14ac:dyDescent="0.2">
      <c r="A185" s="427" t="s">
        <v>1587</v>
      </c>
      <c r="B185" s="429">
        <v>4105</v>
      </c>
      <c r="C185" s="1632">
        <v>0</v>
      </c>
      <c r="D185" s="1573">
        <v>0</v>
      </c>
      <c r="E185" s="1640"/>
      <c r="F185" s="1573">
        <v>0</v>
      </c>
      <c r="G185" s="1573">
        <v>0</v>
      </c>
      <c r="H185" s="1575"/>
      <c r="I185" s="1575"/>
      <c r="J185" s="1575"/>
      <c r="K185" s="1575"/>
    </row>
    <row r="186" spans="1:11" ht="12.75" customHeight="1" x14ac:dyDescent="0.2">
      <c r="A186" s="427" t="s">
        <v>1589</v>
      </c>
      <c r="B186" s="429">
        <v>4107</v>
      </c>
      <c r="C186" s="1632">
        <v>0</v>
      </c>
      <c r="D186" s="1573">
        <v>0</v>
      </c>
      <c r="E186" s="1640"/>
      <c r="F186" s="1573">
        <v>0</v>
      </c>
      <c r="G186" s="1573">
        <v>0</v>
      </c>
      <c r="H186" s="1575"/>
      <c r="I186" s="1575"/>
      <c r="J186" s="1575"/>
      <c r="K186" s="1575"/>
    </row>
    <row r="187" spans="1:11" ht="12.75" customHeight="1" x14ac:dyDescent="0.2">
      <c r="A187" s="427" t="s">
        <v>1588</v>
      </c>
      <c r="B187" s="429">
        <v>4199</v>
      </c>
      <c r="C187" s="1632">
        <v>0</v>
      </c>
      <c r="D187" s="1573">
        <v>0</v>
      </c>
      <c r="E187" s="1640"/>
      <c r="F187" s="1573">
        <v>0</v>
      </c>
      <c r="G187" s="1573">
        <v>0</v>
      </c>
      <c r="H187" s="1575"/>
      <c r="I187" s="1575"/>
      <c r="J187" s="1575"/>
      <c r="K187" s="1575"/>
    </row>
    <row r="188" spans="1:11" ht="12.75" customHeight="1" thickBot="1" x14ac:dyDescent="0.2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v>0</v>
      </c>
      <c r="D190" s="1575"/>
      <c r="E190" s="1640"/>
      <c r="F190" s="1634"/>
      <c r="G190" s="1664">
        <v>0</v>
      </c>
      <c r="H190" s="1575"/>
      <c r="I190" s="1575"/>
      <c r="J190" s="1575"/>
      <c r="K190" s="1575"/>
    </row>
    <row r="191" spans="1:11" ht="12.75" customHeight="1" x14ac:dyDescent="0.2">
      <c r="A191" s="427" t="s">
        <v>1049</v>
      </c>
      <c r="B191" s="429">
        <v>4210</v>
      </c>
      <c r="C191" s="1573">
        <v>143588</v>
      </c>
      <c r="D191" s="1575"/>
      <c r="E191" s="1640"/>
      <c r="F191" s="1575"/>
      <c r="G191" s="1664">
        <v>0</v>
      </c>
      <c r="H191" s="1575"/>
      <c r="I191" s="1575"/>
      <c r="J191" s="1575"/>
      <c r="K191" s="1575"/>
    </row>
    <row r="192" spans="1:11" ht="12.75" customHeight="1" x14ac:dyDescent="0.2">
      <c r="A192" s="427" t="s">
        <v>1038</v>
      </c>
      <c r="B192" s="429">
        <v>4215</v>
      </c>
      <c r="C192" s="1632">
        <v>0</v>
      </c>
      <c r="D192" s="1575"/>
      <c r="E192" s="1640"/>
      <c r="F192" s="1575"/>
      <c r="G192" s="1664">
        <v>0</v>
      </c>
      <c r="H192" s="1575"/>
      <c r="I192" s="1575"/>
      <c r="J192" s="1575"/>
      <c r="K192" s="1575"/>
    </row>
    <row r="193" spans="1:11" ht="12.75" customHeight="1" x14ac:dyDescent="0.2">
      <c r="A193" s="427" t="s">
        <v>1050</v>
      </c>
      <c r="B193" s="429">
        <v>4220</v>
      </c>
      <c r="C193" s="1632">
        <v>22745</v>
      </c>
      <c r="D193" s="1575"/>
      <c r="E193" s="1640"/>
      <c r="F193" s="1575"/>
      <c r="G193" s="1664">
        <v>0</v>
      </c>
      <c r="H193" s="1575"/>
      <c r="I193" s="1575"/>
      <c r="J193" s="1575"/>
      <c r="K193" s="1575"/>
    </row>
    <row r="194" spans="1:11" ht="12.75" customHeight="1" x14ac:dyDescent="0.2">
      <c r="A194" s="427" t="s">
        <v>1434</v>
      </c>
      <c r="B194" s="429">
        <v>4225</v>
      </c>
      <c r="C194" s="1632">
        <v>17134</v>
      </c>
      <c r="D194" s="1575"/>
      <c r="E194" s="1640"/>
      <c r="F194" s="1575"/>
      <c r="G194" s="1664">
        <v>0</v>
      </c>
      <c r="H194" s="1575"/>
      <c r="I194" s="1575"/>
      <c r="J194" s="1575"/>
      <c r="K194" s="1575"/>
    </row>
    <row r="195" spans="1:11" ht="12.75" customHeight="1" x14ac:dyDescent="0.2">
      <c r="A195" s="427" t="s">
        <v>1435</v>
      </c>
      <c r="B195" s="429">
        <v>4226</v>
      </c>
      <c r="C195" s="1632">
        <v>0</v>
      </c>
      <c r="D195" s="1575"/>
      <c r="E195" s="1640"/>
      <c r="F195" s="1575"/>
      <c r="G195" s="1664">
        <v>0</v>
      </c>
      <c r="H195" s="1575"/>
      <c r="I195" s="1575"/>
      <c r="J195" s="1575"/>
      <c r="K195" s="1575"/>
    </row>
    <row r="196" spans="1:11" ht="12.75" customHeight="1" x14ac:dyDescent="0.2">
      <c r="A196" s="427" t="s">
        <v>787</v>
      </c>
      <c r="B196" s="429">
        <v>4240</v>
      </c>
      <c r="C196" s="1598">
        <v>0</v>
      </c>
      <c r="D196" s="1575"/>
      <c r="E196" s="1640"/>
      <c r="F196" s="1575"/>
      <c r="G196" s="1665"/>
      <c r="H196" s="1575"/>
      <c r="I196" s="1575"/>
      <c r="J196" s="1575"/>
      <c r="K196" s="1575"/>
    </row>
    <row r="197" spans="1:11" ht="12.75" customHeight="1" x14ac:dyDescent="0.2">
      <c r="A197" s="427" t="s">
        <v>71</v>
      </c>
      <c r="B197" s="429">
        <v>4299</v>
      </c>
      <c r="C197" s="1632">
        <v>0</v>
      </c>
      <c r="D197" s="1575"/>
      <c r="E197" s="1640"/>
      <c r="F197" s="1575"/>
      <c r="G197" s="1664">
        <v>0</v>
      </c>
      <c r="H197" s="1575"/>
      <c r="I197" s="1575"/>
      <c r="J197" s="1575"/>
      <c r="K197" s="1575"/>
    </row>
    <row r="198" spans="1:11" ht="12.75" customHeight="1" thickBot="1" x14ac:dyDescent="0.25">
      <c r="A198" s="1406" t="s">
        <v>544</v>
      </c>
      <c r="B198" s="1407"/>
      <c r="C198" s="1594">
        <f>SUM(C190:C197)</f>
        <v>183467</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v>148815</v>
      </c>
      <c r="D200" s="1573">
        <v>0</v>
      </c>
      <c r="E200" s="1575"/>
      <c r="F200" s="1573">
        <v>0</v>
      </c>
      <c r="G200" s="1573">
        <v>0</v>
      </c>
      <c r="H200" s="1575"/>
      <c r="I200" s="1575"/>
      <c r="J200" s="1575"/>
      <c r="K200" s="1575"/>
    </row>
    <row r="201" spans="1:11" ht="12.75" customHeight="1" x14ac:dyDescent="0.2">
      <c r="A201" s="427" t="s">
        <v>913</v>
      </c>
      <c r="B201" s="429">
        <v>4305</v>
      </c>
      <c r="C201" s="1632">
        <v>0</v>
      </c>
      <c r="D201" s="1573">
        <v>0</v>
      </c>
      <c r="E201" s="1575"/>
      <c r="F201" s="1573">
        <v>0</v>
      </c>
      <c r="G201" s="1573">
        <v>0</v>
      </c>
      <c r="H201" s="1575"/>
      <c r="I201" s="1575"/>
      <c r="J201" s="1575"/>
      <c r="K201" s="1575"/>
    </row>
    <row r="202" spans="1:11" ht="12.75" customHeight="1" x14ac:dyDescent="0.2">
      <c r="A202" s="427" t="s">
        <v>1024</v>
      </c>
      <c r="B202" s="429">
        <v>4340</v>
      </c>
      <c r="C202" s="1632">
        <v>0</v>
      </c>
      <c r="D202" s="1573">
        <v>0</v>
      </c>
      <c r="E202" s="1575"/>
      <c r="F202" s="1573">
        <v>0</v>
      </c>
      <c r="G202" s="1573">
        <v>0</v>
      </c>
      <c r="H202" s="1575"/>
      <c r="I202" s="1575"/>
      <c r="J202" s="1575"/>
      <c r="K202" s="1575"/>
    </row>
    <row r="203" spans="1:11" ht="12.75" customHeight="1" x14ac:dyDescent="0.2">
      <c r="A203" s="427" t="s">
        <v>72</v>
      </c>
      <c r="B203" s="429">
        <v>4399</v>
      </c>
      <c r="C203" s="1632">
        <v>0</v>
      </c>
      <c r="D203" s="1573">
        <v>0</v>
      </c>
      <c r="E203" s="1575"/>
      <c r="F203" s="1573">
        <v>0</v>
      </c>
      <c r="G203" s="1573">
        <v>0</v>
      </c>
      <c r="H203" s="1575"/>
      <c r="I203" s="1575"/>
      <c r="J203" s="1575"/>
      <c r="K203" s="1575"/>
    </row>
    <row r="204" spans="1:11" ht="12.75" customHeight="1" thickBot="1" x14ac:dyDescent="0.25">
      <c r="A204" s="1406" t="s">
        <v>397</v>
      </c>
      <c r="B204" s="1407"/>
      <c r="C204" s="1633">
        <f>SUM(C200:C203)</f>
        <v>148815</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v>0</v>
      </c>
      <c r="D206" s="1573">
        <v>0</v>
      </c>
      <c r="E206" s="1575"/>
      <c r="F206" s="1573">
        <v>0</v>
      </c>
      <c r="G206" s="1573">
        <v>0</v>
      </c>
      <c r="H206" s="1575"/>
      <c r="I206" s="1575"/>
      <c r="J206" s="1575"/>
      <c r="K206" s="1575"/>
    </row>
    <row r="207" spans="1:11" ht="12.75" customHeight="1" x14ac:dyDescent="0.2">
      <c r="A207" s="427" t="s">
        <v>1436</v>
      </c>
      <c r="B207" s="429">
        <v>4421</v>
      </c>
      <c r="C207" s="1632">
        <v>0</v>
      </c>
      <c r="D207" s="1573">
        <v>0</v>
      </c>
      <c r="E207" s="1575"/>
      <c r="F207" s="1573">
        <v>0</v>
      </c>
      <c r="G207" s="1573">
        <v>0</v>
      </c>
      <c r="H207" s="1575"/>
      <c r="I207" s="1575"/>
      <c r="J207" s="1575"/>
      <c r="K207" s="1575"/>
    </row>
    <row r="208" spans="1:11" ht="12.75" customHeight="1" x14ac:dyDescent="0.2">
      <c r="A208" s="427" t="s">
        <v>73</v>
      </c>
      <c r="B208" s="429">
        <v>4499</v>
      </c>
      <c r="C208" s="1632">
        <v>0</v>
      </c>
      <c r="D208" s="1573">
        <v>0</v>
      </c>
      <c r="E208" s="1575"/>
      <c r="F208" s="1573">
        <v>0</v>
      </c>
      <c r="G208" s="1573">
        <v>0</v>
      </c>
      <c r="H208" s="1575"/>
      <c r="I208" s="1575"/>
      <c r="J208" s="1575"/>
      <c r="K208" s="1575"/>
    </row>
    <row r="209" spans="1:11" ht="12.75" customHeight="1" thickBot="1" x14ac:dyDescent="0.25">
      <c r="A209" s="1406" t="s">
        <v>883</v>
      </c>
      <c r="B209" s="1407"/>
      <c r="C209" s="1633">
        <f>SUM(C206:C208)</f>
        <v>0</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v>21559</v>
      </c>
      <c r="D211" s="1573">
        <v>0</v>
      </c>
      <c r="E211" s="1575"/>
      <c r="F211" s="1573">
        <v>0</v>
      </c>
      <c r="G211" s="1573">
        <v>0</v>
      </c>
      <c r="H211" s="1575"/>
      <c r="I211" s="1575"/>
      <c r="J211" s="1575"/>
      <c r="K211" s="1575"/>
    </row>
    <row r="212" spans="1:11" ht="12.75" customHeight="1" x14ac:dyDescent="0.2">
      <c r="A212" s="427" t="s">
        <v>1044</v>
      </c>
      <c r="B212" s="429">
        <v>4605</v>
      </c>
      <c r="C212" s="1632">
        <v>0</v>
      </c>
      <c r="D212" s="1573">
        <v>0</v>
      </c>
      <c r="E212" s="1575"/>
      <c r="F212" s="1573">
        <v>0</v>
      </c>
      <c r="G212" s="1573">
        <v>0</v>
      </c>
      <c r="H212" s="1575"/>
      <c r="I212" s="1575"/>
      <c r="J212" s="1575"/>
      <c r="K212" s="1575"/>
    </row>
    <row r="213" spans="1:11" ht="12.75" customHeight="1" x14ac:dyDescent="0.2">
      <c r="A213" s="427" t="s">
        <v>1437</v>
      </c>
      <c r="B213" s="475">
        <v>4620</v>
      </c>
      <c r="C213" s="1632">
        <v>358673</v>
      </c>
      <c r="D213" s="1573">
        <v>0</v>
      </c>
      <c r="E213" s="1575"/>
      <c r="F213" s="1573">
        <v>0</v>
      </c>
      <c r="G213" s="1573">
        <v>0</v>
      </c>
      <c r="H213" s="1575"/>
      <c r="I213" s="1575"/>
      <c r="J213" s="1575"/>
      <c r="K213" s="1575"/>
    </row>
    <row r="214" spans="1:11" ht="12.75" customHeight="1" x14ac:dyDescent="0.2">
      <c r="A214" s="427" t="s">
        <v>1045</v>
      </c>
      <c r="B214" s="429">
        <v>4625</v>
      </c>
      <c r="C214" s="1632">
        <v>0</v>
      </c>
      <c r="D214" s="1573">
        <v>0</v>
      </c>
      <c r="E214" s="1575"/>
      <c r="F214" s="1573">
        <v>0</v>
      </c>
      <c r="G214" s="1573">
        <v>0</v>
      </c>
      <c r="H214" s="1575"/>
      <c r="I214" s="1575"/>
      <c r="J214" s="1575"/>
      <c r="K214" s="1575"/>
    </row>
    <row r="215" spans="1:11" ht="12.75" customHeight="1" x14ac:dyDescent="0.2">
      <c r="A215" s="427" t="s">
        <v>1046</v>
      </c>
      <c r="B215" s="429">
        <v>4630</v>
      </c>
      <c r="C215" s="1632">
        <v>0</v>
      </c>
      <c r="D215" s="1573">
        <v>0</v>
      </c>
      <c r="E215" s="1575"/>
      <c r="F215" s="1573">
        <v>0</v>
      </c>
      <c r="G215" s="1573">
        <v>0</v>
      </c>
      <c r="H215" s="1575"/>
      <c r="I215" s="1575"/>
      <c r="J215" s="1575"/>
      <c r="K215" s="1575"/>
    </row>
    <row r="216" spans="1:11" ht="12.75" customHeight="1" x14ac:dyDescent="0.2">
      <c r="A216" s="1271" t="s">
        <v>74</v>
      </c>
      <c r="B216" s="475">
        <v>4699</v>
      </c>
      <c r="C216" s="1632">
        <v>0</v>
      </c>
      <c r="D216" s="1573">
        <v>0</v>
      </c>
      <c r="E216" s="1575"/>
      <c r="F216" s="1573">
        <v>0</v>
      </c>
      <c r="G216" s="1573">
        <v>0</v>
      </c>
      <c r="H216" s="1575"/>
      <c r="I216" s="1575"/>
      <c r="J216" s="1575"/>
      <c r="K216" s="1575"/>
    </row>
    <row r="217" spans="1:11" ht="12.75" customHeight="1" thickBot="1" x14ac:dyDescent="0.25">
      <c r="A217" s="1406" t="s">
        <v>444</v>
      </c>
      <c r="B217" s="1407"/>
      <c r="C217" s="1633">
        <f>SUM(C211:C216)</f>
        <v>380232</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v>0</v>
      </c>
      <c r="D219" s="1573">
        <v>0</v>
      </c>
      <c r="E219" s="1575"/>
      <c r="F219" s="1575"/>
      <c r="G219" s="1573">
        <v>0</v>
      </c>
      <c r="H219" s="1575"/>
      <c r="I219" s="1575"/>
      <c r="J219" s="1575"/>
      <c r="K219" s="1575"/>
    </row>
    <row r="220" spans="1:11" ht="12.75" customHeight="1" x14ac:dyDescent="0.2">
      <c r="A220" s="427" t="s">
        <v>67</v>
      </c>
      <c r="B220" s="429">
        <v>4799</v>
      </c>
      <c r="C220" s="1632">
        <v>0</v>
      </c>
      <c r="D220" s="1573">
        <v>0</v>
      </c>
      <c r="E220" s="1575"/>
      <c r="F220" s="1575"/>
      <c r="G220" s="1573">
        <v>0</v>
      </c>
      <c r="H220" s="1575"/>
      <c r="I220" s="1575"/>
      <c r="J220" s="1575"/>
      <c r="K220" s="1575"/>
    </row>
    <row r="221" spans="1:11" ht="12.75" customHeight="1" thickBot="1" x14ac:dyDescent="0.25">
      <c r="A221" s="1415" t="s">
        <v>1076</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v>0</v>
      </c>
      <c r="D222" s="1651">
        <v>0</v>
      </c>
      <c r="E222" s="1575"/>
      <c r="F222" s="1575"/>
      <c r="G222" s="1651">
        <v>0</v>
      </c>
      <c r="H222" s="1575"/>
      <c r="I222" s="1575"/>
      <c r="J222" s="1575"/>
      <c r="K222" s="1575"/>
    </row>
    <row r="223" spans="1:11" ht="12.75" customHeight="1" thickTop="1" x14ac:dyDescent="0.2">
      <c r="A223" s="436" t="s">
        <v>347</v>
      </c>
      <c r="B223" s="435">
        <v>4850</v>
      </c>
      <c r="C223" s="1598">
        <v>0</v>
      </c>
      <c r="D223" s="1574">
        <v>0</v>
      </c>
      <c r="E223" s="1574"/>
      <c r="F223" s="1574">
        <v>0</v>
      </c>
      <c r="G223" s="1574">
        <v>0</v>
      </c>
      <c r="H223" s="1574">
        <v>0</v>
      </c>
      <c r="I223" s="1575"/>
      <c r="J223" s="1574"/>
      <c r="K223" s="1574"/>
    </row>
    <row r="224" spans="1:11" ht="12.75" customHeight="1" x14ac:dyDescent="0.2">
      <c r="A224" s="436" t="s">
        <v>348</v>
      </c>
      <c r="B224" s="435">
        <v>4851</v>
      </c>
      <c r="C224" s="1598">
        <v>0</v>
      </c>
      <c r="D224" s="1574">
        <v>0</v>
      </c>
      <c r="E224" s="1575"/>
      <c r="F224" s="1579">
        <v>0</v>
      </c>
      <c r="G224" s="1574">
        <v>0</v>
      </c>
      <c r="H224" s="1575"/>
      <c r="I224" s="1575"/>
      <c r="J224" s="1575"/>
      <c r="K224" s="1575"/>
    </row>
    <row r="225" spans="1:11" ht="12.75" customHeight="1" x14ac:dyDescent="0.2">
      <c r="A225" s="436" t="s">
        <v>349</v>
      </c>
      <c r="B225" s="435">
        <v>4852</v>
      </c>
      <c r="C225" s="1598">
        <v>0</v>
      </c>
      <c r="D225" s="1574">
        <v>0</v>
      </c>
      <c r="E225" s="1574"/>
      <c r="F225" s="1574">
        <v>0</v>
      </c>
      <c r="G225" s="1574">
        <v>0</v>
      </c>
      <c r="H225" s="1574">
        <v>0</v>
      </c>
      <c r="I225" s="1575"/>
      <c r="J225" s="1574"/>
      <c r="K225" s="1574"/>
    </row>
    <row r="226" spans="1:11" ht="12.75" customHeight="1" x14ac:dyDescent="0.2">
      <c r="A226" s="436" t="s">
        <v>350</v>
      </c>
      <c r="B226" s="435">
        <v>4853</v>
      </c>
      <c r="C226" s="1598">
        <v>0</v>
      </c>
      <c r="D226" s="1574">
        <v>0</v>
      </c>
      <c r="E226" s="1574"/>
      <c r="F226" s="1574">
        <v>0</v>
      </c>
      <c r="G226" s="1574">
        <v>0</v>
      </c>
      <c r="H226" s="1574">
        <v>0</v>
      </c>
      <c r="I226" s="1575"/>
      <c r="J226" s="1574"/>
      <c r="K226" s="1574"/>
    </row>
    <row r="227" spans="1:11" ht="12.75" customHeight="1" x14ac:dyDescent="0.2">
      <c r="A227" s="436" t="s">
        <v>351</v>
      </c>
      <c r="B227" s="435">
        <v>4854</v>
      </c>
      <c r="C227" s="1598">
        <v>0</v>
      </c>
      <c r="D227" s="1574">
        <v>0</v>
      </c>
      <c r="E227" s="1574"/>
      <c r="F227" s="1574">
        <v>0</v>
      </c>
      <c r="G227" s="1574">
        <v>0</v>
      </c>
      <c r="H227" s="1574">
        <v>0</v>
      </c>
      <c r="I227" s="1575"/>
      <c r="J227" s="1574"/>
      <c r="K227" s="1574"/>
    </row>
    <row r="228" spans="1:11" ht="12.75" customHeight="1" x14ac:dyDescent="0.2">
      <c r="A228" s="436" t="s">
        <v>461</v>
      </c>
      <c r="B228" s="435">
        <v>4855</v>
      </c>
      <c r="C228" s="1598">
        <v>0</v>
      </c>
      <c r="D228" s="1574">
        <v>0</v>
      </c>
      <c r="E228" s="1574"/>
      <c r="F228" s="1574">
        <v>0</v>
      </c>
      <c r="G228" s="1574">
        <v>0</v>
      </c>
      <c r="H228" s="1574">
        <v>0</v>
      </c>
      <c r="I228" s="1575"/>
      <c r="J228" s="1574"/>
      <c r="K228" s="1574"/>
    </row>
    <row r="229" spans="1:11" ht="12.75" customHeight="1" x14ac:dyDescent="0.2">
      <c r="A229" s="436" t="s">
        <v>352</v>
      </c>
      <c r="B229" s="435">
        <v>4856</v>
      </c>
      <c r="C229" s="1598">
        <v>0</v>
      </c>
      <c r="D229" s="1574">
        <v>0</v>
      </c>
      <c r="E229" s="1574"/>
      <c r="F229" s="1574">
        <v>0</v>
      </c>
      <c r="G229" s="1574">
        <v>0</v>
      </c>
      <c r="H229" s="1574">
        <v>0</v>
      </c>
      <c r="I229" s="1575"/>
      <c r="J229" s="1574"/>
      <c r="K229" s="1574"/>
    </row>
    <row r="230" spans="1:11" ht="12.75" customHeight="1" x14ac:dyDescent="0.2">
      <c r="A230" s="436" t="s">
        <v>353</v>
      </c>
      <c r="B230" s="435">
        <v>4857</v>
      </c>
      <c r="C230" s="1598">
        <v>0</v>
      </c>
      <c r="D230" s="1574">
        <v>0</v>
      </c>
      <c r="E230" s="1574"/>
      <c r="F230" s="1574">
        <v>0</v>
      </c>
      <c r="G230" s="1574">
        <v>0</v>
      </c>
      <c r="H230" s="1574">
        <v>0</v>
      </c>
      <c r="I230" s="1575"/>
      <c r="J230" s="1574"/>
      <c r="K230" s="1574"/>
    </row>
    <row r="231" spans="1:11" ht="12.75" customHeight="1" x14ac:dyDescent="0.2">
      <c r="A231" s="436" t="s">
        <v>354</v>
      </c>
      <c r="B231" s="435">
        <v>4860</v>
      </c>
      <c r="C231" s="1598">
        <v>0</v>
      </c>
      <c r="D231" s="1574">
        <v>0</v>
      </c>
      <c r="E231" s="1574"/>
      <c r="F231" s="1574">
        <v>0</v>
      </c>
      <c r="G231" s="1574">
        <v>0</v>
      </c>
      <c r="H231" s="1574">
        <v>0</v>
      </c>
      <c r="I231" s="1575"/>
      <c r="J231" s="1574"/>
      <c r="K231" s="1574"/>
    </row>
    <row r="232" spans="1:11" ht="12.75" customHeight="1" x14ac:dyDescent="0.2">
      <c r="A232" s="436" t="s">
        <v>355</v>
      </c>
      <c r="B232" s="435">
        <v>4861</v>
      </c>
      <c r="C232" s="1598">
        <v>0</v>
      </c>
      <c r="D232" s="1574">
        <v>0</v>
      </c>
      <c r="E232" s="1574"/>
      <c r="F232" s="1574">
        <v>0</v>
      </c>
      <c r="G232" s="1574">
        <v>0</v>
      </c>
      <c r="H232" s="1574">
        <v>0</v>
      </c>
      <c r="I232" s="1575"/>
      <c r="J232" s="1574"/>
      <c r="K232" s="1574"/>
    </row>
    <row r="233" spans="1:11" ht="12.75" customHeight="1" x14ac:dyDescent="0.2">
      <c r="A233" s="436" t="s">
        <v>356</v>
      </c>
      <c r="B233" s="435">
        <v>4862</v>
      </c>
      <c r="C233" s="1598">
        <v>0</v>
      </c>
      <c r="D233" s="1574">
        <v>0</v>
      </c>
      <c r="E233" s="1580"/>
      <c r="F233" s="1574">
        <v>0</v>
      </c>
      <c r="G233" s="1574">
        <v>0</v>
      </c>
      <c r="H233" s="1580"/>
      <c r="I233" s="1575"/>
      <c r="J233" s="1580"/>
      <c r="K233" s="1580"/>
    </row>
    <row r="234" spans="1:11" ht="12.75" customHeight="1" x14ac:dyDescent="0.2">
      <c r="A234" s="436" t="s">
        <v>357</v>
      </c>
      <c r="B234" s="435">
        <v>4863</v>
      </c>
      <c r="C234" s="1598">
        <v>0</v>
      </c>
      <c r="D234" s="1574">
        <v>0</v>
      </c>
      <c r="E234" s="1575"/>
      <c r="F234" s="1580"/>
      <c r="G234" s="1623"/>
      <c r="H234" s="1575"/>
      <c r="I234" s="1575"/>
      <c r="J234" s="1575"/>
      <c r="K234" s="1575"/>
    </row>
    <row r="235" spans="1:11" ht="12.75" customHeight="1" x14ac:dyDescent="0.2">
      <c r="A235" s="436" t="s">
        <v>466</v>
      </c>
      <c r="B235" s="435">
        <v>4864</v>
      </c>
      <c r="C235" s="1598">
        <v>0</v>
      </c>
      <c r="D235" s="1574">
        <v>0</v>
      </c>
      <c r="E235" s="1574"/>
      <c r="F235" s="1574">
        <v>0</v>
      </c>
      <c r="G235" s="1574">
        <v>0</v>
      </c>
      <c r="H235" s="1574">
        <v>0</v>
      </c>
      <c r="I235" s="1575"/>
      <c r="J235" s="1574"/>
      <c r="K235" s="1574"/>
    </row>
    <row r="236" spans="1:11" ht="12.75" customHeight="1" x14ac:dyDescent="0.2">
      <c r="A236" s="436" t="s">
        <v>467</v>
      </c>
      <c r="B236" s="435">
        <v>4865</v>
      </c>
      <c r="C236" s="1598">
        <v>0</v>
      </c>
      <c r="D236" s="1574">
        <v>0</v>
      </c>
      <c r="E236" s="1574"/>
      <c r="F236" s="1574">
        <v>0</v>
      </c>
      <c r="G236" s="1574">
        <v>0</v>
      </c>
      <c r="H236" s="1574">
        <v>0</v>
      </c>
      <c r="I236" s="1575"/>
      <c r="J236" s="1574"/>
      <c r="K236" s="1574"/>
    </row>
    <row r="237" spans="1:11" ht="12.75" customHeight="1" x14ac:dyDescent="0.2">
      <c r="A237" s="436" t="s">
        <v>465</v>
      </c>
      <c r="B237" s="435">
        <v>4866</v>
      </c>
      <c r="C237" s="1598">
        <v>0</v>
      </c>
      <c r="D237" s="1574">
        <v>0</v>
      </c>
      <c r="E237" s="1574">
        <v>0</v>
      </c>
      <c r="F237" s="1574">
        <v>0</v>
      </c>
      <c r="G237" s="1574">
        <v>0</v>
      </c>
      <c r="H237" s="1574">
        <v>0</v>
      </c>
      <c r="I237" s="1575"/>
      <c r="J237" s="1574"/>
      <c r="K237" s="1574"/>
    </row>
    <row r="238" spans="1:11" ht="12.75" customHeight="1" x14ac:dyDescent="0.2">
      <c r="A238" s="436" t="s">
        <v>464</v>
      </c>
      <c r="B238" s="435">
        <v>4867</v>
      </c>
      <c r="C238" s="1598">
        <v>0</v>
      </c>
      <c r="D238" s="1574">
        <v>0</v>
      </c>
      <c r="E238" s="1574">
        <v>0</v>
      </c>
      <c r="F238" s="1574">
        <v>0</v>
      </c>
      <c r="G238" s="1574">
        <v>0</v>
      </c>
      <c r="H238" s="1574">
        <v>0</v>
      </c>
      <c r="I238" s="1575"/>
      <c r="J238" s="1574"/>
      <c r="K238" s="1574"/>
    </row>
    <row r="239" spans="1:11" ht="12.75" customHeight="1" x14ac:dyDescent="0.2">
      <c r="A239" s="436" t="s">
        <v>463</v>
      </c>
      <c r="B239" s="435">
        <v>4868</v>
      </c>
      <c r="C239" s="1598">
        <v>0</v>
      </c>
      <c r="D239" s="1574">
        <v>0</v>
      </c>
      <c r="E239" s="1574">
        <v>0</v>
      </c>
      <c r="F239" s="1574">
        <v>0</v>
      </c>
      <c r="G239" s="1574">
        <v>0</v>
      </c>
      <c r="H239" s="1574">
        <v>0</v>
      </c>
      <c r="I239" s="1575"/>
      <c r="J239" s="1574"/>
      <c r="K239" s="1574"/>
    </row>
    <row r="240" spans="1:11" ht="12.75" customHeight="1" x14ac:dyDescent="0.2">
      <c r="A240" s="436" t="s">
        <v>462</v>
      </c>
      <c r="B240" s="435">
        <v>4869</v>
      </c>
      <c r="C240" s="1598">
        <v>0</v>
      </c>
      <c r="D240" s="1574">
        <v>0</v>
      </c>
      <c r="E240" s="1574">
        <v>0</v>
      </c>
      <c r="F240" s="1574">
        <v>0</v>
      </c>
      <c r="G240" s="1574">
        <v>0</v>
      </c>
      <c r="H240" s="1574">
        <v>0</v>
      </c>
      <c r="I240" s="1575"/>
      <c r="J240" s="1574"/>
      <c r="K240" s="1574"/>
    </row>
    <row r="241" spans="1:11" ht="12.75" customHeight="1" x14ac:dyDescent="0.2">
      <c r="A241" s="436" t="s">
        <v>1118</v>
      </c>
      <c r="B241" s="435">
        <v>4870</v>
      </c>
      <c r="C241" s="1598">
        <v>0</v>
      </c>
      <c r="D241" s="1574">
        <v>0</v>
      </c>
      <c r="E241" s="1574"/>
      <c r="F241" s="1574">
        <v>0</v>
      </c>
      <c r="G241" s="1574">
        <v>0</v>
      </c>
      <c r="H241" s="1574">
        <v>0</v>
      </c>
      <c r="I241" s="1575"/>
      <c r="J241" s="1574"/>
      <c r="K241" s="1574"/>
    </row>
    <row r="242" spans="1:11" ht="12.75" customHeight="1" x14ac:dyDescent="0.2">
      <c r="A242" s="436" t="s">
        <v>783</v>
      </c>
      <c r="B242" s="435">
        <v>4871</v>
      </c>
      <c r="C242" s="1598">
        <v>0</v>
      </c>
      <c r="D242" s="1574">
        <v>0</v>
      </c>
      <c r="E242" s="1574"/>
      <c r="F242" s="1574">
        <v>0</v>
      </c>
      <c r="G242" s="1574">
        <v>0</v>
      </c>
      <c r="H242" s="1574">
        <v>0</v>
      </c>
      <c r="I242" s="1575"/>
      <c r="J242" s="1574"/>
      <c r="K242" s="1574"/>
    </row>
    <row r="243" spans="1:11" ht="12.75" customHeight="1" x14ac:dyDescent="0.2">
      <c r="A243" s="436" t="s">
        <v>784</v>
      </c>
      <c r="B243" s="435">
        <v>4872</v>
      </c>
      <c r="C243" s="1598">
        <v>0</v>
      </c>
      <c r="D243" s="1574">
        <v>0</v>
      </c>
      <c r="E243" s="1574"/>
      <c r="F243" s="1574">
        <v>0</v>
      </c>
      <c r="G243" s="1574">
        <v>0</v>
      </c>
      <c r="H243" s="1574">
        <v>0</v>
      </c>
      <c r="I243" s="1575"/>
      <c r="J243" s="1574"/>
      <c r="K243" s="1574"/>
    </row>
    <row r="244" spans="1:11" ht="12.75" customHeight="1" x14ac:dyDescent="0.2">
      <c r="A244" s="436" t="s">
        <v>785</v>
      </c>
      <c r="B244" s="435">
        <v>4873</v>
      </c>
      <c r="C244" s="1598">
        <v>0</v>
      </c>
      <c r="D244" s="1574">
        <v>0</v>
      </c>
      <c r="E244" s="1574"/>
      <c r="F244" s="1574">
        <v>0</v>
      </c>
      <c r="G244" s="1574">
        <v>0</v>
      </c>
      <c r="H244" s="1574">
        <v>0</v>
      </c>
      <c r="I244" s="1575"/>
      <c r="J244" s="1574"/>
      <c r="K244" s="1574"/>
    </row>
    <row r="245" spans="1:11" ht="12.75" customHeight="1" x14ac:dyDescent="0.2">
      <c r="A245" s="436" t="s">
        <v>786</v>
      </c>
      <c r="B245" s="435">
        <v>4874</v>
      </c>
      <c r="C245" s="1598">
        <v>0</v>
      </c>
      <c r="D245" s="1574">
        <v>0</v>
      </c>
      <c r="E245" s="1574"/>
      <c r="F245" s="1574">
        <v>0</v>
      </c>
      <c r="G245" s="1574">
        <v>0</v>
      </c>
      <c r="H245" s="1574">
        <v>0</v>
      </c>
      <c r="I245" s="1575"/>
      <c r="J245" s="1574"/>
      <c r="K245" s="1574"/>
    </row>
    <row r="246" spans="1:11" ht="12.75" customHeight="1" x14ac:dyDescent="0.2">
      <c r="A246" s="436" t="s">
        <v>468</v>
      </c>
      <c r="B246" s="435">
        <v>4875</v>
      </c>
      <c r="C246" s="1598">
        <v>0</v>
      </c>
      <c r="D246" s="1574">
        <v>0</v>
      </c>
      <c r="E246" s="1574"/>
      <c r="F246" s="1574">
        <v>0</v>
      </c>
      <c r="G246" s="1574">
        <v>0</v>
      </c>
      <c r="H246" s="1574">
        <v>0</v>
      </c>
      <c r="I246" s="1575"/>
      <c r="J246" s="1574"/>
      <c r="K246" s="1574"/>
    </row>
    <row r="247" spans="1:11" ht="12.75" customHeight="1" x14ac:dyDescent="0.2">
      <c r="A247" s="436" t="s">
        <v>765</v>
      </c>
      <c r="B247" s="435">
        <v>4876</v>
      </c>
      <c r="C247" s="1598">
        <v>0</v>
      </c>
      <c r="D247" s="1574">
        <v>0</v>
      </c>
      <c r="E247" s="1574"/>
      <c r="F247" s="1574">
        <v>0</v>
      </c>
      <c r="G247" s="1574">
        <v>0</v>
      </c>
      <c r="H247" s="1574">
        <v>0</v>
      </c>
      <c r="I247" s="1575"/>
      <c r="J247" s="1574"/>
      <c r="K247" s="1574"/>
    </row>
    <row r="248" spans="1:11" ht="12.75" customHeight="1" x14ac:dyDescent="0.2">
      <c r="A248" s="436" t="s">
        <v>766</v>
      </c>
      <c r="B248" s="435">
        <v>4877</v>
      </c>
      <c r="C248" s="1598">
        <v>0</v>
      </c>
      <c r="D248" s="1574">
        <v>0</v>
      </c>
      <c r="E248" s="1574"/>
      <c r="F248" s="1574">
        <v>0</v>
      </c>
      <c r="G248" s="1574">
        <v>0</v>
      </c>
      <c r="H248" s="1574">
        <v>0</v>
      </c>
      <c r="I248" s="1575"/>
      <c r="J248" s="1574"/>
      <c r="K248" s="1574"/>
    </row>
    <row r="249" spans="1:11" ht="12.75" customHeight="1" x14ac:dyDescent="0.2">
      <c r="A249" s="436" t="s">
        <v>767</v>
      </c>
      <c r="B249" s="435">
        <v>4878</v>
      </c>
      <c r="C249" s="1598">
        <v>0</v>
      </c>
      <c r="D249" s="1574">
        <v>0</v>
      </c>
      <c r="E249" s="1574"/>
      <c r="F249" s="1574">
        <v>0</v>
      </c>
      <c r="G249" s="1574">
        <v>0</v>
      </c>
      <c r="H249" s="1574">
        <v>0</v>
      </c>
      <c r="I249" s="1575"/>
      <c r="J249" s="1574"/>
      <c r="K249" s="1574"/>
    </row>
    <row r="250" spans="1:11" ht="12.75" customHeight="1" x14ac:dyDescent="0.2">
      <c r="A250" s="436" t="s">
        <v>768</v>
      </c>
      <c r="B250" s="435">
        <v>4879</v>
      </c>
      <c r="C250" s="1598">
        <v>0</v>
      </c>
      <c r="D250" s="1574">
        <v>0</v>
      </c>
      <c r="E250" s="1574"/>
      <c r="F250" s="1574">
        <v>0</v>
      </c>
      <c r="G250" s="1574">
        <v>0</v>
      </c>
      <c r="H250" s="1574">
        <v>0</v>
      </c>
      <c r="I250" s="1575"/>
      <c r="J250" s="1574"/>
      <c r="K250" s="1574"/>
    </row>
    <row r="251" spans="1:11" ht="12.75" customHeight="1" x14ac:dyDescent="0.2">
      <c r="A251" s="220" t="s">
        <v>1438</v>
      </c>
      <c r="B251" s="486">
        <v>4880</v>
      </c>
      <c r="C251" s="1598">
        <v>0</v>
      </c>
      <c r="D251" s="1574">
        <v>0</v>
      </c>
      <c r="E251" s="1574"/>
      <c r="F251" s="1574">
        <v>0</v>
      </c>
      <c r="G251" s="1574">
        <v>0</v>
      </c>
      <c r="H251" s="1574">
        <v>0</v>
      </c>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v>0</v>
      </c>
      <c r="D253" s="1576"/>
      <c r="E253" s="1575"/>
      <c r="F253" s="1575"/>
      <c r="G253" s="1575"/>
      <c r="H253" s="1575"/>
      <c r="I253" s="1575"/>
      <c r="J253" s="1575"/>
      <c r="K253" s="1575"/>
    </row>
    <row r="254" spans="1:11" ht="12.75" customHeight="1" thickTop="1" thickBot="1" x14ac:dyDescent="0.25">
      <c r="A254" s="1273" t="s">
        <v>1446</v>
      </c>
      <c r="B254" s="488">
        <v>4902</v>
      </c>
      <c r="C254" s="1667">
        <v>0</v>
      </c>
      <c r="D254" s="1668">
        <v>0</v>
      </c>
      <c r="E254" s="1576"/>
      <c r="F254" s="1668">
        <v>0</v>
      </c>
      <c r="G254" s="1668">
        <v>0</v>
      </c>
      <c r="H254" s="1576"/>
      <c r="I254" s="1575"/>
      <c r="J254" s="1576"/>
      <c r="K254" s="1576"/>
    </row>
    <row r="255" spans="1:11" ht="12.75" customHeight="1" thickTop="1" thickBot="1" x14ac:dyDescent="0.25">
      <c r="A255" s="427" t="s">
        <v>1439</v>
      </c>
      <c r="B255" s="429">
        <v>4905</v>
      </c>
      <c r="C255" s="1649">
        <v>0</v>
      </c>
      <c r="D255" s="1575"/>
      <c r="E255" s="1575"/>
      <c r="F255" s="1653">
        <v>0</v>
      </c>
      <c r="G255" s="1649">
        <v>0</v>
      </c>
      <c r="H255" s="1575"/>
      <c r="I255" s="1575"/>
      <c r="J255" s="1575"/>
      <c r="K255" s="1575"/>
    </row>
    <row r="256" spans="1:11" ht="12.75" customHeight="1" thickTop="1" thickBot="1" x14ac:dyDescent="0.25">
      <c r="A256" s="427" t="s">
        <v>1440</v>
      </c>
      <c r="B256" s="429">
        <v>4909</v>
      </c>
      <c r="C256" s="1651">
        <v>0</v>
      </c>
      <c r="D256" s="1575"/>
      <c r="E256" s="1575"/>
      <c r="F256" s="1651">
        <v>0</v>
      </c>
      <c r="G256" s="1651">
        <v>0</v>
      </c>
      <c r="H256" s="1575"/>
      <c r="I256" s="1575"/>
      <c r="J256" s="1575"/>
      <c r="K256" s="1575"/>
    </row>
    <row r="257" spans="1:11" ht="12.75" customHeight="1" thickTop="1" thickBot="1" x14ac:dyDescent="0.25">
      <c r="A257" s="427" t="s">
        <v>191</v>
      </c>
      <c r="B257" s="429">
        <v>4920</v>
      </c>
      <c r="C257" s="1651">
        <v>0</v>
      </c>
      <c r="D257" s="1653">
        <v>0</v>
      </c>
      <c r="E257" s="1575"/>
      <c r="F257" s="1649">
        <v>0</v>
      </c>
      <c r="G257" s="1649">
        <v>0</v>
      </c>
      <c r="H257" s="1575"/>
      <c r="I257" s="1575"/>
      <c r="J257" s="1575"/>
      <c r="K257" s="1575"/>
    </row>
    <row r="258" spans="1:11" ht="12.75" customHeight="1" thickTop="1" thickBot="1" x14ac:dyDescent="0.25">
      <c r="A258" s="427" t="s">
        <v>418</v>
      </c>
      <c r="B258" s="429">
        <v>4930</v>
      </c>
      <c r="C258" s="1651">
        <v>0</v>
      </c>
      <c r="D258" s="1651">
        <v>0</v>
      </c>
      <c r="E258" s="1575"/>
      <c r="F258" s="1651">
        <v>0</v>
      </c>
      <c r="G258" s="1651">
        <v>0</v>
      </c>
      <c r="H258" s="1575"/>
      <c r="I258" s="1575"/>
      <c r="J258" s="1575"/>
      <c r="K258" s="1575"/>
    </row>
    <row r="259" spans="1:11" ht="12.75" customHeight="1" thickTop="1" thickBot="1" x14ac:dyDescent="0.25">
      <c r="A259" s="427" t="s">
        <v>753</v>
      </c>
      <c r="B259" s="429">
        <v>4932</v>
      </c>
      <c r="C259" s="1651">
        <v>42840</v>
      </c>
      <c r="D259" s="1651">
        <v>0</v>
      </c>
      <c r="E259" s="1575"/>
      <c r="F259" s="1651">
        <v>0</v>
      </c>
      <c r="G259" s="1651">
        <v>0</v>
      </c>
      <c r="H259" s="1575"/>
      <c r="I259" s="1575"/>
      <c r="J259" s="1575"/>
      <c r="K259" s="1575"/>
    </row>
    <row r="260" spans="1:11" ht="12.75" customHeight="1" thickTop="1" thickBot="1" x14ac:dyDescent="0.25">
      <c r="A260" s="427" t="s">
        <v>884</v>
      </c>
      <c r="B260" s="429">
        <v>4960</v>
      </c>
      <c r="C260" s="1650">
        <v>0</v>
      </c>
      <c r="D260" s="1651">
        <v>0</v>
      </c>
      <c r="E260" s="1575"/>
      <c r="F260" s="1651">
        <v>0</v>
      </c>
      <c r="G260" s="1651">
        <v>0</v>
      </c>
      <c r="H260" s="1575"/>
      <c r="I260" s="1575"/>
      <c r="J260" s="1575"/>
      <c r="K260" s="1575"/>
    </row>
    <row r="261" spans="1:11" ht="12.75" customHeight="1" thickTop="1" thickBot="1" x14ac:dyDescent="0.25">
      <c r="A261" s="1539" t="s">
        <v>1893</v>
      </c>
      <c r="B261" s="429">
        <v>4981</v>
      </c>
      <c r="C261" s="1650">
        <v>0</v>
      </c>
      <c r="D261" s="1651">
        <v>0</v>
      </c>
      <c r="E261" s="1575"/>
      <c r="F261" s="1651">
        <v>0</v>
      </c>
      <c r="G261" s="1651">
        <v>0</v>
      </c>
      <c r="H261" s="1575"/>
      <c r="I261" s="1575"/>
      <c r="J261" s="1575"/>
      <c r="K261" s="1575"/>
    </row>
    <row r="262" spans="1:11" ht="12.75" customHeight="1" thickTop="1" thickBot="1" x14ac:dyDescent="0.25">
      <c r="A262" s="1540" t="s">
        <v>1894</v>
      </c>
      <c r="B262" s="429">
        <v>4982</v>
      </c>
      <c r="C262" s="1650">
        <v>0</v>
      </c>
      <c r="D262" s="1651">
        <v>0</v>
      </c>
      <c r="E262" s="1575"/>
      <c r="F262" s="1651">
        <v>0</v>
      </c>
      <c r="G262" s="1651">
        <v>0</v>
      </c>
      <c r="H262" s="1575"/>
      <c r="I262" s="1575"/>
      <c r="J262" s="1575"/>
      <c r="K262" s="1575"/>
    </row>
    <row r="263" spans="1:11" ht="12.75" customHeight="1" thickTop="1" thickBot="1" x14ac:dyDescent="0.25">
      <c r="A263" s="427" t="s">
        <v>564</v>
      </c>
      <c r="B263" s="429">
        <v>4991</v>
      </c>
      <c r="C263" s="1650">
        <v>16175</v>
      </c>
      <c r="D263" s="1651">
        <v>0</v>
      </c>
      <c r="E263" s="1575"/>
      <c r="F263" s="1651">
        <v>0</v>
      </c>
      <c r="G263" s="1651">
        <v>0</v>
      </c>
      <c r="H263" s="1575"/>
      <c r="I263" s="1575"/>
      <c r="J263" s="1575"/>
      <c r="K263" s="1575"/>
    </row>
    <row r="264" spans="1:11" ht="12.75" customHeight="1" thickTop="1" thickBot="1" x14ac:dyDescent="0.25">
      <c r="A264" s="427" t="s">
        <v>374</v>
      </c>
      <c r="B264" s="429">
        <v>4992</v>
      </c>
      <c r="C264" s="1650">
        <v>12463</v>
      </c>
      <c r="D264" s="1651">
        <v>0</v>
      </c>
      <c r="E264" s="1575"/>
      <c r="F264" s="1651">
        <v>0</v>
      </c>
      <c r="G264" s="1651">
        <v>0</v>
      </c>
      <c r="H264" s="1575"/>
      <c r="I264" s="1575"/>
      <c r="J264" s="1575"/>
      <c r="K264" s="1575"/>
    </row>
    <row r="265" spans="1:11" s="489" customFormat="1" ht="12.75" customHeight="1" thickTop="1" thickBot="1" x14ac:dyDescent="0.25">
      <c r="A265" s="479" t="s">
        <v>75</v>
      </c>
      <c r="B265" s="475">
        <v>4998</v>
      </c>
      <c r="C265" s="1650">
        <v>0</v>
      </c>
      <c r="D265" s="1651">
        <v>0</v>
      </c>
      <c r="E265" s="1575"/>
      <c r="F265" s="1651">
        <v>0</v>
      </c>
      <c r="G265" s="1651">
        <v>0</v>
      </c>
      <c r="H265" s="1626">
        <v>0</v>
      </c>
      <c r="I265" s="1575"/>
      <c r="J265" s="1575"/>
      <c r="K265" s="1626">
        <v>0</v>
      </c>
    </row>
    <row r="266" spans="1:11" ht="14.25" thickTop="1" thickBot="1" x14ac:dyDescent="0.25">
      <c r="A266" s="1406" t="s">
        <v>1647</v>
      </c>
      <c r="B266" s="1419"/>
      <c r="C266" s="1641">
        <f t="shared" ref="C266:H266" si="10">SUM(C188,C198,C204,C209,C217,C221,C222,C252:C265)</f>
        <v>783992</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783992</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13131915</v>
      </c>
      <c r="D268" s="1641">
        <f t="shared" si="12"/>
        <v>1278606</v>
      </c>
      <c r="E268" s="1641">
        <f t="shared" si="12"/>
        <v>900372</v>
      </c>
      <c r="F268" s="1641">
        <f t="shared" si="12"/>
        <v>750395</v>
      </c>
      <c r="G268" s="1641">
        <f t="shared" si="12"/>
        <v>555596</v>
      </c>
      <c r="H268" s="1641">
        <f t="shared" si="12"/>
        <v>445300</v>
      </c>
      <c r="I268" s="1641">
        <f t="shared" si="12"/>
        <v>156425</v>
      </c>
      <c r="J268" s="1641">
        <f t="shared" si="12"/>
        <v>611902</v>
      </c>
      <c r="K268" s="1629">
        <f t="shared" si="12"/>
        <v>115389</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orizontalCentered="1" headings="1" gridLines="1"/>
  <pageMargins left="0.2" right="0.2" top="0.66" bottom="0.46" header="0.26" footer="0.17"/>
  <pageSetup scale="72" firstPageNumber="9" fitToHeight="0" orientation="landscape" useFirstPageNumber="1" r:id="rId1"/>
  <headerFooter alignWithMargins="0">
    <oddHeader>&amp;L&amp;8Page &amp;P&amp;C&amp;"Arial,Bold"&amp;9STATEMENT OF REVENUES RECEIVED/REVENUES
FOR THE YEAR ENDING JUNE 30, 2020&amp;R&amp;8Page &amp;P</oddHeader>
    <oddFooter>&amp;L&amp;8Printed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Normal="100" workbookViewId="0">
      <pane ySplit="2" topLeftCell="A3" activePane="bottomLeft" state="frozen"/>
      <selection activeCell="G30" sqref="G30"/>
      <selection pane="bottomLeft" activeCell="A3" sqref="A3:B3"/>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314" t="s">
        <v>1776</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348"/>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354" t="s">
        <v>294</v>
      </c>
      <c r="B3" s="2355"/>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4984861</v>
      </c>
      <c r="D5" s="1573">
        <v>804684</v>
      </c>
      <c r="E5" s="1573">
        <v>20456</v>
      </c>
      <c r="F5" s="1573">
        <v>300562</v>
      </c>
      <c r="G5" s="1573">
        <v>148831</v>
      </c>
      <c r="H5" s="1573">
        <v>0</v>
      </c>
      <c r="I5" s="1574">
        <v>0</v>
      </c>
      <c r="J5" s="1574">
        <v>0</v>
      </c>
      <c r="K5" s="1672">
        <f>SUM(C5:J5)</f>
        <v>6259394</v>
      </c>
      <c r="L5" s="1573">
        <v>4600917</v>
      </c>
    </row>
    <row r="6" spans="1:14" x14ac:dyDescent="0.2">
      <c r="A6" s="1274" t="s">
        <v>1416</v>
      </c>
      <c r="B6" s="503" t="s">
        <v>1414</v>
      </c>
      <c r="C6" s="1582"/>
      <c r="D6" s="1582"/>
      <c r="E6" s="1573">
        <v>0</v>
      </c>
      <c r="F6" s="1582"/>
      <c r="G6" s="1582"/>
      <c r="H6" s="1582"/>
      <c r="I6" s="1582"/>
      <c r="J6" s="1582"/>
      <c r="K6" s="1672">
        <f>SUM(C6,E6)</f>
        <v>0</v>
      </c>
      <c r="L6" s="1573">
        <v>5250</v>
      </c>
    </row>
    <row r="7" spans="1:14" x14ac:dyDescent="0.2">
      <c r="A7" s="1274" t="s">
        <v>162</v>
      </c>
      <c r="B7" s="503" t="s">
        <v>961</v>
      </c>
      <c r="C7" s="1574">
        <v>0</v>
      </c>
      <c r="D7" s="1574">
        <v>0</v>
      </c>
      <c r="E7" s="1574">
        <v>0</v>
      </c>
      <c r="F7" s="1574">
        <v>0</v>
      </c>
      <c r="G7" s="1574">
        <v>0</v>
      </c>
      <c r="H7" s="1574">
        <v>0</v>
      </c>
      <c r="I7" s="1574">
        <v>0</v>
      </c>
      <c r="J7" s="1574">
        <v>0</v>
      </c>
      <c r="K7" s="1672">
        <f t="shared" ref="K7:K32" si="0">SUM(C7:J7)</f>
        <v>0</v>
      </c>
      <c r="L7" s="1573">
        <v>1677461</v>
      </c>
    </row>
    <row r="8" spans="1:14" x14ac:dyDescent="0.2">
      <c r="A8" s="1274" t="s">
        <v>163</v>
      </c>
      <c r="B8" s="503">
        <v>1200</v>
      </c>
      <c r="C8" s="1573">
        <v>984371</v>
      </c>
      <c r="D8" s="1573">
        <v>152261</v>
      </c>
      <c r="E8" s="1573">
        <v>206</v>
      </c>
      <c r="F8" s="1573">
        <v>6309</v>
      </c>
      <c r="G8" s="1573">
        <v>0</v>
      </c>
      <c r="H8" s="1573">
        <v>504</v>
      </c>
      <c r="I8" s="1574">
        <v>0</v>
      </c>
      <c r="J8" s="1574">
        <v>0</v>
      </c>
      <c r="K8" s="1672">
        <f t="shared" si="0"/>
        <v>1143651</v>
      </c>
      <c r="L8" s="1573">
        <v>1181919</v>
      </c>
    </row>
    <row r="9" spans="1:14" x14ac:dyDescent="0.2">
      <c r="A9" s="1274" t="s">
        <v>716</v>
      </c>
      <c r="B9" s="503" t="s">
        <v>962</v>
      </c>
      <c r="C9" s="1574">
        <v>100661</v>
      </c>
      <c r="D9" s="1574">
        <v>29170</v>
      </c>
      <c r="E9" s="1574">
        <v>161</v>
      </c>
      <c r="F9" s="1574">
        <v>391</v>
      </c>
      <c r="G9" s="1574">
        <v>0</v>
      </c>
      <c r="H9" s="1574">
        <v>0</v>
      </c>
      <c r="I9" s="1574">
        <v>0</v>
      </c>
      <c r="J9" s="1574">
        <v>0</v>
      </c>
      <c r="K9" s="1672">
        <f t="shared" si="0"/>
        <v>130383</v>
      </c>
      <c r="L9" s="1573">
        <v>135941</v>
      </c>
    </row>
    <row r="10" spans="1:14" x14ac:dyDescent="0.2">
      <c r="A10" s="1274" t="s">
        <v>717</v>
      </c>
      <c r="B10" s="503">
        <v>1250</v>
      </c>
      <c r="C10" s="1573">
        <v>171581</v>
      </c>
      <c r="D10" s="1573">
        <v>45746</v>
      </c>
      <c r="E10" s="1573">
        <v>0</v>
      </c>
      <c r="F10" s="1573">
        <v>0</v>
      </c>
      <c r="G10" s="1573">
        <v>0</v>
      </c>
      <c r="H10" s="1573">
        <v>0</v>
      </c>
      <c r="I10" s="1574">
        <v>0</v>
      </c>
      <c r="J10" s="1574">
        <v>0</v>
      </c>
      <c r="K10" s="1672">
        <f t="shared" si="0"/>
        <v>217327</v>
      </c>
      <c r="L10" s="1573">
        <v>214382</v>
      </c>
    </row>
    <row r="11" spans="1:14" x14ac:dyDescent="0.2">
      <c r="A11" s="1274" t="s">
        <v>1120</v>
      </c>
      <c r="B11" s="503" t="s">
        <v>160</v>
      </c>
      <c r="C11" s="1574">
        <v>0</v>
      </c>
      <c r="D11" s="1574">
        <v>0</v>
      </c>
      <c r="E11" s="1574">
        <v>0</v>
      </c>
      <c r="F11" s="1574">
        <v>0</v>
      </c>
      <c r="G11" s="1574">
        <v>0</v>
      </c>
      <c r="H11" s="1574">
        <v>0</v>
      </c>
      <c r="I11" s="1574">
        <v>0</v>
      </c>
      <c r="J11" s="1574">
        <v>0</v>
      </c>
      <c r="K11" s="1672">
        <f t="shared" si="0"/>
        <v>0</v>
      </c>
      <c r="L11" s="1573">
        <v>0</v>
      </c>
    </row>
    <row r="12" spans="1:14" x14ac:dyDescent="0.2">
      <c r="A12" s="1274" t="s">
        <v>956</v>
      </c>
      <c r="B12" s="503">
        <v>1300</v>
      </c>
      <c r="C12" s="1573">
        <v>0</v>
      </c>
      <c r="D12" s="1573">
        <v>0</v>
      </c>
      <c r="E12" s="1573">
        <v>0</v>
      </c>
      <c r="F12" s="1573">
        <v>0</v>
      </c>
      <c r="G12" s="1573">
        <v>0</v>
      </c>
      <c r="H12" s="1573">
        <v>0</v>
      </c>
      <c r="I12" s="1574">
        <v>0</v>
      </c>
      <c r="J12" s="1574">
        <v>0</v>
      </c>
      <c r="K12" s="1672">
        <f t="shared" si="0"/>
        <v>0</v>
      </c>
      <c r="L12" s="1573">
        <v>0</v>
      </c>
    </row>
    <row r="13" spans="1:14" x14ac:dyDescent="0.2">
      <c r="A13" s="1274" t="s">
        <v>718</v>
      </c>
      <c r="B13" s="503">
        <v>1400</v>
      </c>
      <c r="C13" s="1573">
        <v>189947</v>
      </c>
      <c r="D13" s="1573">
        <v>19615</v>
      </c>
      <c r="E13" s="1573">
        <v>0</v>
      </c>
      <c r="F13" s="1573">
        <v>25746</v>
      </c>
      <c r="G13" s="1573">
        <v>3893</v>
      </c>
      <c r="H13" s="1573">
        <v>2185</v>
      </c>
      <c r="I13" s="1574">
        <v>0</v>
      </c>
      <c r="J13" s="1574">
        <v>0</v>
      </c>
      <c r="K13" s="1672">
        <f t="shared" si="0"/>
        <v>241386</v>
      </c>
      <c r="L13" s="1573">
        <v>252762</v>
      </c>
    </row>
    <row r="14" spans="1:14" x14ac:dyDescent="0.2">
      <c r="A14" s="1274" t="s">
        <v>957</v>
      </c>
      <c r="B14" s="503">
        <v>1500</v>
      </c>
      <c r="C14" s="1573">
        <v>518419</v>
      </c>
      <c r="D14" s="1573">
        <v>49888</v>
      </c>
      <c r="E14" s="1573">
        <v>48909</v>
      </c>
      <c r="F14" s="1573">
        <v>59769</v>
      </c>
      <c r="G14" s="1573">
        <v>6366</v>
      </c>
      <c r="H14" s="1573">
        <v>19778</v>
      </c>
      <c r="I14" s="1574">
        <v>0</v>
      </c>
      <c r="J14" s="1574">
        <v>0</v>
      </c>
      <c r="K14" s="1672">
        <f t="shared" si="0"/>
        <v>703129</v>
      </c>
      <c r="L14" s="1573">
        <v>735768</v>
      </c>
    </row>
    <row r="15" spans="1:14" x14ac:dyDescent="0.2">
      <c r="A15" s="1274" t="s">
        <v>958</v>
      </c>
      <c r="B15" s="503">
        <v>1600</v>
      </c>
      <c r="C15" s="1573">
        <v>1287</v>
      </c>
      <c r="D15" s="1573">
        <v>0</v>
      </c>
      <c r="E15" s="1573">
        <v>0</v>
      </c>
      <c r="F15" s="1573">
        <v>0</v>
      </c>
      <c r="G15" s="1573">
        <v>0</v>
      </c>
      <c r="H15" s="1573">
        <v>0</v>
      </c>
      <c r="I15" s="1574">
        <v>0</v>
      </c>
      <c r="J15" s="1574">
        <v>0</v>
      </c>
      <c r="K15" s="1672">
        <f t="shared" si="0"/>
        <v>1287</v>
      </c>
      <c r="L15" s="1573">
        <v>1618</v>
      </c>
    </row>
    <row r="16" spans="1:14" x14ac:dyDescent="0.2">
      <c r="A16" s="1274" t="s">
        <v>980</v>
      </c>
      <c r="B16" s="503" t="s">
        <v>421</v>
      </c>
      <c r="C16" s="1573">
        <v>355</v>
      </c>
      <c r="D16" s="1573">
        <v>53</v>
      </c>
      <c r="E16" s="1573">
        <v>0</v>
      </c>
      <c r="F16" s="1573">
        <v>0</v>
      </c>
      <c r="G16" s="1573">
        <v>0</v>
      </c>
      <c r="H16" s="1573">
        <v>0</v>
      </c>
      <c r="I16" s="1574">
        <v>0</v>
      </c>
      <c r="J16" s="1574">
        <v>0</v>
      </c>
      <c r="K16" s="1672">
        <f t="shared" si="0"/>
        <v>408</v>
      </c>
      <c r="L16" s="1573">
        <v>1515</v>
      </c>
    </row>
    <row r="17" spans="1:12" x14ac:dyDescent="0.2">
      <c r="A17" s="1274" t="s">
        <v>719</v>
      </c>
      <c r="B17" s="503" t="s">
        <v>161</v>
      </c>
      <c r="C17" s="1574">
        <v>46242</v>
      </c>
      <c r="D17" s="1574">
        <v>846</v>
      </c>
      <c r="E17" s="1574">
        <v>116</v>
      </c>
      <c r="F17" s="1574">
        <v>975</v>
      </c>
      <c r="G17" s="1574">
        <v>0</v>
      </c>
      <c r="H17" s="1574">
        <v>0</v>
      </c>
      <c r="I17" s="1574">
        <v>0</v>
      </c>
      <c r="J17" s="1574">
        <v>0</v>
      </c>
      <c r="K17" s="1672">
        <f t="shared" si="0"/>
        <v>48179</v>
      </c>
      <c r="L17" s="1573">
        <v>54777</v>
      </c>
    </row>
    <row r="18" spans="1:12" x14ac:dyDescent="0.2">
      <c r="A18" s="1274" t="s">
        <v>1078</v>
      </c>
      <c r="B18" s="503">
        <v>1800</v>
      </c>
      <c r="C18" s="1573">
        <v>0</v>
      </c>
      <c r="D18" s="1573">
        <v>0</v>
      </c>
      <c r="E18" s="1573">
        <v>0</v>
      </c>
      <c r="F18" s="1573">
        <v>0</v>
      </c>
      <c r="G18" s="1573">
        <v>0</v>
      </c>
      <c r="H18" s="1573">
        <v>0</v>
      </c>
      <c r="I18" s="1574">
        <v>0</v>
      </c>
      <c r="J18" s="1574">
        <v>0</v>
      </c>
      <c r="K18" s="1672">
        <f t="shared" si="0"/>
        <v>0</v>
      </c>
      <c r="L18" s="1573">
        <v>0</v>
      </c>
    </row>
    <row r="19" spans="1:12" x14ac:dyDescent="0.2">
      <c r="A19" s="1274" t="s">
        <v>133</v>
      </c>
      <c r="B19" s="503">
        <v>1900</v>
      </c>
      <c r="C19" s="1573">
        <v>0</v>
      </c>
      <c r="D19" s="1573">
        <v>0</v>
      </c>
      <c r="E19" s="1573">
        <v>0</v>
      </c>
      <c r="F19" s="1573">
        <v>0</v>
      </c>
      <c r="G19" s="1573">
        <v>0</v>
      </c>
      <c r="H19" s="1573">
        <v>0</v>
      </c>
      <c r="I19" s="1574">
        <v>0</v>
      </c>
      <c r="J19" s="1574">
        <v>0</v>
      </c>
      <c r="K19" s="1672">
        <f t="shared" si="0"/>
        <v>0</v>
      </c>
      <c r="L19" s="1573">
        <v>0</v>
      </c>
    </row>
    <row r="20" spans="1:12" x14ac:dyDescent="0.2">
      <c r="A20" s="1275" t="s">
        <v>733</v>
      </c>
      <c r="B20" s="494" t="s">
        <v>720</v>
      </c>
      <c r="C20" s="1582"/>
      <c r="D20" s="1582"/>
      <c r="E20" s="1582"/>
      <c r="F20" s="1582"/>
      <c r="G20" s="1582"/>
      <c r="H20" s="1579">
        <v>0</v>
      </c>
      <c r="I20" s="1673"/>
      <c r="J20" s="1580"/>
      <c r="K20" s="1672">
        <f t="shared" si="0"/>
        <v>0</v>
      </c>
      <c r="L20" s="1577">
        <v>0</v>
      </c>
    </row>
    <row r="21" spans="1:12" x14ac:dyDescent="0.2">
      <c r="A21" s="1275" t="s">
        <v>734</v>
      </c>
      <c r="B21" s="494" t="s">
        <v>721</v>
      </c>
      <c r="C21" s="1582"/>
      <c r="D21" s="1582"/>
      <c r="E21" s="1582"/>
      <c r="F21" s="1582"/>
      <c r="G21" s="1582"/>
      <c r="H21" s="1579">
        <v>0</v>
      </c>
      <c r="I21" s="1673"/>
      <c r="J21" s="1582"/>
      <c r="K21" s="1672">
        <f t="shared" si="0"/>
        <v>0</v>
      </c>
      <c r="L21" s="1577">
        <v>0</v>
      </c>
    </row>
    <row r="22" spans="1:12" x14ac:dyDescent="0.2">
      <c r="A22" s="1275" t="s">
        <v>735</v>
      </c>
      <c r="B22" s="494" t="s">
        <v>722</v>
      </c>
      <c r="C22" s="1582"/>
      <c r="D22" s="1582"/>
      <c r="E22" s="1582"/>
      <c r="F22" s="1582"/>
      <c r="G22" s="1582"/>
      <c r="H22" s="1579">
        <v>92523</v>
      </c>
      <c r="I22" s="1673"/>
      <c r="J22" s="1582"/>
      <c r="K22" s="1672">
        <f t="shared" si="0"/>
        <v>92523</v>
      </c>
      <c r="L22" s="1577">
        <v>75000</v>
      </c>
    </row>
    <row r="23" spans="1:12" x14ac:dyDescent="0.2">
      <c r="A23" s="1275" t="s">
        <v>736</v>
      </c>
      <c r="B23" s="494" t="s">
        <v>723</v>
      </c>
      <c r="C23" s="1582"/>
      <c r="D23" s="1582"/>
      <c r="E23" s="1582"/>
      <c r="F23" s="1582"/>
      <c r="G23" s="1582"/>
      <c r="H23" s="1579">
        <v>0</v>
      </c>
      <c r="I23" s="1673"/>
      <c r="J23" s="1582"/>
      <c r="K23" s="1672">
        <f t="shared" si="0"/>
        <v>0</v>
      </c>
      <c r="L23" s="1577">
        <v>0</v>
      </c>
    </row>
    <row r="24" spans="1:12" ht="12.75" customHeight="1" x14ac:dyDescent="0.2">
      <c r="A24" s="1275" t="s">
        <v>737</v>
      </c>
      <c r="B24" s="494" t="s">
        <v>724</v>
      </c>
      <c r="C24" s="1582"/>
      <c r="D24" s="1582"/>
      <c r="E24" s="1582"/>
      <c r="F24" s="1582"/>
      <c r="G24" s="1582"/>
      <c r="H24" s="1579">
        <v>0</v>
      </c>
      <c r="I24" s="1673"/>
      <c r="J24" s="1582"/>
      <c r="K24" s="1672">
        <f t="shared" si="0"/>
        <v>0</v>
      </c>
      <c r="L24" s="1577">
        <v>0</v>
      </c>
    </row>
    <row r="25" spans="1:12" ht="12.75" customHeight="1" x14ac:dyDescent="0.2">
      <c r="A25" s="1275" t="s">
        <v>797</v>
      </c>
      <c r="B25" s="494" t="s">
        <v>725</v>
      </c>
      <c r="C25" s="1582"/>
      <c r="D25" s="1582"/>
      <c r="E25" s="1582"/>
      <c r="F25" s="1582"/>
      <c r="G25" s="1582"/>
      <c r="H25" s="1579">
        <v>0</v>
      </c>
      <c r="I25" s="1673"/>
      <c r="J25" s="1582"/>
      <c r="K25" s="1672">
        <f t="shared" si="0"/>
        <v>0</v>
      </c>
      <c r="L25" s="1577">
        <v>0</v>
      </c>
    </row>
    <row r="26" spans="1:12" x14ac:dyDescent="0.2">
      <c r="A26" s="1275" t="s">
        <v>618</v>
      </c>
      <c r="B26" s="494" t="s">
        <v>726</v>
      </c>
      <c r="C26" s="1582"/>
      <c r="D26" s="1582"/>
      <c r="E26" s="1582"/>
      <c r="F26" s="1582"/>
      <c r="G26" s="1582"/>
      <c r="H26" s="1579">
        <v>0</v>
      </c>
      <c r="I26" s="1673"/>
      <c r="J26" s="1582"/>
      <c r="K26" s="1672">
        <f t="shared" si="0"/>
        <v>0</v>
      </c>
      <c r="L26" s="1577">
        <v>0</v>
      </c>
    </row>
    <row r="27" spans="1:12" x14ac:dyDescent="0.2">
      <c r="A27" s="1275" t="s">
        <v>619</v>
      </c>
      <c r="B27" s="494" t="s">
        <v>727</v>
      </c>
      <c r="C27" s="1582"/>
      <c r="D27" s="1582"/>
      <c r="E27" s="1582"/>
      <c r="F27" s="1582"/>
      <c r="G27" s="1582"/>
      <c r="H27" s="1579">
        <v>0</v>
      </c>
      <c r="I27" s="1673"/>
      <c r="J27" s="1582"/>
      <c r="K27" s="1672">
        <f t="shared" si="0"/>
        <v>0</v>
      </c>
      <c r="L27" s="1577">
        <v>0</v>
      </c>
    </row>
    <row r="28" spans="1:12" x14ac:dyDescent="0.2">
      <c r="A28" s="1275" t="s">
        <v>149</v>
      </c>
      <c r="B28" s="494" t="s">
        <v>728</v>
      </c>
      <c r="C28" s="1582"/>
      <c r="D28" s="1582"/>
      <c r="E28" s="1582"/>
      <c r="F28" s="1582"/>
      <c r="G28" s="1582"/>
      <c r="H28" s="1579">
        <v>0</v>
      </c>
      <c r="I28" s="1673"/>
      <c r="J28" s="1582"/>
      <c r="K28" s="1672">
        <f t="shared" si="0"/>
        <v>0</v>
      </c>
      <c r="L28" s="1577">
        <v>0</v>
      </c>
    </row>
    <row r="29" spans="1:12" x14ac:dyDescent="0.2">
      <c r="A29" s="1275" t="s">
        <v>150</v>
      </c>
      <c r="B29" s="494" t="s">
        <v>729</v>
      </c>
      <c r="C29" s="1582"/>
      <c r="D29" s="1582"/>
      <c r="E29" s="1582"/>
      <c r="F29" s="1582"/>
      <c r="G29" s="1582"/>
      <c r="H29" s="1579">
        <v>0</v>
      </c>
      <c r="I29" s="1673"/>
      <c r="J29" s="1582"/>
      <c r="K29" s="1672">
        <f t="shared" si="0"/>
        <v>0</v>
      </c>
      <c r="L29" s="1577">
        <v>0</v>
      </c>
    </row>
    <row r="30" spans="1:12" x14ac:dyDescent="0.2">
      <c r="A30" s="1275" t="s">
        <v>151</v>
      </c>
      <c r="B30" s="494" t="s">
        <v>730</v>
      </c>
      <c r="C30" s="1582"/>
      <c r="D30" s="1582"/>
      <c r="E30" s="1582"/>
      <c r="F30" s="1582"/>
      <c r="G30" s="1582"/>
      <c r="H30" s="1579">
        <v>0</v>
      </c>
      <c r="I30" s="1673"/>
      <c r="J30" s="1582"/>
      <c r="K30" s="1672">
        <f t="shared" si="0"/>
        <v>0</v>
      </c>
      <c r="L30" s="1577">
        <v>0</v>
      </c>
    </row>
    <row r="31" spans="1:12" x14ac:dyDescent="0.2">
      <c r="A31" s="1275" t="s">
        <v>152</v>
      </c>
      <c r="B31" s="494" t="s">
        <v>731</v>
      </c>
      <c r="C31" s="1582"/>
      <c r="D31" s="1582"/>
      <c r="E31" s="1582"/>
      <c r="F31" s="1582"/>
      <c r="G31" s="1582"/>
      <c r="H31" s="1579">
        <v>0</v>
      </c>
      <c r="I31" s="1673"/>
      <c r="J31" s="1582"/>
      <c r="K31" s="1672">
        <f t="shared" si="0"/>
        <v>0</v>
      </c>
      <c r="L31" s="1577">
        <v>0</v>
      </c>
    </row>
    <row r="32" spans="1:12" x14ac:dyDescent="0.2">
      <c r="A32" s="1276" t="s">
        <v>1119</v>
      </c>
      <c r="B32" s="503" t="s">
        <v>732</v>
      </c>
      <c r="C32" s="1582"/>
      <c r="D32" s="1582"/>
      <c r="E32" s="1582"/>
      <c r="F32" s="1582"/>
      <c r="G32" s="1582"/>
      <c r="H32" s="1579">
        <v>0</v>
      </c>
      <c r="I32" s="1673"/>
      <c r="J32" s="1585"/>
      <c r="K32" s="1672">
        <f t="shared" si="0"/>
        <v>0</v>
      </c>
      <c r="L32" s="1577">
        <v>0</v>
      </c>
    </row>
    <row r="33" spans="1:14" ht="12.75" customHeight="1" thickBot="1" x14ac:dyDescent="0.25">
      <c r="A33" s="1380" t="s">
        <v>1649</v>
      </c>
      <c r="B33" s="1381" t="s">
        <v>566</v>
      </c>
      <c r="C33" s="1674">
        <f>SUM(C5:C32)</f>
        <v>6997724</v>
      </c>
      <c r="D33" s="1674">
        <f t="shared" ref="D33:L33" si="1">SUM(D5:D32)</f>
        <v>1102263</v>
      </c>
      <c r="E33" s="1674">
        <f t="shared" si="1"/>
        <v>69848</v>
      </c>
      <c r="F33" s="1674">
        <f t="shared" si="1"/>
        <v>393752</v>
      </c>
      <c r="G33" s="1674">
        <f t="shared" si="1"/>
        <v>159090</v>
      </c>
      <c r="H33" s="1674">
        <f t="shared" si="1"/>
        <v>114990</v>
      </c>
      <c r="I33" s="1674">
        <f t="shared" si="1"/>
        <v>0</v>
      </c>
      <c r="J33" s="1674">
        <f t="shared" si="1"/>
        <v>0</v>
      </c>
      <c r="K33" s="1674">
        <f t="shared" si="1"/>
        <v>8837667</v>
      </c>
      <c r="L33" s="1674">
        <f t="shared" si="1"/>
        <v>8937310</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v>70469</v>
      </c>
      <c r="D36" s="1586">
        <v>7145</v>
      </c>
      <c r="E36" s="1586">
        <v>517</v>
      </c>
      <c r="F36" s="1586">
        <v>0</v>
      </c>
      <c r="G36" s="1586">
        <v>0</v>
      </c>
      <c r="H36" s="1586">
        <v>0</v>
      </c>
      <c r="I36" s="1574">
        <v>0</v>
      </c>
      <c r="J36" s="1574">
        <v>0</v>
      </c>
      <c r="K36" s="1672">
        <f t="shared" ref="K36:K41" si="2">SUM(C36:J36)</f>
        <v>78131</v>
      </c>
      <c r="L36" s="1573">
        <v>78463</v>
      </c>
    </row>
    <row r="37" spans="1:14" x14ac:dyDescent="0.2">
      <c r="A37" s="1274" t="s">
        <v>1081</v>
      </c>
      <c r="B37" s="503">
        <v>2120</v>
      </c>
      <c r="C37" s="1573">
        <v>140571</v>
      </c>
      <c r="D37" s="1573">
        <v>29240</v>
      </c>
      <c r="E37" s="1573">
        <v>0</v>
      </c>
      <c r="F37" s="1573">
        <v>75</v>
      </c>
      <c r="G37" s="1573">
        <v>0</v>
      </c>
      <c r="H37" s="1573">
        <v>224</v>
      </c>
      <c r="I37" s="1574">
        <v>0</v>
      </c>
      <c r="J37" s="1574">
        <v>0</v>
      </c>
      <c r="K37" s="1672">
        <f t="shared" si="2"/>
        <v>170110</v>
      </c>
      <c r="L37" s="1573">
        <v>174596</v>
      </c>
    </row>
    <row r="38" spans="1:14" x14ac:dyDescent="0.2">
      <c r="A38" s="1274" t="s">
        <v>196</v>
      </c>
      <c r="B38" s="503">
        <v>2130</v>
      </c>
      <c r="C38" s="1573">
        <v>0</v>
      </c>
      <c r="D38" s="1573">
        <v>0</v>
      </c>
      <c r="E38" s="1573">
        <v>0</v>
      </c>
      <c r="F38" s="1573">
        <v>3210</v>
      </c>
      <c r="G38" s="1573">
        <v>0</v>
      </c>
      <c r="H38" s="1573">
        <v>0</v>
      </c>
      <c r="I38" s="1573">
        <v>0</v>
      </c>
      <c r="J38" s="1573">
        <v>0</v>
      </c>
      <c r="K38" s="1672">
        <f t="shared" si="2"/>
        <v>3210</v>
      </c>
      <c r="L38" s="1573">
        <v>6000</v>
      </c>
    </row>
    <row r="39" spans="1:14" x14ac:dyDescent="0.2">
      <c r="A39" s="1274" t="s">
        <v>197</v>
      </c>
      <c r="B39" s="503">
        <v>2140</v>
      </c>
      <c r="C39" s="1573">
        <v>0</v>
      </c>
      <c r="D39" s="1573">
        <v>0</v>
      </c>
      <c r="E39" s="1573">
        <v>0</v>
      </c>
      <c r="F39" s="1573">
        <v>0</v>
      </c>
      <c r="G39" s="1573">
        <v>0</v>
      </c>
      <c r="H39" s="1573">
        <v>0</v>
      </c>
      <c r="I39" s="1574">
        <v>0</v>
      </c>
      <c r="J39" s="1574">
        <v>0</v>
      </c>
      <c r="K39" s="1672">
        <f t="shared" si="2"/>
        <v>0</v>
      </c>
      <c r="L39" s="1573">
        <v>0</v>
      </c>
    </row>
    <row r="40" spans="1:14" x14ac:dyDescent="0.2">
      <c r="A40" s="1274" t="s">
        <v>198</v>
      </c>
      <c r="B40" s="503">
        <v>2150</v>
      </c>
      <c r="C40" s="1573">
        <v>39115</v>
      </c>
      <c r="D40" s="1573">
        <v>8890</v>
      </c>
      <c r="E40" s="1573">
        <v>2399</v>
      </c>
      <c r="F40" s="1573">
        <v>604</v>
      </c>
      <c r="G40" s="1573">
        <v>538</v>
      </c>
      <c r="H40" s="1573">
        <v>0</v>
      </c>
      <c r="I40" s="1574">
        <v>0</v>
      </c>
      <c r="J40" s="1574">
        <v>0</v>
      </c>
      <c r="K40" s="1672">
        <f t="shared" si="2"/>
        <v>51546</v>
      </c>
      <c r="L40" s="1573">
        <v>53302</v>
      </c>
    </row>
    <row r="41" spans="1:14" x14ac:dyDescent="0.2">
      <c r="A41" s="1274" t="s">
        <v>1650</v>
      </c>
      <c r="B41" s="503">
        <v>2190</v>
      </c>
      <c r="C41" s="1573">
        <v>0</v>
      </c>
      <c r="D41" s="1573">
        <v>0</v>
      </c>
      <c r="E41" s="1573">
        <v>386</v>
      </c>
      <c r="F41" s="1573">
        <v>6663</v>
      </c>
      <c r="G41" s="1573">
        <v>0</v>
      </c>
      <c r="H41" s="1573">
        <v>2639</v>
      </c>
      <c r="I41" s="1574">
        <v>0</v>
      </c>
      <c r="J41" s="1574">
        <v>0</v>
      </c>
      <c r="K41" s="1672">
        <f t="shared" si="2"/>
        <v>9688</v>
      </c>
      <c r="L41" s="1573">
        <v>12500</v>
      </c>
    </row>
    <row r="42" spans="1:14" ht="12.75" customHeight="1" thickBot="1" x14ac:dyDescent="0.25">
      <c r="A42" s="1380" t="s">
        <v>556</v>
      </c>
      <c r="B42" s="1381" t="s">
        <v>711</v>
      </c>
      <c r="C42" s="1674">
        <f>SUM(C36:C41)</f>
        <v>250155</v>
      </c>
      <c r="D42" s="1674">
        <f t="shared" ref="D42:L42" si="3">SUM(D36:D41)</f>
        <v>45275</v>
      </c>
      <c r="E42" s="1674">
        <f t="shared" si="3"/>
        <v>3302</v>
      </c>
      <c r="F42" s="1674">
        <f t="shared" si="3"/>
        <v>10552</v>
      </c>
      <c r="G42" s="1674">
        <f t="shared" si="3"/>
        <v>538</v>
      </c>
      <c r="H42" s="1674">
        <f t="shared" si="3"/>
        <v>2863</v>
      </c>
      <c r="I42" s="1674">
        <f t="shared" si="3"/>
        <v>0</v>
      </c>
      <c r="J42" s="1674">
        <f t="shared" si="3"/>
        <v>0</v>
      </c>
      <c r="K42" s="1674">
        <f t="shared" si="3"/>
        <v>312685</v>
      </c>
      <c r="L42" s="1674">
        <f t="shared" si="3"/>
        <v>324861</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v>59349</v>
      </c>
      <c r="D44" s="1586">
        <v>10724</v>
      </c>
      <c r="E44" s="1586">
        <v>34503</v>
      </c>
      <c r="F44" s="1586">
        <v>97</v>
      </c>
      <c r="G44" s="1586">
        <v>0</v>
      </c>
      <c r="H44" s="1586">
        <v>0</v>
      </c>
      <c r="I44" s="1574">
        <v>0</v>
      </c>
      <c r="J44" s="1574">
        <v>0</v>
      </c>
      <c r="K44" s="1678">
        <f>SUM(C44:J44)</f>
        <v>104673</v>
      </c>
      <c r="L44" s="1586">
        <v>138786</v>
      </c>
    </row>
    <row r="45" spans="1:14" x14ac:dyDescent="0.2">
      <c r="A45" s="1274" t="s">
        <v>810</v>
      </c>
      <c r="B45" s="503">
        <v>2220</v>
      </c>
      <c r="C45" s="1573">
        <v>231281</v>
      </c>
      <c r="D45" s="1573">
        <v>53656</v>
      </c>
      <c r="E45" s="1573">
        <v>2819</v>
      </c>
      <c r="F45" s="1573">
        <v>124239</v>
      </c>
      <c r="G45" s="1573">
        <v>29007</v>
      </c>
      <c r="H45" s="1573">
        <v>2852</v>
      </c>
      <c r="I45" s="1574">
        <v>0</v>
      </c>
      <c r="J45" s="1574">
        <v>0</v>
      </c>
      <c r="K45" s="1678">
        <f>SUM(C45:J45)</f>
        <v>443854</v>
      </c>
      <c r="L45" s="1573">
        <v>514692</v>
      </c>
    </row>
    <row r="46" spans="1:14" x14ac:dyDescent="0.2">
      <c r="A46" s="1274" t="s">
        <v>811</v>
      </c>
      <c r="B46" s="503">
        <v>2230</v>
      </c>
      <c r="C46" s="1573">
        <v>0</v>
      </c>
      <c r="D46" s="1573">
        <v>0</v>
      </c>
      <c r="E46" s="1573">
        <v>0</v>
      </c>
      <c r="F46" s="1573">
        <v>0</v>
      </c>
      <c r="G46" s="1573">
        <v>0</v>
      </c>
      <c r="H46" s="1573">
        <v>0</v>
      </c>
      <c r="I46" s="1574">
        <v>0</v>
      </c>
      <c r="J46" s="1574">
        <v>0</v>
      </c>
      <c r="K46" s="1678">
        <f>SUM(C46:J46)</f>
        <v>0</v>
      </c>
      <c r="L46" s="1573">
        <v>0</v>
      </c>
    </row>
    <row r="47" spans="1:14" ht="12.75" customHeight="1" thickBot="1" x14ac:dyDescent="0.25">
      <c r="A47" s="1380" t="s">
        <v>557</v>
      </c>
      <c r="B47" s="1381" t="s">
        <v>32</v>
      </c>
      <c r="C47" s="1674">
        <f>SUM(C44:C46)</f>
        <v>290630</v>
      </c>
      <c r="D47" s="1674">
        <f t="shared" ref="D47:K47" si="4">SUM(D44:D46)</f>
        <v>64380</v>
      </c>
      <c r="E47" s="1674">
        <f t="shared" si="4"/>
        <v>37322</v>
      </c>
      <c r="F47" s="1674">
        <f t="shared" si="4"/>
        <v>124336</v>
      </c>
      <c r="G47" s="1674">
        <f t="shared" si="4"/>
        <v>29007</v>
      </c>
      <c r="H47" s="1674">
        <f t="shared" si="4"/>
        <v>2852</v>
      </c>
      <c r="I47" s="1674">
        <f t="shared" si="4"/>
        <v>0</v>
      </c>
      <c r="J47" s="1674">
        <f t="shared" si="4"/>
        <v>0</v>
      </c>
      <c r="K47" s="1674">
        <f t="shared" si="4"/>
        <v>548527</v>
      </c>
      <c r="L47" s="1674">
        <f>SUM(L44:L46)</f>
        <v>653478</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v>41597</v>
      </c>
      <c r="D49" s="1586">
        <v>22259</v>
      </c>
      <c r="E49" s="1586">
        <v>60488</v>
      </c>
      <c r="F49" s="1586">
        <v>5860</v>
      </c>
      <c r="G49" s="1586">
        <v>0</v>
      </c>
      <c r="H49" s="1586">
        <v>4656</v>
      </c>
      <c r="I49" s="1574">
        <v>0</v>
      </c>
      <c r="J49" s="1574">
        <v>0</v>
      </c>
      <c r="K49" s="1678">
        <f>SUM(C49:J49)</f>
        <v>134860</v>
      </c>
      <c r="L49" s="1586">
        <v>174786</v>
      </c>
    </row>
    <row r="50" spans="1:14" x14ac:dyDescent="0.2">
      <c r="A50" s="1274" t="s">
        <v>813</v>
      </c>
      <c r="B50" s="503">
        <v>2320</v>
      </c>
      <c r="C50" s="1574">
        <v>133280</v>
      </c>
      <c r="D50" s="1573">
        <v>25307</v>
      </c>
      <c r="E50" s="1573">
        <v>1565</v>
      </c>
      <c r="F50" s="1573">
        <v>2078</v>
      </c>
      <c r="G50" s="1573">
        <v>949</v>
      </c>
      <c r="H50" s="1573">
        <v>1421</v>
      </c>
      <c r="I50" s="1574">
        <v>0</v>
      </c>
      <c r="J50" s="1574">
        <v>0</v>
      </c>
      <c r="K50" s="1678">
        <f>SUM(C50:J50)</f>
        <v>164600</v>
      </c>
      <c r="L50" s="1573">
        <v>169840</v>
      </c>
    </row>
    <row r="51" spans="1:14" x14ac:dyDescent="0.2">
      <c r="A51" s="1274" t="s">
        <v>42</v>
      </c>
      <c r="B51" s="503">
        <v>2330</v>
      </c>
      <c r="C51" s="1573">
        <v>0</v>
      </c>
      <c r="D51" s="1573">
        <v>0</v>
      </c>
      <c r="E51" s="1573">
        <v>0</v>
      </c>
      <c r="F51" s="1573">
        <v>0</v>
      </c>
      <c r="G51" s="1573">
        <v>0</v>
      </c>
      <c r="H51" s="1573">
        <v>0</v>
      </c>
      <c r="I51" s="1574">
        <v>0</v>
      </c>
      <c r="J51" s="1574">
        <v>0</v>
      </c>
      <c r="K51" s="1678">
        <f>SUM(C51:J51)</f>
        <v>0</v>
      </c>
      <c r="L51" s="1573">
        <v>0</v>
      </c>
    </row>
    <row r="52" spans="1:14" ht="22.5" x14ac:dyDescent="0.2">
      <c r="A52" s="1275" t="s">
        <v>295</v>
      </c>
      <c r="B52" s="511" t="s">
        <v>363</v>
      </c>
      <c r="C52" s="1579">
        <v>1293</v>
      </c>
      <c r="D52" s="1579">
        <v>0</v>
      </c>
      <c r="E52" s="1579">
        <v>0</v>
      </c>
      <c r="F52" s="1579">
        <v>0</v>
      </c>
      <c r="G52" s="1579">
        <v>0</v>
      </c>
      <c r="H52" s="1579">
        <v>0</v>
      </c>
      <c r="I52" s="1579">
        <v>0</v>
      </c>
      <c r="J52" s="1579">
        <v>0</v>
      </c>
      <c r="K52" s="1678">
        <f>SUM(C52:J52)</f>
        <v>1293</v>
      </c>
      <c r="L52" s="1579">
        <v>350</v>
      </c>
    </row>
    <row r="53" spans="1:14" ht="12.75" customHeight="1" thickBot="1" x14ac:dyDescent="0.25">
      <c r="A53" s="1380" t="s">
        <v>712</v>
      </c>
      <c r="B53" s="1381" t="s">
        <v>33</v>
      </c>
      <c r="C53" s="1674">
        <f>SUM(C49:C52)</f>
        <v>176170</v>
      </c>
      <c r="D53" s="1674">
        <f t="shared" ref="D53:L53" si="5">SUM(D49:D52)</f>
        <v>47566</v>
      </c>
      <c r="E53" s="1674">
        <f t="shared" si="5"/>
        <v>62053</v>
      </c>
      <c r="F53" s="1674">
        <f t="shared" si="5"/>
        <v>7938</v>
      </c>
      <c r="G53" s="1674">
        <f t="shared" si="5"/>
        <v>949</v>
      </c>
      <c r="H53" s="1674">
        <f t="shared" si="5"/>
        <v>6077</v>
      </c>
      <c r="I53" s="1674">
        <f t="shared" si="5"/>
        <v>0</v>
      </c>
      <c r="J53" s="1674">
        <f t="shared" si="5"/>
        <v>0</v>
      </c>
      <c r="K53" s="1674">
        <f t="shared" si="5"/>
        <v>300753</v>
      </c>
      <c r="L53" s="1674">
        <f t="shared" si="5"/>
        <v>344976</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v>708648</v>
      </c>
      <c r="D55" s="1586">
        <v>153992</v>
      </c>
      <c r="E55" s="1586">
        <v>20046</v>
      </c>
      <c r="F55" s="1586">
        <v>30636</v>
      </c>
      <c r="G55" s="1586">
        <v>0</v>
      </c>
      <c r="H55" s="1586">
        <v>2942</v>
      </c>
      <c r="I55" s="1574">
        <v>0</v>
      </c>
      <c r="J55" s="1574">
        <v>0</v>
      </c>
      <c r="K55" s="1678">
        <f>SUM(C55:J55)</f>
        <v>916264</v>
      </c>
      <c r="L55" s="1586">
        <v>956379</v>
      </c>
    </row>
    <row r="56" spans="1:14" ht="12.75" customHeight="1" x14ac:dyDescent="0.2">
      <c r="A56" s="1278" t="s">
        <v>373</v>
      </c>
      <c r="B56" s="512">
        <v>2490</v>
      </c>
      <c r="C56" s="1573">
        <v>0</v>
      </c>
      <c r="D56" s="1573">
        <v>0</v>
      </c>
      <c r="E56" s="1573">
        <v>0</v>
      </c>
      <c r="F56" s="1573">
        <v>0</v>
      </c>
      <c r="G56" s="1573">
        <v>0</v>
      </c>
      <c r="H56" s="1573">
        <v>0</v>
      </c>
      <c r="I56" s="1574">
        <v>0</v>
      </c>
      <c r="J56" s="1574">
        <v>0</v>
      </c>
      <c r="K56" s="1678">
        <f>SUM(C56:J56)</f>
        <v>0</v>
      </c>
      <c r="L56" s="1573">
        <v>0</v>
      </c>
    </row>
    <row r="57" spans="1:14" s="321" customFormat="1" ht="12.75" customHeight="1" thickBot="1" x14ac:dyDescent="0.25">
      <c r="A57" s="1380" t="s">
        <v>261</v>
      </c>
      <c r="B57" s="1382" t="s">
        <v>34</v>
      </c>
      <c r="C57" s="1679">
        <f>SUM(C55:C56)</f>
        <v>708648</v>
      </c>
      <c r="D57" s="1679">
        <f t="shared" ref="D57:K57" si="6">SUM(D55:D56)</f>
        <v>153992</v>
      </c>
      <c r="E57" s="1679">
        <f t="shared" si="6"/>
        <v>20046</v>
      </c>
      <c r="F57" s="1679">
        <f t="shared" si="6"/>
        <v>30636</v>
      </c>
      <c r="G57" s="1679">
        <f t="shared" si="6"/>
        <v>0</v>
      </c>
      <c r="H57" s="1679">
        <f t="shared" si="6"/>
        <v>2942</v>
      </c>
      <c r="I57" s="1679">
        <f t="shared" si="6"/>
        <v>0</v>
      </c>
      <c r="J57" s="1679">
        <f t="shared" si="6"/>
        <v>0</v>
      </c>
      <c r="K57" s="1679">
        <f t="shared" si="6"/>
        <v>916264</v>
      </c>
      <c r="L57" s="1674">
        <f>SUM(L55:L56)</f>
        <v>956379</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v>98901</v>
      </c>
      <c r="D59" s="1586">
        <v>17787</v>
      </c>
      <c r="E59" s="1586">
        <v>692</v>
      </c>
      <c r="F59" s="1586">
        <v>121</v>
      </c>
      <c r="G59" s="1586">
        <v>762</v>
      </c>
      <c r="H59" s="1586">
        <v>340</v>
      </c>
      <c r="I59" s="1574">
        <v>0</v>
      </c>
      <c r="J59" s="1574">
        <v>0</v>
      </c>
      <c r="K59" s="1678">
        <f t="shared" ref="K59:K64" si="7">SUM(C59:J59)</f>
        <v>118603</v>
      </c>
      <c r="L59" s="1586">
        <v>120355</v>
      </c>
      <c r="M59" s="501"/>
      <c r="N59" s="501"/>
    </row>
    <row r="60" spans="1:14" s="321" customFormat="1" x14ac:dyDescent="0.2">
      <c r="A60" s="1274" t="s">
        <v>460</v>
      </c>
      <c r="B60" s="503">
        <v>2520</v>
      </c>
      <c r="C60" s="1573">
        <v>34298</v>
      </c>
      <c r="D60" s="1573">
        <v>4117</v>
      </c>
      <c r="E60" s="1573">
        <v>0</v>
      </c>
      <c r="F60" s="1573">
        <v>0</v>
      </c>
      <c r="G60" s="1573">
        <v>0</v>
      </c>
      <c r="H60" s="1573">
        <v>0</v>
      </c>
      <c r="I60" s="1574">
        <v>0</v>
      </c>
      <c r="J60" s="1574">
        <v>0</v>
      </c>
      <c r="K60" s="1678">
        <f t="shared" si="7"/>
        <v>38415</v>
      </c>
      <c r="L60" s="1573">
        <v>40776</v>
      </c>
      <c r="M60" s="501"/>
      <c r="N60" s="501"/>
    </row>
    <row r="61" spans="1:14" s="321" customFormat="1" x14ac:dyDescent="0.2">
      <c r="A61" s="1274" t="s">
        <v>195</v>
      </c>
      <c r="B61" s="503">
        <v>2540</v>
      </c>
      <c r="C61" s="1573">
        <v>518784</v>
      </c>
      <c r="D61" s="1573">
        <v>67433</v>
      </c>
      <c r="E61" s="1573">
        <v>0</v>
      </c>
      <c r="F61" s="1573">
        <v>0</v>
      </c>
      <c r="G61" s="1573">
        <v>0</v>
      </c>
      <c r="H61" s="1573">
        <v>0</v>
      </c>
      <c r="I61" s="1574">
        <v>0</v>
      </c>
      <c r="J61" s="1574">
        <v>0</v>
      </c>
      <c r="K61" s="1678">
        <f t="shared" si="7"/>
        <v>586217</v>
      </c>
      <c r="L61" s="1573">
        <v>625497</v>
      </c>
      <c r="M61" s="501"/>
      <c r="N61" s="501"/>
    </row>
    <row r="62" spans="1:14" s="321" customFormat="1" x14ac:dyDescent="0.2">
      <c r="A62" s="1274" t="s">
        <v>947</v>
      </c>
      <c r="B62" s="503">
        <v>2550</v>
      </c>
      <c r="C62" s="1573">
        <v>0</v>
      </c>
      <c r="D62" s="1573">
        <v>0</v>
      </c>
      <c r="E62" s="1573">
        <v>0</v>
      </c>
      <c r="F62" s="1573">
        <v>0</v>
      </c>
      <c r="G62" s="1573">
        <v>0</v>
      </c>
      <c r="H62" s="1573">
        <v>0</v>
      </c>
      <c r="I62" s="1574">
        <v>0</v>
      </c>
      <c r="J62" s="1574">
        <v>0</v>
      </c>
      <c r="K62" s="1678">
        <f t="shared" si="7"/>
        <v>0</v>
      </c>
      <c r="L62" s="1573">
        <v>0</v>
      </c>
      <c r="M62" s="501"/>
      <c r="N62" s="501"/>
    </row>
    <row r="63" spans="1:14" s="501" customFormat="1" x14ac:dyDescent="0.2">
      <c r="A63" s="1274" t="s">
        <v>100</v>
      </c>
      <c r="B63" s="503">
        <v>2560</v>
      </c>
      <c r="C63" s="1573">
        <v>213147</v>
      </c>
      <c r="D63" s="1573">
        <v>59856</v>
      </c>
      <c r="E63" s="1573">
        <v>3960</v>
      </c>
      <c r="F63" s="1573">
        <v>238370</v>
      </c>
      <c r="G63" s="1573">
        <v>1839</v>
      </c>
      <c r="H63" s="1573">
        <v>159</v>
      </c>
      <c r="I63" s="1574">
        <v>0</v>
      </c>
      <c r="J63" s="1574">
        <v>0</v>
      </c>
      <c r="K63" s="1678">
        <f t="shared" si="7"/>
        <v>517331</v>
      </c>
      <c r="L63" s="1573">
        <v>680180</v>
      </c>
    </row>
    <row r="64" spans="1:14" s="501" customFormat="1" x14ac:dyDescent="0.2">
      <c r="A64" s="1279" t="s">
        <v>101</v>
      </c>
      <c r="B64" s="513">
        <v>2570</v>
      </c>
      <c r="C64" s="1586">
        <v>0</v>
      </c>
      <c r="D64" s="1586">
        <v>0</v>
      </c>
      <c r="E64" s="1586">
        <v>0</v>
      </c>
      <c r="F64" s="1586">
        <v>0</v>
      </c>
      <c r="G64" s="1586">
        <v>0</v>
      </c>
      <c r="H64" s="1586">
        <v>0</v>
      </c>
      <c r="I64" s="1574">
        <v>0</v>
      </c>
      <c r="J64" s="1574">
        <v>0</v>
      </c>
      <c r="K64" s="1678">
        <f t="shared" si="7"/>
        <v>0</v>
      </c>
      <c r="L64" s="1586">
        <v>0</v>
      </c>
    </row>
    <row r="65" spans="1:14" s="321" customFormat="1" ht="12.75" customHeight="1" thickBot="1" x14ac:dyDescent="0.25">
      <c r="A65" s="1380" t="s">
        <v>714</v>
      </c>
      <c r="B65" s="1381" t="s">
        <v>35</v>
      </c>
      <c r="C65" s="1674">
        <f>SUM(C59:C64)</f>
        <v>865130</v>
      </c>
      <c r="D65" s="1674">
        <f t="shared" ref="D65:L65" si="8">SUM(D59:D64)</f>
        <v>149193</v>
      </c>
      <c r="E65" s="1674">
        <f t="shared" si="8"/>
        <v>4652</v>
      </c>
      <c r="F65" s="1674">
        <f t="shared" si="8"/>
        <v>238491</v>
      </c>
      <c r="G65" s="1674">
        <f t="shared" si="8"/>
        <v>2601</v>
      </c>
      <c r="H65" s="1674">
        <f t="shared" si="8"/>
        <v>499</v>
      </c>
      <c r="I65" s="1674">
        <f t="shared" si="8"/>
        <v>0</v>
      </c>
      <c r="J65" s="1674">
        <f t="shared" si="8"/>
        <v>0</v>
      </c>
      <c r="K65" s="1674">
        <f t="shared" si="8"/>
        <v>1260566</v>
      </c>
      <c r="L65" s="1674">
        <f t="shared" si="8"/>
        <v>1466808</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v>0</v>
      </c>
      <c r="D67" s="1573">
        <v>0</v>
      </c>
      <c r="E67" s="1573">
        <v>0</v>
      </c>
      <c r="F67" s="1573">
        <v>0</v>
      </c>
      <c r="G67" s="1573">
        <v>0</v>
      </c>
      <c r="H67" s="1573">
        <v>0</v>
      </c>
      <c r="I67" s="1574">
        <v>0</v>
      </c>
      <c r="J67" s="1574">
        <v>0</v>
      </c>
      <c r="K67" s="1678">
        <f>SUM(C67:J67)</f>
        <v>0</v>
      </c>
      <c r="L67" s="1586">
        <v>0</v>
      </c>
      <c r="M67" s="501"/>
      <c r="N67" s="501"/>
    </row>
    <row r="68" spans="1:14" s="321" customFormat="1" x14ac:dyDescent="0.2">
      <c r="A68" s="1274" t="s">
        <v>603</v>
      </c>
      <c r="B68" s="503">
        <v>2620</v>
      </c>
      <c r="C68" s="1573">
        <v>0</v>
      </c>
      <c r="D68" s="1573">
        <v>0</v>
      </c>
      <c r="E68" s="1573">
        <v>0</v>
      </c>
      <c r="F68" s="1573">
        <v>0</v>
      </c>
      <c r="G68" s="1573">
        <v>0</v>
      </c>
      <c r="H68" s="1573">
        <v>0</v>
      </c>
      <c r="I68" s="1574">
        <v>0</v>
      </c>
      <c r="J68" s="1574">
        <v>0</v>
      </c>
      <c r="K68" s="1678">
        <f>SUM(C68:J68)</f>
        <v>0</v>
      </c>
      <c r="L68" s="1573">
        <v>0</v>
      </c>
      <c r="M68" s="501"/>
      <c r="N68" s="501"/>
    </row>
    <row r="69" spans="1:14" s="321" customFormat="1" x14ac:dyDescent="0.2">
      <c r="A69" s="1274" t="s">
        <v>1052</v>
      </c>
      <c r="B69" s="503">
        <v>2630</v>
      </c>
      <c r="C69" s="1573">
        <v>0</v>
      </c>
      <c r="D69" s="1573">
        <v>0</v>
      </c>
      <c r="E69" s="1573">
        <v>0</v>
      </c>
      <c r="F69" s="1573">
        <v>0</v>
      </c>
      <c r="G69" s="1573">
        <v>0</v>
      </c>
      <c r="H69" s="1573">
        <v>0</v>
      </c>
      <c r="I69" s="1574">
        <v>0</v>
      </c>
      <c r="J69" s="1574">
        <v>0</v>
      </c>
      <c r="K69" s="1678">
        <f>SUM(C69:J69)</f>
        <v>0</v>
      </c>
      <c r="L69" s="1573">
        <v>0</v>
      </c>
      <c r="M69" s="501"/>
      <c r="N69" s="501"/>
    </row>
    <row r="70" spans="1:14" s="321" customFormat="1" x14ac:dyDescent="0.2">
      <c r="A70" s="1274" t="s">
        <v>400</v>
      </c>
      <c r="B70" s="503">
        <v>2640</v>
      </c>
      <c r="C70" s="1573">
        <v>0</v>
      </c>
      <c r="D70" s="1573">
        <v>0</v>
      </c>
      <c r="E70" s="1573">
        <v>0</v>
      </c>
      <c r="F70" s="1573">
        <v>0</v>
      </c>
      <c r="G70" s="1573">
        <v>0</v>
      </c>
      <c r="H70" s="1573">
        <v>0</v>
      </c>
      <c r="I70" s="1574">
        <v>0</v>
      </c>
      <c r="J70" s="1574">
        <v>0</v>
      </c>
      <c r="K70" s="1678">
        <f>SUM(C70:J70)</f>
        <v>0</v>
      </c>
      <c r="L70" s="1573">
        <v>0</v>
      </c>
      <c r="M70" s="501"/>
      <c r="N70" s="501"/>
    </row>
    <row r="71" spans="1:14" s="321" customFormat="1" x14ac:dyDescent="0.2">
      <c r="A71" s="1274" t="s">
        <v>401</v>
      </c>
      <c r="B71" s="503">
        <v>2660</v>
      </c>
      <c r="C71" s="1573">
        <v>0</v>
      </c>
      <c r="D71" s="1573">
        <v>0</v>
      </c>
      <c r="E71" s="1573">
        <v>0</v>
      </c>
      <c r="F71" s="1573">
        <v>0</v>
      </c>
      <c r="G71" s="1573">
        <v>0</v>
      </c>
      <c r="H71" s="1573">
        <v>0</v>
      </c>
      <c r="I71" s="1574">
        <v>0</v>
      </c>
      <c r="J71" s="1574">
        <v>0</v>
      </c>
      <c r="K71" s="1678">
        <f>SUM(C71:J71)</f>
        <v>0</v>
      </c>
      <c r="L71" s="1573">
        <v>0</v>
      </c>
      <c r="M71" s="501"/>
      <c r="N71" s="501"/>
    </row>
    <row r="72" spans="1:14" s="321" customFormat="1" ht="12.75" customHeight="1" thickBot="1" x14ac:dyDescent="0.25">
      <c r="A72" s="1380" t="s">
        <v>37</v>
      </c>
      <c r="B72" s="1383" t="s">
        <v>36</v>
      </c>
      <c r="C72" s="1674">
        <f>SUM(C67:C71)</f>
        <v>0</v>
      </c>
      <c r="D72" s="1674">
        <f t="shared" ref="D72:K72" si="9">SUM(D67:D71)</f>
        <v>0</v>
      </c>
      <c r="E72" s="1674">
        <f t="shared" si="9"/>
        <v>0</v>
      </c>
      <c r="F72" s="1674">
        <f t="shared" si="9"/>
        <v>0</v>
      </c>
      <c r="G72" s="1674">
        <f t="shared" si="9"/>
        <v>0</v>
      </c>
      <c r="H72" s="1674">
        <f t="shared" si="9"/>
        <v>0</v>
      </c>
      <c r="I72" s="1674">
        <f t="shared" si="9"/>
        <v>0</v>
      </c>
      <c r="J72" s="1674">
        <f t="shared" si="9"/>
        <v>0</v>
      </c>
      <c r="K72" s="1674">
        <f t="shared" si="9"/>
        <v>0</v>
      </c>
      <c r="L72" s="1674">
        <f>SUM(L67:L71)</f>
        <v>0</v>
      </c>
      <c r="M72" s="501"/>
      <c r="N72" s="501"/>
    </row>
    <row r="73" spans="1:14" s="321" customFormat="1" ht="14.25" thickTop="1" thickBot="1" x14ac:dyDescent="0.25">
      <c r="A73" s="1280" t="s">
        <v>973</v>
      </c>
      <c r="B73" s="515" t="s">
        <v>570</v>
      </c>
      <c r="C73" s="1649">
        <v>0</v>
      </c>
      <c r="D73" s="1649">
        <v>0</v>
      </c>
      <c r="E73" s="1649">
        <v>0</v>
      </c>
      <c r="F73" s="1649">
        <v>0</v>
      </c>
      <c r="G73" s="1649">
        <v>0</v>
      </c>
      <c r="H73" s="1649">
        <v>0</v>
      </c>
      <c r="I73" s="1627">
        <v>0</v>
      </c>
      <c r="J73" s="1627">
        <v>0</v>
      </c>
      <c r="K73" s="1674">
        <f>SUM(C73:J73)</f>
        <v>0</v>
      </c>
      <c r="L73" s="1651">
        <v>0</v>
      </c>
      <c r="M73" s="501"/>
      <c r="N73" s="501"/>
    </row>
    <row r="74" spans="1:14" ht="12.75" customHeight="1" thickTop="1" thickBot="1" x14ac:dyDescent="0.25">
      <c r="A74" s="1380" t="s">
        <v>806</v>
      </c>
      <c r="B74" s="1384">
        <v>2000</v>
      </c>
      <c r="C74" s="1681">
        <f>SUM(C42,C47,C53,C57,C65,C72,C73)</f>
        <v>2290733</v>
      </c>
      <c r="D74" s="1681">
        <f t="shared" ref="D74:K74" si="10">SUM(D42,D47,D53,D57,D65,D72,D73)</f>
        <v>460406</v>
      </c>
      <c r="E74" s="1681">
        <f t="shared" si="10"/>
        <v>127375</v>
      </c>
      <c r="F74" s="1681">
        <f t="shared" si="10"/>
        <v>411953</v>
      </c>
      <c r="G74" s="1681">
        <f t="shared" si="10"/>
        <v>33095</v>
      </c>
      <c r="H74" s="1681">
        <f t="shared" si="10"/>
        <v>15233</v>
      </c>
      <c r="I74" s="1681">
        <f t="shared" si="10"/>
        <v>0</v>
      </c>
      <c r="J74" s="1681">
        <f t="shared" si="10"/>
        <v>0</v>
      </c>
      <c r="K74" s="1681">
        <f t="shared" si="10"/>
        <v>3338795</v>
      </c>
      <c r="L74" s="1681">
        <f>SUM(L42,L47,L53,L57,L65,L72,L73)</f>
        <v>3746502</v>
      </c>
    </row>
    <row r="75" spans="1:14" s="254" customFormat="1" ht="15.75" customHeight="1" thickTop="1" thickBot="1" x14ac:dyDescent="0.25">
      <c r="A75" s="1348" t="s">
        <v>47</v>
      </c>
      <c r="B75" s="1349" t="s">
        <v>571</v>
      </c>
      <c r="C75" s="1649">
        <v>2336</v>
      </c>
      <c r="D75" s="1649">
        <v>419</v>
      </c>
      <c r="E75" s="1649">
        <v>0</v>
      </c>
      <c r="F75" s="1649">
        <v>119</v>
      </c>
      <c r="G75" s="1649">
        <v>0</v>
      </c>
      <c r="H75" s="1649">
        <v>0</v>
      </c>
      <c r="I75" s="1627">
        <v>0</v>
      </c>
      <c r="J75" s="1627">
        <v>0</v>
      </c>
      <c r="K75" s="1674">
        <f>SUM(C75:J75)</f>
        <v>2874</v>
      </c>
      <c r="L75" s="1651">
        <v>700750</v>
      </c>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v>0</v>
      </c>
      <c r="F78" s="1673"/>
      <c r="G78" s="1673"/>
      <c r="H78" s="1682">
        <v>0</v>
      </c>
      <c r="I78" s="1582"/>
      <c r="J78" s="1582"/>
      <c r="K78" s="1672">
        <f t="shared" ref="K78:K83" si="11">SUM(C78:J78)</f>
        <v>0</v>
      </c>
      <c r="L78" s="1586">
        <v>0</v>
      </c>
    </row>
    <row r="79" spans="1:14" x14ac:dyDescent="0.2">
      <c r="A79" s="1274" t="s">
        <v>301</v>
      </c>
      <c r="B79" s="503">
        <v>4120</v>
      </c>
      <c r="C79" s="1673"/>
      <c r="D79" s="1673"/>
      <c r="E79" s="1573">
        <v>477268</v>
      </c>
      <c r="F79" s="1673"/>
      <c r="G79" s="1673"/>
      <c r="H79" s="1573">
        <v>0</v>
      </c>
      <c r="I79" s="1582"/>
      <c r="J79" s="1582"/>
      <c r="K79" s="1672">
        <f t="shared" si="11"/>
        <v>477268</v>
      </c>
      <c r="L79" s="1573">
        <v>469531</v>
      </c>
    </row>
    <row r="80" spans="1:14" x14ac:dyDescent="0.2">
      <c r="A80" s="1274" t="s">
        <v>302</v>
      </c>
      <c r="B80" s="503">
        <v>4130</v>
      </c>
      <c r="C80" s="1673"/>
      <c r="D80" s="1673"/>
      <c r="E80" s="1573">
        <v>0</v>
      </c>
      <c r="F80" s="1673"/>
      <c r="G80" s="1673"/>
      <c r="H80" s="1573">
        <v>0</v>
      </c>
      <c r="I80" s="1582"/>
      <c r="J80" s="1582"/>
      <c r="K80" s="1672">
        <f t="shared" si="11"/>
        <v>0</v>
      </c>
      <c r="L80" s="1573">
        <v>0</v>
      </c>
    </row>
    <row r="81" spans="1:12" x14ac:dyDescent="0.2">
      <c r="A81" s="1274" t="s">
        <v>692</v>
      </c>
      <c r="B81" s="503">
        <v>4140</v>
      </c>
      <c r="C81" s="1673"/>
      <c r="D81" s="1673"/>
      <c r="E81" s="1573">
        <v>15039</v>
      </c>
      <c r="F81" s="1673"/>
      <c r="G81" s="1673"/>
      <c r="H81" s="1573">
        <v>0</v>
      </c>
      <c r="I81" s="1582"/>
      <c r="J81" s="1582"/>
      <c r="K81" s="1672">
        <f t="shared" si="11"/>
        <v>15039</v>
      </c>
      <c r="L81" s="1573">
        <v>16000</v>
      </c>
    </row>
    <row r="82" spans="1:12" x14ac:dyDescent="0.2">
      <c r="A82" s="1274" t="s">
        <v>86</v>
      </c>
      <c r="B82" s="503">
        <v>4170</v>
      </c>
      <c r="C82" s="1673"/>
      <c r="D82" s="1673"/>
      <c r="E82" s="1573">
        <v>0</v>
      </c>
      <c r="F82" s="1673"/>
      <c r="G82" s="1673"/>
      <c r="H82" s="1573">
        <v>0</v>
      </c>
      <c r="I82" s="1582"/>
      <c r="J82" s="1582"/>
      <c r="K82" s="1672">
        <f t="shared" si="11"/>
        <v>0</v>
      </c>
      <c r="L82" s="1573">
        <v>0</v>
      </c>
    </row>
    <row r="83" spans="1:12" x14ac:dyDescent="0.2">
      <c r="A83" s="1278" t="s">
        <v>693</v>
      </c>
      <c r="B83" s="512">
        <v>4190</v>
      </c>
      <c r="C83" s="1673"/>
      <c r="D83" s="1673"/>
      <c r="E83" s="1573">
        <v>1396</v>
      </c>
      <c r="F83" s="1673"/>
      <c r="G83" s="1673"/>
      <c r="H83" s="1573">
        <v>0</v>
      </c>
      <c r="I83" s="1582"/>
      <c r="J83" s="1582"/>
      <c r="K83" s="1672">
        <f t="shared" si="11"/>
        <v>1396</v>
      </c>
      <c r="L83" s="1573">
        <v>1500</v>
      </c>
    </row>
    <row r="84" spans="1:12" ht="13.5" thickBot="1" x14ac:dyDescent="0.25">
      <c r="A84" s="1380" t="s">
        <v>1468</v>
      </c>
      <c r="B84" s="1385">
        <v>4100</v>
      </c>
      <c r="C84" s="1673"/>
      <c r="D84" s="1673"/>
      <c r="E84" s="1674">
        <f>SUM(E78:E83)</f>
        <v>493703</v>
      </c>
      <c r="F84" s="1673"/>
      <c r="G84" s="1673"/>
      <c r="H84" s="1674">
        <f>SUM(H78:H83)</f>
        <v>0</v>
      </c>
      <c r="I84" s="1582"/>
      <c r="J84" s="1582"/>
      <c r="K84" s="1674">
        <f>SUM(K78:K83)</f>
        <v>493703</v>
      </c>
      <c r="L84" s="1674">
        <f>SUM(L78:L83)</f>
        <v>487031</v>
      </c>
    </row>
    <row r="85" spans="1:12" ht="12.75" customHeight="1" thickTop="1" thickBot="1" x14ac:dyDescent="0.25">
      <c r="A85" s="1281" t="s">
        <v>253</v>
      </c>
      <c r="B85" s="517">
        <v>4210</v>
      </c>
      <c r="C85" s="1673"/>
      <c r="D85" s="1673"/>
      <c r="E85" s="1683"/>
      <c r="F85" s="1673"/>
      <c r="G85" s="1673"/>
      <c r="H85" s="1630">
        <v>1827</v>
      </c>
      <c r="I85" s="1582"/>
      <c r="J85" s="1582"/>
      <c r="K85" s="1681">
        <f>H85</f>
        <v>1827</v>
      </c>
      <c r="L85" s="1626">
        <v>6000</v>
      </c>
    </row>
    <row r="86" spans="1:12" ht="12.75" customHeight="1" thickTop="1" thickBot="1" x14ac:dyDescent="0.25">
      <c r="A86" s="1282" t="s">
        <v>694</v>
      </c>
      <c r="B86" s="518">
        <v>4220</v>
      </c>
      <c r="C86" s="1673"/>
      <c r="D86" s="1673"/>
      <c r="E86" s="1684"/>
      <c r="F86" s="1673"/>
      <c r="G86" s="1673"/>
      <c r="H86" s="1574">
        <v>363472</v>
      </c>
      <c r="I86" s="1582"/>
      <c r="J86" s="1582"/>
      <c r="K86" s="1681">
        <f t="shared" ref="K86:K98" si="12">H86</f>
        <v>363472</v>
      </c>
      <c r="L86" s="1626">
        <v>373790</v>
      </c>
    </row>
    <row r="87" spans="1:12" ht="14.25" thickTop="1" thickBot="1" x14ac:dyDescent="0.25">
      <c r="A87" s="1283" t="s">
        <v>695</v>
      </c>
      <c r="B87" s="519">
        <v>4230</v>
      </c>
      <c r="C87" s="1673"/>
      <c r="D87" s="1673"/>
      <c r="E87" s="1684"/>
      <c r="F87" s="1673"/>
      <c r="G87" s="1673"/>
      <c r="H87" s="1574">
        <v>0</v>
      </c>
      <c r="I87" s="1582"/>
      <c r="J87" s="1582"/>
      <c r="K87" s="1681">
        <f t="shared" si="12"/>
        <v>0</v>
      </c>
      <c r="L87" s="1626">
        <v>0</v>
      </c>
    </row>
    <row r="88" spans="1:12" ht="12.75" customHeight="1" thickTop="1" thickBot="1" x14ac:dyDescent="0.25">
      <c r="A88" s="1283" t="s">
        <v>760</v>
      </c>
      <c r="B88" s="519">
        <v>4240</v>
      </c>
      <c r="C88" s="1673"/>
      <c r="D88" s="1673"/>
      <c r="E88" s="1684"/>
      <c r="F88" s="1673"/>
      <c r="G88" s="1673"/>
      <c r="H88" s="1574">
        <v>0</v>
      </c>
      <c r="I88" s="1582"/>
      <c r="J88" s="1582"/>
      <c r="K88" s="1681">
        <f t="shared" si="12"/>
        <v>0</v>
      </c>
      <c r="L88" s="1626">
        <v>0</v>
      </c>
    </row>
    <row r="89" spans="1:12" ht="12.75" customHeight="1" thickTop="1" thickBot="1" x14ac:dyDescent="0.25">
      <c r="A89" s="1283" t="s">
        <v>696</v>
      </c>
      <c r="B89" s="519">
        <v>4270</v>
      </c>
      <c r="C89" s="1673"/>
      <c r="D89" s="1673"/>
      <c r="E89" s="1684"/>
      <c r="F89" s="1673"/>
      <c r="G89" s="1673"/>
      <c r="H89" s="1574">
        <v>0</v>
      </c>
      <c r="I89" s="1582"/>
      <c r="J89" s="1582"/>
      <c r="K89" s="1681">
        <f t="shared" si="12"/>
        <v>0</v>
      </c>
      <c r="L89" s="1626">
        <v>0</v>
      </c>
    </row>
    <row r="90" spans="1:12" ht="12.75" customHeight="1" thickTop="1" thickBot="1" x14ac:dyDescent="0.25">
      <c r="A90" s="1283" t="s">
        <v>681</v>
      </c>
      <c r="B90" s="519">
        <v>4280</v>
      </c>
      <c r="C90" s="1673"/>
      <c r="D90" s="1673"/>
      <c r="E90" s="1684"/>
      <c r="F90" s="1673"/>
      <c r="G90" s="1673"/>
      <c r="H90" s="1574">
        <v>0</v>
      </c>
      <c r="I90" s="1582"/>
      <c r="J90" s="1582"/>
      <c r="K90" s="1681">
        <f t="shared" si="12"/>
        <v>0</v>
      </c>
      <c r="L90" s="1626">
        <v>0</v>
      </c>
    </row>
    <row r="91" spans="1:12" ht="12.75" customHeight="1" thickTop="1" thickBot="1" x14ac:dyDescent="0.25">
      <c r="A91" s="1283" t="s">
        <v>682</v>
      </c>
      <c r="B91" s="519">
        <v>4290</v>
      </c>
      <c r="C91" s="1673"/>
      <c r="D91" s="1673"/>
      <c r="E91" s="1684"/>
      <c r="F91" s="1673"/>
      <c r="G91" s="1673"/>
      <c r="H91" s="1574">
        <v>0</v>
      </c>
      <c r="I91" s="1582"/>
      <c r="J91" s="1582"/>
      <c r="K91" s="1681">
        <f t="shared" si="12"/>
        <v>0</v>
      </c>
      <c r="L91" s="1626">
        <v>0</v>
      </c>
    </row>
    <row r="92" spans="1:12" ht="14.25" thickTop="1" thickBot="1" x14ac:dyDescent="0.25">
      <c r="A92" s="1386" t="s">
        <v>1543</v>
      </c>
      <c r="B92" s="1385">
        <v>4200</v>
      </c>
      <c r="C92" s="1673"/>
      <c r="D92" s="1673"/>
      <c r="E92" s="1684"/>
      <c r="F92" s="1673"/>
      <c r="G92" s="1673"/>
      <c r="H92" s="1674">
        <f>SUM(H85:H91)</f>
        <v>365299</v>
      </c>
      <c r="I92" s="1582"/>
      <c r="J92" s="1582"/>
      <c r="K92" s="1681">
        <f t="shared" si="12"/>
        <v>365299</v>
      </c>
      <c r="L92" s="1674">
        <f>SUM(L85:L91)</f>
        <v>379790</v>
      </c>
    </row>
    <row r="93" spans="1:12" ht="14.25" thickTop="1" thickBot="1" x14ac:dyDescent="0.25">
      <c r="A93" s="1282" t="s">
        <v>683</v>
      </c>
      <c r="B93" s="520">
        <v>4310</v>
      </c>
      <c r="C93" s="1673"/>
      <c r="D93" s="1673"/>
      <c r="E93" s="1684"/>
      <c r="F93" s="1673"/>
      <c r="G93" s="1673"/>
      <c r="H93" s="1685">
        <v>0</v>
      </c>
      <c r="I93" s="1582"/>
      <c r="J93" s="1582"/>
      <c r="K93" s="1681">
        <f t="shared" si="12"/>
        <v>0</v>
      </c>
      <c r="L93" s="1628">
        <v>0</v>
      </c>
    </row>
    <row r="94" spans="1:12" ht="12.75" customHeight="1" thickTop="1" thickBot="1" x14ac:dyDescent="0.25">
      <c r="A94" s="1283" t="s">
        <v>684</v>
      </c>
      <c r="B94" s="519">
        <v>4320</v>
      </c>
      <c r="C94" s="1673"/>
      <c r="D94" s="1673"/>
      <c r="E94" s="1684"/>
      <c r="F94" s="1673"/>
      <c r="G94" s="1673"/>
      <c r="H94" s="1574">
        <v>0</v>
      </c>
      <c r="I94" s="1582"/>
      <c r="J94" s="1582"/>
      <c r="K94" s="1681">
        <f t="shared" si="12"/>
        <v>0</v>
      </c>
      <c r="L94" s="1626">
        <v>0</v>
      </c>
    </row>
    <row r="95" spans="1:12" ht="15" customHeight="1" thickTop="1" thickBot="1" x14ac:dyDescent="0.25">
      <c r="A95" s="1283" t="s">
        <v>1471</v>
      </c>
      <c r="B95" s="519">
        <v>4330</v>
      </c>
      <c r="C95" s="1673"/>
      <c r="D95" s="1673"/>
      <c r="E95" s="1684"/>
      <c r="F95" s="1673"/>
      <c r="G95" s="1673"/>
      <c r="H95" s="1574">
        <v>0</v>
      </c>
      <c r="I95" s="1582"/>
      <c r="J95" s="1582"/>
      <c r="K95" s="1681">
        <f t="shared" si="12"/>
        <v>0</v>
      </c>
      <c r="L95" s="1626">
        <v>0</v>
      </c>
    </row>
    <row r="96" spans="1:12" ht="14.25" thickTop="1" thickBot="1" x14ac:dyDescent="0.25">
      <c r="A96" s="1283" t="s">
        <v>685</v>
      </c>
      <c r="B96" s="519">
        <v>4340</v>
      </c>
      <c r="C96" s="1673"/>
      <c r="D96" s="1673"/>
      <c r="E96" s="1684"/>
      <c r="F96" s="1673"/>
      <c r="G96" s="1673"/>
      <c r="H96" s="1574">
        <v>0</v>
      </c>
      <c r="I96" s="1582"/>
      <c r="J96" s="1582"/>
      <c r="K96" s="1681">
        <f t="shared" si="12"/>
        <v>0</v>
      </c>
      <c r="L96" s="1626">
        <v>0</v>
      </c>
    </row>
    <row r="97" spans="1:14" ht="12.75" customHeight="1" thickTop="1" thickBot="1" x14ac:dyDescent="0.25">
      <c r="A97" s="1283" t="s">
        <v>758</v>
      </c>
      <c r="B97" s="519">
        <v>4370</v>
      </c>
      <c r="C97" s="1673"/>
      <c r="D97" s="1673"/>
      <c r="E97" s="1684"/>
      <c r="F97" s="1673"/>
      <c r="G97" s="1673"/>
      <c r="H97" s="1574">
        <v>0</v>
      </c>
      <c r="I97" s="1582"/>
      <c r="J97" s="1582"/>
      <c r="K97" s="1681">
        <f t="shared" si="12"/>
        <v>0</v>
      </c>
      <c r="L97" s="1626">
        <v>0</v>
      </c>
    </row>
    <row r="98" spans="1:14" ht="14.25" thickTop="1" thickBot="1" x14ac:dyDescent="0.25">
      <c r="A98" s="1283" t="s">
        <v>759</v>
      </c>
      <c r="B98" s="519">
        <v>4380</v>
      </c>
      <c r="C98" s="1673"/>
      <c r="D98" s="1673"/>
      <c r="E98" s="1686"/>
      <c r="F98" s="1673"/>
      <c r="G98" s="1673"/>
      <c r="H98" s="1574">
        <v>0</v>
      </c>
      <c r="I98" s="1582"/>
      <c r="J98" s="1582"/>
      <c r="K98" s="1681">
        <f t="shared" si="12"/>
        <v>0</v>
      </c>
      <c r="L98" s="1626">
        <v>0</v>
      </c>
    </row>
    <row r="99" spans="1:14" ht="14.25" thickTop="1" thickBot="1" x14ac:dyDescent="0.25">
      <c r="A99" s="1283" t="s">
        <v>364</v>
      </c>
      <c r="B99" s="519">
        <v>4390</v>
      </c>
      <c r="C99" s="1673"/>
      <c r="D99" s="1673"/>
      <c r="E99" s="1628">
        <v>0</v>
      </c>
      <c r="F99" s="1673"/>
      <c r="G99" s="1673"/>
      <c r="H99" s="1574">
        <v>0</v>
      </c>
      <c r="I99" s="1582"/>
      <c r="J99" s="1582"/>
      <c r="K99" s="1681">
        <f>SUM(E99,H99)</f>
        <v>0</v>
      </c>
      <c r="L99" s="1626">
        <v>0</v>
      </c>
    </row>
    <row r="100" spans="1:14" ht="14.25" thickTop="1" thickBot="1" x14ac:dyDescent="0.2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1472</v>
      </c>
      <c r="B101" s="521" t="s">
        <v>925</v>
      </c>
      <c r="C101" s="1673"/>
      <c r="D101" s="1673"/>
      <c r="E101" s="1627">
        <v>0</v>
      </c>
      <c r="F101" s="1673"/>
      <c r="G101" s="1673"/>
      <c r="H101" s="1627">
        <v>0</v>
      </c>
      <c r="I101" s="1582"/>
      <c r="J101" s="1582"/>
      <c r="K101" s="1687">
        <f>SUM(C101:J101)</f>
        <v>0</v>
      </c>
      <c r="L101" s="1626">
        <v>0</v>
      </c>
    </row>
    <row r="102" spans="1:14" ht="12.75" customHeight="1" thickTop="1" thickBot="1" x14ac:dyDescent="0.25">
      <c r="A102" s="1380" t="s">
        <v>1470</v>
      </c>
      <c r="B102" s="1385">
        <v>4000</v>
      </c>
      <c r="C102" s="1673"/>
      <c r="D102" s="1673"/>
      <c r="E102" s="1681">
        <f>SUM(E84,E92,E100,E101)</f>
        <v>493703</v>
      </c>
      <c r="F102" s="1673"/>
      <c r="G102" s="1673"/>
      <c r="H102" s="1681">
        <f>SUM(H84,H92,H100,H101)</f>
        <v>365299</v>
      </c>
      <c r="I102" s="1582"/>
      <c r="J102" s="1582"/>
      <c r="K102" s="1681">
        <f>SUM(K84,K92,K100,K101)</f>
        <v>859002</v>
      </c>
      <c r="L102" s="1681">
        <f>SUM(L84,L92,L100,L101)</f>
        <v>866821</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v>0</v>
      </c>
      <c r="I105" s="1575"/>
      <c r="J105" s="1575"/>
      <c r="K105" s="1672">
        <f>H105</f>
        <v>0</v>
      </c>
      <c r="L105" s="1586">
        <v>0</v>
      </c>
      <c r="M105" s="205"/>
      <c r="N105" s="205"/>
    </row>
    <row r="106" spans="1:14" s="493" customFormat="1" x14ac:dyDescent="0.2">
      <c r="A106" s="1274" t="s">
        <v>88</v>
      </c>
      <c r="B106" s="503">
        <v>5120</v>
      </c>
      <c r="C106" s="1673"/>
      <c r="D106" s="1673"/>
      <c r="E106" s="1673"/>
      <c r="F106" s="1673"/>
      <c r="G106" s="1673"/>
      <c r="H106" s="1573">
        <v>0</v>
      </c>
      <c r="I106" s="1575"/>
      <c r="J106" s="1575"/>
      <c r="K106" s="1672">
        <f>H106</f>
        <v>0</v>
      </c>
      <c r="L106" s="1573">
        <v>0</v>
      </c>
      <c r="M106" s="205"/>
      <c r="N106" s="205"/>
    </row>
    <row r="107" spans="1:14" s="493" customFormat="1" ht="12.75" customHeight="1" x14ac:dyDescent="0.2">
      <c r="A107" s="1274" t="s">
        <v>1160</v>
      </c>
      <c r="B107" s="503">
        <v>5130</v>
      </c>
      <c r="C107" s="1673"/>
      <c r="D107" s="1673"/>
      <c r="E107" s="1673"/>
      <c r="F107" s="1673"/>
      <c r="G107" s="1673"/>
      <c r="H107" s="1573">
        <v>0</v>
      </c>
      <c r="I107" s="1575"/>
      <c r="J107" s="1575"/>
      <c r="K107" s="1672">
        <f>H107</f>
        <v>0</v>
      </c>
      <c r="L107" s="1573">
        <v>0</v>
      </c>
      <c r="M107" s="205"/>
      <c r="N107" s="205"/>
    </row>
    <row r="108" spans="1:14" s="493" customFormat="1" x14ac:dyDescent="0.2">
      <c r="A108" s="1274" t="s">
        <v>89</v>
      </c>
      <c r="B108" s="503" t="s">
        <v>585</v>
      </c>
      <c r="C108" s="1673"/>
      <c r="D108" s="1673"/>
      <c r="E108" s="1673"/>
      <c r="F108" s="1673"/>
      <c r="G108" s="1673"/>
      <c r="H108" s="1573">
        <v>0</v>
      </c>
      <c r="I108" s="1575"/>
      <c r="J108" s="1575"/>
      <c r="K108" s="1672">
        <f>H108</f>
        <v>0</v>
      </c>
      <c r="L108" s="1573">
        <v>0</v>
      </c>
      <c r="M108" s="205"/>
      <c r="N108" s="205"/>
    </row>
    <row r="109" spans="1:14" s="493" customFormat="1" x14ac:dyDescent="0.2">
      <c r="A109" s="1274" t="s">
        <v>252</v>
      </c>
      <c r="B109" s="512">
        <v>5150</v>
      </c>
      <c r="C109" s="1673"/>
      <c r="D109" s="1673"/>
      <c r="E109" s="1673"/>
      <c r="F109" s="1673"/>
      <c r="G109" s="1673"/>
      <c r="H109" s="1573">
        <v>0</v>
      </c>
      <c r="I109" s="1575"/>
      <c r="J109" s="1575"/>
      <c r="K109" s="1672">
        <f>H109</f>
        <v>0</v>
      </c>
      <c r="L109" s="1573">
        <v>0</v>
      </c>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v>0</v>
      </c>
      <c r="I111" s="1575"/>
      <c r="J111" s="1575"/>
      <c r="K111" s="1688">
        <f>H111</f>
        <v>0</v>
      </c>
      <c r="L111" s="1628">
        <v>0</v>
      </c>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v>0</v>
      </c>
      <c r="M113" s="502"/>
      <c r="N113" s="502"/>
    </row>
    <row r="114" spans="1:14" ht="12.75" customHeight="1" thickTop="1" thickBot="1" x14ac:dyDescent="0.25">
      <c r="A114" s="1380" t="s">
        <v>48</v>
      </c>
      <c r="B114" s="1388"/>
      <c r="C114" s="1674">
        <f>SUM(C33,C74,C75,C102,C112,C113)</f>
        <v>9290793</v>
      </c>
      <c r="D114" s="1674">
        <f t="shared" ref="D114:K114" si="13">SUM(D33,D74,D75,D102,D112,D113)</f>
        <v>1563088</v>
      </c>
      <c r="E114" s="1674">
        <f t="shared" si="13"/>
        <v>690926</v>
      </c>
      <c r="F114" s="1674">
        <f t="shared" si="13"/>
        <v>805824</v>
      </c>
      <c r="G114" s="1674">
        <f t="shared" si="13"/>
        <v>192185</v>
      </c>
      <c r="H114" s="1674">
        <f>SUM(H33,H74,H75,H102,H112,H113)</f>
        <v>495522</v>
      </c>
      <c r="I114" s="1674">
        <f t="shared" si="13"/>
        <v>0</v>
      </c>
      <c r="J114" s="1674">
        <f t="shared" si="13"/>
        <v>0</v>
      </c>
      <c r="K114" s="1674">
        <f t="shared" si="13"/>
        <v>13038338</v>
      </c>
      <c r="L114" s="1674">
        <f>SUM(L33,L74,L75,L102,L112,L113)</f>
        <v>14251383</v>
      </c>
    </row>
    <row r="115" spans="1:14" ht="13.5" thickTop="1" x14ac:dyDescent="0.2">
      <c r="A115" s="2346" t="s">
        <v>989</v>
      </c>
      <c r="B115" s="2347"/>
      <c r="C115" s="1675"/>
      <c r="D115" s="1675"/>
      <c r="E115" s="1675"/>
      <c r="F115" s="1675"/>
      <c r="G115" s="1675"/>
      <c r="H115" s="1675"/>
      <c r="I115" s="1675"/>
      <c r="J115" s="1675"/>
      <c r="K115" s="1689">
        <f>'Revenues 9-14'!C268-'Expenditures 15-22'!K114</f>
        <v>93577</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351" t="s">
        <v>293</v>
      </c>
      <c r="B117" s="2352"/>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1960</v>
      </c>
      <c r="B120" s="512" t="s">
        <v>711</v>
      </c>
      <c r="C120" s="1573">
        <v>0</v>
      </c>
      <c r="D120" s="1573">
        <v>0</v>
      </c>
      <c r="E120" s="1573">
        <v>0</v>
      </c>
      <c r="F120" s="1573">
        <v>0</v>
      </c>
      <c r="G120" s="1573">
        <v>0</v>
      </c>
      <c r="H120" s="1573">
        <v>0</v>
      </c>
      <c r="I120" s="1574">
        <v>0</v>
      </c>
      <c r="J120" s="1574">
        <v>0</v>
      </c>
      <c r="K120" s="1672">
        <f>SUM(C120:J120)</f>
        <v>0</v>
      </c>
      <c r="L120" s="1573">
        <v>0</v>
      </c>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v>0</v>
      </c>
      <c r="D122" s="1573">
        <v>0</v>
      </c>
      <c r="E122" s="1573">
        <v>0</v>
      </c>
      <c r="F122" s="1573">
        <v>0</v>
      </c>
      <c r="G122" s="1573">
        <v>0</v>
      </c>
      <c r="H122" s="1573">
        <v>0</v>
      </c>
      <c r="I122" s="1574">
        <v>0</v>
      </c>
      <c r="J122" s="1574">
        <v>0</v>
      </c>
      <c r="K122" s="1674">
        <f>SUM(C122:J122)</f>
        <v>0</v>
      </c>
      <c r="L122" s="1573">
        <v>0</v>
      </c>
    </row>
    <row r="123" spans="1:14" ht="14.25" thickTop="1" thickBot="1" x14ac:dyDescent="0.25">
      <c r="A123" s="1274" t="s">
        <v>4</v>
      </c>
      <c r="B123" s="503">
        <v>2530</v>
      </c>
      <c r="C123" s="1573">
        <v>0</v>
      </c>
      <c r="D123" s="1573">
        <v>0</v>
      </c>
      <c r="E123" s="1573">
        <v>0</v>
      </c>
      <c r="F123" s="1573">
        <v>0</v>
      </c>
      <c r="G123" s="1573">
        <v>0</v>
      </c>
      <c r="H123" s="1573">
        <v>0</v>
      </c>
      <c r="I123" s="1574">
        <v>0</v>
      </c>
      <c r="J123" s="1574">
        <v>0</v>
      </c>
      <c r="K123" s="1674">
        <f>SUM(C123:J123)</f>
        <v>0</v>
      </c>
      <c r="L123" s="1573">
        <v>0</v>
      </c>
    </row>
    <row r="124" spans="1:14" ht="14.25" thickTop="1" thickBot="1" x14ac:dyDescent="0.25">
      <c r="A124" s="1274" t="s">
        <v>195</v>
      </c>
      <c r="B124" s="503">
        <v>2540</v>
      </c>
      <c r="C124" s="1573">
        <v>52479</v>
      </c>
      <c r="D124" s="1573">
        <v>11600</v>
      </c>
      <c r="E124" s="1573">
        <v>317906</v>
      </c>
      <c r="F124" s="1573">
        <v>311742</v>
      </c>
      <c r="G124" s="1573">
        <v>247229</v>
      </c>
      <c r="H124" s="1573">
        <v>0</v>
      </c>
      <c r="I124" s="1574">
        <v>0</v>
      </c>
      <c r="J124" s="1574">
        <v>0</v>
      </c>
      <c r="K124" s="1674">
        <f>SUM(C124:J124)</f>
        <v>940956</v>
      </c>
      <c r="L124" s="1573">
        <v>1259608</v>
      </c>
    </row>
    <row r="125" spans="1:14" ht="14.25" thickTop="1" thickBot="1" x14ac:dyDescent="0.25">
      <c r="A125" s="1274" t="s">
        <v>947</v>
      </c>
      <c r="B125" s="503">
        <v>2550</v>
      </c>
      <c r="C125" s="1573">
        <v>0</v>
      </c>
      <c r="D125" s="1573">
        <v>0</v>
      </c>
      <c r="E125" s="1573">
        <v>0</v>
      </c>
      <c r="F125" s="1573">
        <v>0</v>
      </c>
      <c r="G125" s="1573">
        <v>0</v>
      </c>
      <c r="H125" s="1573">
        <v>0</v>
      </c>
      <c r="I125" s="1574">
        <v>0</v>
      </c>
      <c r="J125" s="1574">
        <v>0</v>
      </c>
      <c r="K125" s="1674">
        <f>SUM(C125:J125)</f>
        <v>0</v>
      </c>
      <c r="L125" s="1573">
        <v>0</v>
      </c>
    </row>
    <row r="126" spans="1:14" ht="14.25" thickTop="1" thickBot="1" x14ac:dyDescent="0.25">
      <c r="A126" s="1274" t="s">
        <v>100</v>
      </c>
      <c r="B126" s="503">
        <v>2560</v>
      </c>
      <c r="C126" s="1694"/>
      <c r="D126" s="1694"/>
      <c r="E126" s="1694"/>
      <c r="F126" s="1694"/>
      <c r="G126" s="1573">
        <v>0</v>
      </c>
      <c r="H126" s="1694"/>
      <c r="I126" s="1579">
        <v>0</v>
      </c>
      <c r="J126" s="1673"/>
      <c r="K126" s="1674">
        <f>SUM(C126:J126)</f>
        <v>0</v>
      </c>
      <c r="L126" s="1573">
        <v>0</v>
      </c>
    </row>
    <row r="127" spans="1:14" ht="12.75" customHeight="1" thickTop="1" thickBot="1" x14ac:dyDescent="0.25">
      <c r="A127" s="1380" t="s">
        <v>714</v>
      </c>
      <c r="B127" s="1381" t="s">
        <v>35</v>
      </c>
      <c r="C127" s="1674">
        <f>SUM(C122:C126)</f>
        <v>52479</v>
      </c>
      <c r="D127" s="1674">
        <f t="shared" ref="D127:L127" si="14">SUM(D122:D126)</f>
        <v>11600</v>
      </c>
      <c r="E127" s="1674">
        <f t="shared" si="14"/>
        <v>317906</v>
      </c>
      <c r="F127" s="1674">
        <f t="shared" si="14"/>
        <v>311742</v>
      </c>
      <c r="G127" s="1674">
        <f t="shared" si="14"/>
        <v>247229</v>
      </c>
      <c r="H127" s="1674">
        <f t="shared" si="14"/>
        <v>0</v>
      </c>
      <c r="I127" s="1674">
        <f t="shared" si="14"/>
        <v>0</v>
      </c>
      <c r="J127" s="1674">
        <f t="shared" si="14"/>
        <v>0</v>
      </c>
      <c r="K127" s="1674">
        <f t="shared" si="14"/>
        <v>940956</v>
      </c>
      <c r="L127" s="1674">
        <f t="shared" si="14"/>
        <v>1259608</v>
      </c>
    </row>
    <row r="128" spans="1:14" ht="12.75" customHeight="1" thickTop="1" x14ac:dyDescent="0.2">
      <c r="A128" s="1281" t="s">
        <v>973</v>
      </c>
      <c r="B128" s="531" t="s">
        <v>570</v>
      </c>
      <c r="C128" s="1695">
        <v>0</v>
      </c>
      <c r="D128" s="1695">
        <v>0</v>
      </c>
      <c r="E128" s="1695">
        <v>0</v>
      </c>
      <c r="F128" s="1695">
        <v>0</v>
      </c>
      <c r="G128" s="1695">
        <v>0</v>
      </c>
      <c r="H128" s="1695">
        <v>0</v>
      </c>
      <c r="I128" s="1630">
        <v>0</v>
      </c>
      <c r="J128" s="1630">
        <v>0</v>
      </c>
      <c r="K128" s="1696">
        <f>SUM(C128:J128)</f>
        <v>0</v>
      </c>
      <c r="L128" s="1695">
        <v>0</v>
      </c>
    </row>
    <row r="129" spans="1:14" ht="12.75" customHeight="1" thickBot="1" x14ac:dyDescent="0.25">
      <c r="A129" s="1389" t="s">
        <v>806</v>
      </c>
      <c r="B129" s="1390" t="s">
        <v>565</v>
      </c>
      <c r="C129" s="1681">
        <f>SUM(C120,C127,C128)</f>
        <v>52479</v>
      </c>
      <c r="D129" s="1681">
        <f t="shared" ref="D129:L129" si="15">SUM(D120,D127,D128)</f>
        <v>11600</v>
      </c>
      <c r="E129" s="1681">
        <f t="shared" si="15"/>
        <v>317906</v>
      </c>
      <c r="F129" s="1681">
        <f t="shared" si="15"/>
        <v>311742</v>
      </c>
      <c r="G129" s="1681">
        <f t="shared" si="15"/>
        <v>247229</v>
      </c>
      <c r="H129" s="1681">
        <f t="shared" si="15"/>
        <v>0</v>
      </c>
      <c r="I129" s="1681">
        <f t="shared" si="15"/>
        <v>0</v>
      </c>
      <c r="J129" s="1681">
        <f t="shared" si="15"/>
        <v>0</v>
      </c>
      <c r="K129" s="1681">
        <f t="shared" si="15"/>
        <v>940956</v>
      </c>
      <c r="L129" s="1681">
        <f t="shared" si="15"/>
        <v>1259608</v>
      </c>
    </row>
    <row r="130" spans="1:14" ht="15.75" customHeight="1" thickTop="1" thickBot="1" x14ac:dyDescent="0.25">
      <c r="A130" s="1348" t="s">
        <v>1029</v>
      </c>
      <c r="B130" s="1349" t="s">
        <v>571</v>
      </c>
      <c r="C130" s="1651">
        <v>0</v>
      </c>
      <c r="D130" s="1651">
        <v>0</v>
      </c>
      <c r="E130" s="1651">
        <v>0</v>
      </c>
      <c r="F130" s="1651">
        <v>0</v>
      </c>
      <c r="G130" s="1651">
        <v>0</v>
      </c>
      <c r="H130" s="1651">
        <v>0</v>
      </c>
      <c r="I130" s="1627">
        <v>0</v>
      </c>
      <c r="J130" s="1627">
        <v>0</v>
      </c>
      <c r="K130" s="1674">
        <f>SUM(C130:J130)</f>
        <v>0</v>
      </c>
      <c r="L130" s="1651">
        <v>0</v>
      </c>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1813</v>
      </c>
      <c r="C133" s="1575"/>
      <c r="D133" s="1575"/>
      <c r="E133" s="1685">
        <v>0</v>
      </c>
      <c r="F133" s="1575"/>
      <c r="G133" s="1575"/>
      <c r="H133" s="1685">
        <v>0</v>
      </c>
      <c r="I133" s="1575"/>
      <c r="J133" s="1575"/>
      <c r="K133" s="1697">
        <f>SUM(E133,H133)</f>
        <v>0</v>
      </c>
      <c r="L133" s="1685">
        <v>0</v>
      </c>
      <c r="M133" s="201"/>
      <c r="N133" s="201"/>
    </row>
    <row r="134" spans="1:14" x14ac:dyDescent="0.2">
      <c r="A134" s="1274" t="s">
        <v>301</v>
      </c>
      <c r="B134" s="503">
        <v>4120</v>
      </c>
      <c r="C134" s="1673"/>
      <c r="D134" s="1673"/>
      <c r="E134" s="1583">
        <v>8892</v>
      </c>
      <c r="F134" s="1673"/>
      <c r="G134" s="1673"/>
      <c r="H134" s="1586">
        <v>0</v>
      </c>
      <c r="I134" s="1582"/>
      <c r="J134" s="1673"/>
      <c r="K134" s="1678">
        <f>SUM(E134,H134)</f>
        <v>8892</v>
      </c>
      <c r="L134" s="1586">
        <v>0</v>
      </c>
    </row>
    <row r="135" spans="1:14" x14ac:dyDescent="0.2">
      <c r="A135" s="1274" t="s">
        <v>692</v>
      </c>
      <c r="B135" s="503">
        <v>4140</v>
      </c>
      <c r="C135" s="1673"/>
      <c r="D135" s="1673"/>
      <c r="E135" s="1574">
        <v>0</v>
      </c>
      <c r="F135" s="1673"/>
      <c r="G135" s="1673"/>
      <c r="H135" s="1573">
        <v>0</v>
      </c>
      <c r="I135" s="1582"/>
      <c r="J135" s="1673"/>
      <c r="K135" s="1678">
        <f>SUM(E135,H135)</f>
        <v>0</v>
      </c>
      <c r="L135" s="1573">
        <v>0</v>
      </c>
    </row>
    <row r="136" spans="1:14" x14ac:dyDescent="0.2">
      <c r="A136" s="1278" t="s">
        <v>693</v>
      </c>
      <c r="B136" s="512">
        <v>4190</v>
      </c>
      <c r="C136" s="1673"/>
      <c r="D136" s="1673"/>
      <c r="E136" s="1574">
        <v>0</v>
      </c>
      <c r="F136" s="1673"/>
      <c r="G136" s="1673"/>
      <c r="H136" s="1573">
        <v>0</v>
      </c>
      <c r="I136" s="1582"/>
      <c r="J136" s="1673"/>
      <c r="K136" s="1678">
        <f>SUM(E136,H136)</f>
        <v>0</v>
      </c>
      <c r="L136" s="1573">
        <v>20000</v>
      </c>
    </row>
    <row r="137" spans="1:14" ht="12.75" customHeight="1" thickBot="1" x14ac:dyDescent="0.25">
      <c r="A137" s="1380" t="s">
        <v>477</v>
      </c>
      <c r="B137" s="1385">
        <v>4100</v>
      </c>
      <c r="C137" s="1673"/>
      <c r="D137" s="1673"/>
      <c r="E137" s="1674">
        <f>SUM(E133:E136)</f>
        <v>8892</v>
      </c>
      <c r="F137" s="1673"/>
      <c r="G137" s="1673"/>
      <c r="H137" s="1674">
        <f>SUM(H133:H136)</f>
        <v>0</v>
      </c>
      <c r="I137" s="1582"/>
      <c r="J137" s="1673"/>
      <c r="K137" s="1674">
        <f>SUM(K133:K136)</f>
        <v>8892</v>
      </c>
      <c r="L137" s="1674">
        <f>SUM(L133:L136)</f>
        <v>20000</v>
      </c>
    </row>
    <row r="138" spans="1:14" ht="12.75" customHeight="1" thickTop="1" thickBot="1" x14ac:dyDescent="0.25">
      <c r="A138" s="1280" t="s">
        <v>96</v>
      </c>
      <c r="B138" s="521" t="s">
        <v>925</v>
      </c>
      <c r="C138" s="1673"/>
      <c r="D138" s="1673"/>
      <c r="E138" s="1584"/>
      <c r="F138" s="1673"/>
      <c r="G138" s="1673"/>
      <c r="H138" s="1651">
        <v>0</v>
      </c>
      <c r="I138" s="1582"/>
      <c r="J138" s="1673"/>
      <c r="K138" s="1678">
        <f>SUM(E138,H138)</f>
        <v>0</v>
      </c>
      <c r="L138" s="1651">
        <v>0</v>
      </c>
    </row>
    <row r="139" spans="1:14" ht="12.75" customHeight="1" thickTop="1" thickBot="1" x14ac:dyDescent="0.25">
      <c r="A139" s="1380" t="s">
        <v>1470</v>
      </c>
      <c r="B139" s="1385">
        <v>4000</v>
      </c>
      <c r="C139" s="1673"/>
      <c r="D139" s="1673"/>
      <c r="E139" s="1674">
        <f>SUM(E137,E138)</f>
        <v>8892</v>
      </c>
      <c r="F139" s="1673"/>
      <c r="G139" s="1673"/>
      <c r="H139" s="1687">
        <f>SUM(H137:H138)</f>
        <v>0</v>
      </c>
      <c r="I139" s="1582"/>
      <c r="J139" s="1673"/>
      <c r="K139" s="1678">
        <f>SUM(K137,K138)</f>
        <v>8892</v>
      </c>
      <c r="L139" s="1687">
        <f>SUM(L137,L138)</f>
        <v>20000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v>0</v>
      </c>
      <c r="I142" s="1575"/>
      <c r="J142" s="1673"/>
      <c r="K142" s="1678">
        <f>SUM(H142)</f>
        <v>0</v>
      </c>
      <c r="L142" s="1586">
        <v>0</v>
      </c>
    </row>
    <row r="143" spans="1:14" x14ac:dyDescent="0.2">
      <c r="A143" s="1274" t="s">
        <v>88</v>
      </c>
      <c r="B143" s="503">
        <v>5120</v>
      </c>
      <c r="C143" s="1673"/>
      <c r="D143" s="1673"/>
      <c r="E143" s="1673"/>
      <c r="F143" s="1673"/>
      <c r="G143" s="1673"/>
      <c r="H143" s="1573">
        <v>0</v>
      </c>
      <c r="I143" s="1575"/>
      <c r="J143" s="1673"/>
      <c r="K143" s="1678">
        <f>SUM(H143)</f>
        <v>0</v>
      </c>
      <c r="L143" s="1573">
        <v>0</v>
      </c>
    </row>
    <row r="144" spans="1:14" ht="12.75" customHeight="1" x14ac:dyDescent="0.2">
      <c r="A144" s="1274" t="s">
        <v>1160</v>
      </c>
      <c r="B144" s="512" t="s">
        <v>613</v>
      </c>
      <c r="C144" s="1673"/>
      <c r="D144" s="1673"/>
      <c r="E144" s="1673"/>
      <c r="F144" s="1673"/>
      <c r="G144" s="1673"/>
      <c r="H144" s="1573">
        <v>0</v>
      </c>
      <c r="I144" s="1575"/>
      <c r="J144" s="1673"/>
      <c r="K144" s="1678">
        <f>SUM(H144)</f>
        <v>0</v>
      </c>
      <c r="L144" s="1573">
        <v>0</v>
      </c>
    </row>
    <row r="145" spans="1:14" x14ac:dyDescent="0.2">
      <c r="A145" s="1274" t="s">
        <v>89</v>
      </c>
      <c r="B145" s="503" t="s">
        <v>585</v>
      </c>
      <c r="C145" s="1673"/>
      <c r="D145" s="1673"/>
      <c r="E145" s="1673"/>
      <c r="F145" s="1673"/>
      <c r="G145" s="1673"/>
      <c r="H145" s="1573">
        <v>0</v>
      </c>
      <c r="I145" s="1575"/>
      <c r="J145" s="1673"/>
      <c r="K145" s="1678">
        <f>SUM(H145)</f>
        <v>0</v>
      </c>
      <c r="L145" s="1573">
        <v>0</v>
      </c>
    </row>
    <row r="146" spans="1:14" ht="12.75" customHeight="1" x14ac:dyDescent="0.2">
      <c r="A146" s="1274" t="s">
        <v>615</v>
      </c>
      <c r="B146" s="503" t="s">
        <v>614</v>
      </c>
      <c r="C146" s="1673"/>
      <c r="D146" s="1673"/>
      <c r="E146" s="1673"/>
      <c r="F146" s="1673"/>
      <c r="G146" s="1673"/>
      <c r="H146" s="1573">
        <v>0</v>
      </c>
      <c r="I146" s="1575"/>
      <c r="J146" s="1673"/>
      <c r="K146" s="1678">
        <f>SUM(H146)</f>
        <v>0</v>
      </c>
      <c r="L146" s="1573">
        <v>0</v>
      </c>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v>0</v>
      </c>
      <c r="I148" s="1575"/>
      <c r="J148" s="1673"/>
      <c r="K148" s="1678">
        <f>SUM(H148)</f>
        <v>0</v>
      </c>
      <c r="L148" s="1599">
        <v>0</v>
      </c>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v>15000</v>
      </c>
    </row>
    <row r="151" spans="1:14" ht="12.75" customHeight="1" thickTop="1" thickBot="1" x14ac:dyDescent="0.25">
      <c r="A151" s="2363" t="s">
        <v>616</v>
      </c>
      <c r="B151" s="2343"/>
      <c r="C151" s="1674">
        <f>SUM(C129,C130,C139,C149,C150)</f>
        <v>52479</v>
      </c>
      <c r="D151" s="1674">
        <f t="shared" ref="D151:K151" si="16">SUM(D129,D130,D139,D149,D150)</f>
        <v>11600</v>
      </c>
      <c r="E151" s="1674">
        <f t="shared" si="16"/>
        <v>326798</v>
      </c>
      <c r="F151" s="1674">
        <f t="shared" si="16"/>
        <v>311742</v>
      </c>
      <c r="G151" s="1674">
        <f t="shared" si="16"/>
        <v>247229</v>
      </c>
      <c r="H151" s="1674">
        <f t="shared" si="16"/>
        <v>0</v>
      </c>
      <c r="I151" s="1674">
        <f t="shared" si="16"/>
        <v>0</v>
      </c>
      <c r="J151" s="1674">
        <f t="shared" si="16"/>
        <v>0</v>
      </c>
      <c r="K151" s="1674">
        <f t="shared" si="16"/>
        <v>949848</v>
      </c>
      <c r="L151" s="1674">
        <f>SUM(L129,L130,L139,L149,L150)</f>
        <v>1294608</v>
      </c>
    </row>
    <row r="152" spans="1:14" ht="12.75" customHeight="1" thickTop="1" x14ac:dyDescent="0.2">
      <c r="A152" s="2366" t="s">
        <v>1168</v>
      </c>
      <c r="B152" s="2367"/>
      <c r="C152" s="1675"/>
      <c r="D152" s="1675"/>
      <c r="E152" s="1675"/>
      <c r="F152" s="1675"/>
      <c r="G152" s="1675"/>
      <c r="H152" s="1675"/>
      <c r="I152" s="1675"/>
      <c r="J152" s="1673"/>
      <c r="K152" s="1689">
        <f>'Revenues 9-14'!D268-'Expenditures 15-22'!K151</f>
        <v>328758</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351" t="s">
        <v>617</v>
      </c>
      <c r="B154" s="2353"/>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1814</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1813</v>
      </c>
      <c r="C157" s="1673"/>
      <c r="D157" s="1673"/>
      <c r="E157" s="1673"/>
      <c r="F157" s="1673"/>
      <c r="G157" s="1673"/>
      <c r="H157" s="1685">
        <v>0</v>
      </c>
      <c r="I157" s="1673"/>
      <c r="J157" s="1673"/>
      <c r="K157" s="1672">
        <f>H157</f>
        <v>0</v>
      </c>
      <c r="L157" s="1574">
        <v>0</v>
      </c>
      <c r="M157" s="505"/>
      <c r="N157" s="505"/>
    </row>
    <row r="158" spans="1:14" s="506" customFormat="1" ht="12" x14ac:dyDescent="0.2">
      <c r="A158" s="1462" t="s">
        <v>301</v>
      </c>
      <c r="B158" s="1463" t="s">
        <v>1815</v>
      </c>
      <c r="C158" s="1673"/>
      <c r="D158" s="1673"/>
      <c r="E158" s="1673"/>
      <c r="F158" s="1673"/>
      <c r="G158" s="1673"/>
      <c r="H158" s="1574">
        <v>0</v>
      </c>
      <c r="I158" s="1673"/>
      <c r="J158" s="1673"/>
      <c r="K158" s="1672">
        <f>H158</f>
        <v>0</v>
      </c>
      <c r="L158" s="1574">
        <v>0</v>
      </c>
      <c r="M158" s="505"/>
      <c r="N158" s="505"/>
    </row>
    <row r="159" spans="1:14" s="506" customFormat="1" ht="12" x14ac:dyDescent="0.2">
      <c r="A159" s="1462" t="s">
        <v>1816</v>
      </c>
      <c r="B159" s="1463" t="s">
        <v>554</v>
      </c>
      <c r="C159" s="1673"/>
      <c r="D159" s="1673"/>
      <c r="E159" s="1673"/>
      <c r="F159" s="1673"/>
      <c r="G159" s="1673"/>
      <c r="H159" s="1574">
        <v>0</v>
      </c>
      <c r="I159" s="1673"/>
      <c r="J159" s="1673"/>
      <c r="K159" s="1672">
        <f>H159</f>
        <v>0</v>
      </c>
      <c r="L159" s="1574">
        <v>0</v>
      </c>
      <c r="M159" s="505"/>
      <c r="N159" s="505"/>
    </row>
    <row r="160" spans="1:14" s="506" customFormat="1" ht="15.75" customHeight="1" thickBot="1" x14ac:dyDescent="0.25">
      <c r="A160" s="1464" t="s">
        <v>1817</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4">
        <v>0</v>
      </c>
      <c r="I163" s="1673"/>
      <c r="J163" s="1673"/>
      <c r="K163" s="1672">
        <f>SUM(C163:J163)</f>
        <v>0</v>
      </c>
      <c r="L163" s="1573">
        <v>0</v>
      </c>
    </row>
    <row r="164" spans="1:14" x14ac:dyDescent="0.2">
      <c r="A164" s="1274" t="s">
        <v>88</v>
      </c>
      <c r="B164" s="503">
        <v>5120</v>
      </c>
      <c r="C164" s="1673"/>
      <c r="D164" s="1673"/>
      <c r="E164" s="1673"/>
      <c r="F164" s="1673"/>
      <c r="G164" s="1673"/>
      <c r="H164" s="1573">
        <v>0</v>
      </c>
      <c r="I164" s="1673"/>
      <c r="J164" s="1673"/>
      <c r="K164" s="1672">
        <f>SUM(C164:J164)</f>
        <v>0</v>
      </c>
      <c r="L164" s="1573">
        <v>0</v>
      </c>
    </row>
    <row r="165" spans="1:14" ht="12.75" customHeight="1" x14ac:dyDescent="0.2">
      <c r="A165" s="1274" t="s">
        <v>1160</v>
      </c>
      <c r="B165" s="503" t="s">
        <v>613</v>
      </c>
      <c r="C165" s="1673"/>
      <c r="D165" s="1673"/>
      <c r="E165" s="1673"/>
      <c r="F165" s="1673"/>
      <c r="G165" s="1673"/>
      <c r="H165" s="1573">
        <v>0</v>
      </c>
      <c r="I165" s="1673"/>
      <c r="J165" s="1673"/>
      <c r="K165" s="1672">
        <f>SUM(C165:J165)</f>
        <v>0</v>
      </c>
      <c r="L165" s="1573">
        <v>0</v>
      </c>
    </row>
    <row r="166" spans="1:14" x14ac:dyDescent="0.2">
      <c r="A166" s="1274" t="s">
        <v>89</v>
      </c>
      <c r="B166" s="512" t="s">
        <v>585</v>
      </c>
      <c r="C166" s="1673"/>
      <c r="D166" s="1673"/>
      <c r="E166" s="1673"/>
      <c r="F166" s="1673"/>
      <c r="G166" s="1673"/>
      <c r="H166" s="1573">
        <v>0</v>
      </c>
      <c r="I166" s="1673"/>
      <c r="J166" s="1673"/>
      <c r="K166" s="1672">
        <f>SUM(C166:J166)</f>
        <v>0</v>
      </c>
      <c r="L166" s="1573">
        <v>0</v>
      </c>
    </row>
    <row r="167" spans="1:14" ht="12.75" customHeight="1" x14ac:dyDescent="0.2">
      <c r="A167" s="1274" t="s">
        <v>615</v>
      </c>
      <c r="B167" s="503" t="s">
        <v>614</v>
      </c>
      <c r="C167" s="1673"/>
      <c r="D167" s="1673"/>
      <c r="E167" s="1673"/>
      <c r="F167" s="1673"/>
      <c r="G167" s="1673"/>
      <c r="H167" s="1573">
        <v>0</v>
      </c>
      <c r="I167" s="1673"/>
      <c r="J167" s="1673"/>
      <c r="K167" s="1672">
        <f>SUM(C167:J167)</f>
        <v>0</v>
      </c>
      <c r="L167" s="1573">
        <v>0</v>
      </c>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49887</v>
      </c>
      <c r="I169" s="1673"/>
      <c r="J169" s="1673"/>
      <c r="K169" s="1672">
        <f>SUM(C169:H169)</f>
        <v>49887</v>
      </c>
      <c r="L169" s="1695">
        <v>49886</v>
      </c>
    </row>
    <row r="170" spans="1:14" ht="33.75" customHeight="1" x14ac:dyDescent="0.2">
      <c r="A170" s="543" t="s">
        <v>1651</v>
      </c>
      <c r="B170" s="545" t="s">
        <v>31</v>
      </c>
      <c r="C170" s="1673"/>
      <c r="D170" s="1673"/>
      <c r="E170" s="1673"/>
      <c r="F170" s="1673"/>
      <c r="G170" s="1673"/>
      <c r="H170" s="1646">
        <v>989620</v>
      </c>
      <c r="I170" s="1673"/>
      <c r="J170" s="1673"/>
      <c r="K170" s="1672">
        <f>SUM(C170:J170)</f>
        <v>989620</v>
      </c>
      <c r="L170" s="1646">
        <v>989840</v>
      </c>
    </row>
    <row r="171" spans="1:14" ht="15.75" customHeight="1" x14ac:dyDescent="0.2">
      <c r="A171" s="507" t="s">
        <v>761</v>
      </c>
      <c r="B171" s="546" t="s">
        <v>84</v>
      </c>
      <c r="C171" s="1673"/>
      <c r="D171" s="1673"/>
      <c r="E171" s="1573">
        <v>0</v>
      </c>
      <c r="F171" s="1673"/>
      <c r="G171" s="1673"/>
      <c r="H171" s="1646">
        <v>0</v>
      </c>
      <c r="I171" s="1582"/>
      <c r="J171" s="1673"/>
      <c r="K171" s="1672">
        <f>SUM(C171:J171)</f>
        <v>0</v>
      </c>
      <c r="L171" s="1646">
        <v>0</v>
      </c>
    </row>
    <row r="172" spans="1:14" ht="12.75" customHeight="1" thickBot="1" x14ac:dyDescent="0.25">
      <c r="A172" s="1380" t="s">
        <v>633</v>
      </c>
      <c r="B172" s="1381" t="s">
        <v>489</v>
      </c>
      <c r="C172" s="1673"/>
      <c r="D172" s="1673"/>
      <c r="E172" s="1681">
        <f>SUM(E168,E169,E170,E171)</f>
        <v>0</v>
      </c>
      <c r="F172" s="1673"/>
      <c r="G172" s="1673"/>
      <c r="H172" s="1681">
        <f>SUM(H168,H169,H170,H171)</f>
        <v>1039507</v>
      </c>
      <c r="I172" s="1684"/>
      <c r="J172" s="1673"/>
      <c r="K172" s="1681">
        <f>SUM(K168,K169,K170,K171)</f>
        <v>1039507</v>
      </c>
      <c r="L172" s="1681">
        <f>SUM(L168,L169,L170,L171)</f>
        <v>1039726</v>
      </c>
    </row>
    <row r="173" spans="1:14" ht="15.75" customHeight="1" thickTop="1" thickBot="1" x14ac:dyDescent="0.25">
      <c r="A173" s="1357" t="s">
        <v>85</v>
      </c>
      <c r="B173" s="1349" t="s">
        <v>856</v>
      </c>
      <c r="C173" s="1673"/>
      <c r="D173" s="1673"/>
      <c r="E173" s="1676"/>
      <c r="F173" s="1673"/>
      <c r="G173" s="1673"/>
      <c r="H173" s="1677"/>
      <c r="I173" s="1684"/>
      <c r="J173" s="1673"/>
      <c r="K173" s="1676"/>
      <c r="L173" s="1651">
        <v>10000</v>
      </c>
    </row>
    <row r="174" spans="1:14" ht="12.75" customHeight="1" thickTop="1" thickBot="1" x14ac:dyDescent="0.25">
      <c r="A174" s="1391" t="s">
        <v>90</v>
      </c>
      <c r="B174" s="1392"/>
      <c r="C174" s="1673"/>
      <c r="D174" s="1673"/>
      <c r="E174" s="1681">
        <f>SUM(E172,E173)</f>
        <v>0</v>
      </c>
      <c r="F174" s="1673"/>
      <c r="G174" s="1673"/>
      <c r="H174" s="1681">
        <f>SUM(H160,H172,H173)</f>
        <v>1039507</v>
      </c>
      <c r="I174" s="1684"/>
      <c r="J174" s="1673"/>
      <c r="K174" s="1681">
        <f>SUM(K160,K172,K173)</f>
        <v>1039507</v>
      </c>
      <c r="L174" s="1681">
        <f>SUM(L160,L172,L173)</f>
        <v>1049726</v>
      </c>
    </row>
    <row r="175" spans="1:14" ht="13.5" thickTop="1" x14ac:dyDescent="0.2">
      <c r="A175" s="2346" t="s">
        <v>989</v>
      </c>
      <c r="B175" s="2347"/>
      <c r="C175" s="1673"/>
      <c r="D175" s="1673"/>
      <c r="E175" s="1673"/>
      <c r="F175" s="1673"/>
      <c r="G175" s="1673"/>
      <c r="H175" s="1675"/>
      <c r="I175" s="1673"/>
      <c r="J175" s="1673"/>
      <c r="K175" s="1689">
        <f>'Revenues 9-14'!E268-'Expenditures 15-22'!K174</f>
        <v>-139135</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1960</v>
      </c>
      <c r="B180" s="503" t="s">
        <v>711</v>
      </c>
      <c r="C180" s="1573">
        <v>0</v>
      </c>
      <c r="D180" s="1573">
        <v>0</v>
      </c>
      <c r="E180" s="1573">
        <v>0</v>
      </c>
      <c r="F180" s="1573">
        <v>0</v>
      </c>
      <c r="G180" s="1573">
        <v>0</v>
      </c>
      <c r="H180" s="1573">
        <v>0</v>
      </c>
      <c r="I180" s="1574">
        <v>0</v>
      </c>
      <c r="J180" s="1574">
        <v>0</v>
      </c>
      <c r="K180" s="1672">
        <f>SUM(C180:J180)</f>
        <v>0</v>
      </c>
      <c r="L180" s="1573">
        <v>0</v>
      </c>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v>314771</v>
      </c>
      <c r="D182" s="1573">
        <v>13929</v>
      </c>
      <c r="E182" s="1573">
        <v>54894</v>
      </c>
      <c r="F182" s="1573">
        <v>127304</v>
      </c>
      <c r="G182" s="1573">
        <v>141561</v>
      </c>
      <c r="H182" s="1573">
        <v>0</v>
      </c>
      <c r="I182" s="1574">
        <v>0</v>
      </c>
      <c r="J182" s="1574">
        <v>0</v>
      </c>
      <c r="K182" s="1672">
        <f>SUM(C182:J182)</f>
        <v>652459</v>
      </c>
      <c r="L182" s="1573">
        <v>727117</v>
      </c>
    </row>
    <row r="183" spans="1:14" ht="12.75" customHeight="1" thickBot="1" x14ac:dyDescent="0.25">
      <c r="A183" s="1279" t="s">
        <v>973</v>
      </c>
      <c r="B183" s="551">
        <v>2900</v>
      </c>
      <c r="C183" s="1649">
        <v>0</v>
      </c>
      <c r="D183" s="1649">
        <v>0</v>
      </c>
      <c r="E183" s="1649">
        <v>0</v>
      </c>
      <c r="F183" s="1649">
        <v>0</v>
      </c>
      <c r="G183" s="1649">
        <v>0</v>
      </c>
      <c r="H183" s="1649">
        <v>0</v>
      </c>
      <c r="I183" s="1628">
        <v>0</v>
      </c>
      <c r="J183" s="1628">
        <v>0</v>
      </c>
      <c r="K183" s="1681">
        <f>SUM(C183:J183)</f>
        <v>0</v>
      </c>
      <c r="L183" s="1649">
        <v>0</v>
      </c>
    </row>
    <row r="184" spans="1:14" ht="12.75" customHeight="1" thickTop="1" thickBot="1" x14ac:dyDescent="0.25">
      <c r="A184" s="1393" t="s">
        <v>806</v>
      </c>
      <c r="B184" s="1381" t="s">
        <v>565</v>
      </c>
      <c r="C184" s="1681">
        <f>SUM(C180,C182,C183)</f>
        <v>314771</v>
      </c>
      <c r="D184" s="1681">
        <f t="shared" ref="D184:J184" si="17">SUM(D180,D182,D183)</f>
        <v>13929</v>
      </c>
      <c r="E184" s="1681">
        <f t="shared" si="17"/>
        <v>54894</v>
      </c>
      <c r="F184" s="1681">
        <f t="shared" si="17"/>
        <v>127304</v>
      </c>
      <c r="G184" s="1681">
        <f t="shared" si="17"/>
        <v>141561</v>
      </c>
      <c r="H184" s="1681">
        <f t="shared" si="17"/>
        <v>0</v>
      </c>
      <c r="I184" s="1681">
        <f t="shared" si="17"/>
        <v>0</v>
      </c>
      <c r="J184" s="1681">
        <f t="shared" si="17"/>
        <v>0</v>
      </c>
      <c r="K184" s="1681">
        <f>SUM(K180,K182,K183)</f>
        <v>652459</v>
      </c>
      <c r="L184" s="1681">
        <f>SUM(L180, L182:L183)</f>
        <v>727117</v>
      </c>
    </row>
    <row r="185" spans="1:14" ht="15.75" customHeight="1" thickTop="1" thickBot="1" x14ac:dyDescent="0.25">
      <c r="A185" s="1360" t="s">
        <v>933</v>
      </c>
      <c r="B185" s="1349">
        <v>3000</v>
      </c>
      <c r="C185" s="1651">
        <v>0</v>
      </c>
      <c r="D185" s="1651">
        <v>0</v>
      </c>
      <c r="E185" s="1651">
        <v>0</v>
      </c>
      <c r="F185" s="1651">
        <v>0</v>
      </c>
      <c r="G185" s="1651">
        <v>0</v>
      </c>
      <c r="H185" s="1651">
        <v>0</v>
      </c>
      <c r="I185" s="1627">
        <v>0</v>
      </c>
      <c r="J185" s="1627">
        <v>0</v>
      </c>
      <c r="K185" s="1674">
        <f>SUM(C185:J185)</f>
        <v>0</v>
      </c>
      <c r="L185" s="1651">
        <v>0</v>
      </c>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v>0</v>
      </c>
      <c r="F188" s="1673"/>
      <c r="G188" s="1673"/>
      <c r="H188" s="1573">
        <v>0</v>
      </c>
      <c r="I188" s="1582"/>
      <c r="J188" s="1673"/>
      <c r="K188" s="1672">
        <f t="shared" ref="K188:K193" si="18">SUM(E188,H188)</f>
        <v>0</v>
      </c>
      <c r="L188" s="1573">
        <v>0</v>
      </c>
    </row>
    <row r="189" spans="1:14" x14ac:dyDescent="0.2">
      <c r="A189" s="1274" t="s">
        <v>301</v>
      </c>
      <c r="B189" s="503">
        <v>4120</v>
      </c>
      <c r="C189" s="1673"/>
      <c r="D189" s="1673"/>
      <c r="E189" s="1573">
        <v>0</v>
      </c>
      <c r="F189" s="1673"/>
      <c r="G189" s="1673"/>
      <c r="H189" s="1573">
        <v>0</v>
      </c>
      <c r="I189" s="1582"/>
      <c r="J189" s="1673"/>
      <c r="K189" s="1672">
        <f t="shared" si="18"/>
        <v>0</v>
      </c>
      <c r="L189" s="1573">
        <v>0</v>
      </c>
    </row>
    <row r="190" spans="1:14" x14ac:dyDescent="0.2">
      <c r="A190" s="1274" t="s">
        <v>302</v>
      </c>
      <c r="B190" s="512">
        <v>4130</v>
      </c>
      <c r="C190" s="1673"/>
      <c r="D190" s="1673"/>
      <c r="E190" s="1573">
        <v>0</v>
      </c>
      <c r="F190" s="1673"/>
      <c r="G190" s="1673"/>
      <c r="H190" s="1573">
        <v>0</v>
      </c>
      <c r="I190" s="1582"/>
      <c r="J190" s="1673"/>
      <c r="K190" s="1672">
        <f t="shared" si="18"/>
        <v>0</v>
      </c>
      <c r="L190" s="1573">
        <v>0</v>
      </c>
    </row>
    <row r="191" spans="1:14" x14ac:dyDescent="0.2">
      <c r="A191" s="1274" t="s">
        <v>692</v>
      </c>
      <c r="B191" s="503">
        <v>4140</v>
      </c>
      <c r="C191" s="1673"/>
      <c r="D191" s="1673"/>
      <c r="E191" s="1573">
        <v>0</v>
      </c>
      <c r="F191" s="1673"/>
      <c r="G191" s="1673"/>
      <c r="H191" s="1573">
        <v>0</v>
      </c>
      <c r="I191" s="1582"/>
      <c r="J191" s="1673"/>
      <c r="K191" s="1672">
        <f t="shared" si="18"/>
        <v>0</v>
      </c>
      <c r="L191" s="1573">
        <v>0</v>
      </c>
    </row>
    <row r="192" spans="1:14" x14ac:dyDescent="0.2">
      <c r="A192" s="1274" t="s">
        <v>86</v>
      </c>
      <c r="B192" s="503">
        <v>4170</v>
      </c>
      <c r="C192" s="1673"/>
      <c r="D192" s="1673"/>
      <c r="E192" s="1573">
        <v>0</v>
      </c>
      <c r="F192" s="1673"/>
      <c r="G192" s="1673"/>
      <c r="H192" s="1573">
        <v>0</v>
      </c>
      <c r="I192" s="1582"/>
      <c r="J192" s="1673"/>
      <c r="K192" s="1672">
        <f t="shared" si="18"/>
        <v>0</v>
      </c>
      <c r="L192" s="1573">
        <v>0</v>
      </c>
    </row>
    <row r="193" spans="1:14" x14ac:dyDescent="0.2">
      <c r="A193" s="1278" t="s">
        <v>693</v>
      </c>
      <c r="B193" s="512">
        <v>4190</v>
      </c>
      <c r="C193" s="1673"/>
      <c r="D193" s="1673"/>
      <c r="E193" s="1573">
        <v>0</v>
      </c>
      <c r="F193" s="1673"/>
      <c r="G193" s="1673"/>
      <c r="H193" s="1573">
        <v>0</v>
      </c>
      <c r="I193" s="1582"/>
      <c r="J193" s="1673"/>
      <c r="K193" s="1672">
        <f t="shared" si="18"/>
        <v>0</v>
      </c>
      <c r="L193" s="1573">
        <v>0</v>
      </c>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v>0</v>
      </c>
      <c r="F195" s="1673"/>
      <c r="G195" s="1673"/>
      <c r="H195" s="1695">
        <v>0</v>
      </c>
      <c r="I195" s="1582"/>
      <c r="J195" s="1673"/>
      <c r="K195" s="1696">
        <f>SUM(E195,H195)</f>
        <v>0</v>
      </c>
      <c r="L195" s="1695">
        <v>0</v>
      </c>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v>0</v>
      </c>
      <c r="I199" s="1673"/>
      <c r="J199" s="1673"/>
      <c r="K199" s="1672">
        <f>SUM(H199)</f>
        <v>0</v>
      </c>
      <c r="L199" s="1573">
        <v>0</v>
      </c>
    </row>
    <row r="200" spans="1:14" x14ac:dyDescent="0.2">
      <c r="A200" s="1274" t="s">
        <v>88</v>
      </c>
      <c r="B200" s="503">
        <v>5120</v>
      </c>
      <c r="C200" s="1673"/>
      <c r="D200" s="1673"/>
      <c r="E200" s="1673"/>
      <c r="F200" s="1673"/>
      <c r="G200" s="1673"/>
      <c r="H200" s="1573">
        <v>0</v>
      </c>
      <c r="I200" s="1673"/>
      <c r="J200" s="1673"/>
      <c r="K200" s="1672">
        <f>SUM(H200)</f>
        <v>0</v>
      </c>
      <c r="L200" s="1573">
        <v>0</v>
      </c>
    </row>
    <row r="201" spans="1:14" ht="12.75" customHeight="1" x14ac:dyDescent="0.2">
      <c r="A201" s="1274" t="s">
        <v>1160</v>
      </c>
      <c r="B201" s="512" t="s">
        <v>613</v>
      </c>
      <c r="C201" s="1673"/>
      <c r="D201" s="1673"/>
      <c r="E201" s="1673"/>
      <c r="F201" s="1673"/>
      <c r="G201" s="1673"/>
      <c r="H201" s="1573">
        <v>0</v>
      </c>
      <c r="I201" s="1673"/>
      <c r="J201" s="1673"/>
      <c r="K201" s="1672">
        <f>SUM(H201)</f>
        <v>0</v>
      </c>
      <c r="L201" s="1573">
        <v>0</v>
      </c>
    </row>
    <row r="202" spans="1:14" x14ac:dyDescent="0.2">
      <c r="A202" s="1274" t="s">
        <v>89</v>
      </c>
      <c r="B202" s="503" t="s">
        <v>585</v>
      </c>
      <c r="C202" s="1673"/>
      <c r="D202" s="1673"/>
      <c r="E202" s="1673"/>
      <c r="F202" s="1673"/>
      <c r="G202" s="1673"/>
      <c r="H202" s="1573">
        <v>0</v>
      </c>
      <c r="I202" s="1673"/>
      <c r="J202" s="1673"/>
      <c r="K202" s="1672">
        <f>SUM(H202)</f>
        <v>0</v>
      </c>
      <c r="L202" s="1573">
        <v>0</v>
      </c>
    </row>
    <row r="203" spans="1:14" x14ac:dyDescent="0.2">
      <c r="A203" s="1286" t="s">
        <v>615</v>
      </c>
      <c r="B203" s="503" t="s">
        <v>614</v>
      </c>
      <c r="C203" s="1673"/>
      <c r="D203" s="1673"/>
      <c r="E203" s="1673"/>
      <c r="F203" s="1673"/>
      <c r="G203" s="1673"/>
      <c r="H203" s="1577">
        <v>0</v>
      </c>
      <c r="I203" s="1673"/>
      <c r="J203" s="1673"/>
      <c r="K203" s="1672">
        <f>SUM(H203)</f>
        <v>0</v>
      </c>
      <c r="L203" s="1577">
        <v>0</v>
      </c>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v>0</v>
      </c>
      <c r="I205" s="1673"/>
      <c r="J205" s="1673"/>
      <c r="K205" s="1696">
        <f>SUM(H205)</f>
        <v>0</v>
      </c>
      <c r="L205" s="1630">
        <v>0</v>
      </c>
    </row>
    <row r="206" spans="1:14" ht="30" customHeight="1" x14ac:dyDescent="0.2">
      <c r="A206" s="555" t="s">
        <v>1652</v>
      </c>
      <c r="B206" s="546" t="s">
        <v>31</v>
      </c>
      <c r="C206" s="1673"/>
      <c r="D206" s="1673"/>
      <c r="E206" s="1673"/>
      <c r="F206" s="1673"/>
      <c r="G206" s="1673"/>
      <c r="H206" s="1573">
        <v>0</v>
      </c>
      <c r="I206" s="1673"/>
      <c r="J206" s="1673"/>
      <c r="K206" s="1672">
        <f>SUM(H206)</f>
        <v>0</v>
      </c>
      <c r="L206" s="1573">
        <v>0</v>
      </c>
    </row>
    <row r="207" spans="1:14" ht="15.75" customHeight="1" x14ac:dyDescent="0.2">
      <c r="A207" s="507" t="s">
        <v>761</v>
      </c>
      <c r="B207" s="546" t="s">
        <v>84</v>
      </c>
      <c r="C207" s="1673"/>
      <c r="D207" s="1673"/>
      <c r="E207" s="1673"/>
      <c r="F207" s="1673"/>
      <c r="G207" s="1673"/>
      <c r="H207" s="1574">
        <v>0</v>
      </c>
      <c r="I207" s="1673"/>
      <c r="J207" s="1673"/>
      <c r="K207" s="1672">
        <f>H207</f>
        <v>0</v>
      </c>
      <c r="L207" s="1573">
        <v>0</v>
      </c>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v>20000</v>
      </c>
    </row>
    <row r="210" spans="1:14" ht="12.75" customHeight="1" thickTop="1" thickBot="1" x14ac:dyDescent="0.25">
      <c r="A210" s="1394" t="s">
        <v>275</v>
      </c>
      <c r="B210" s="1395"/>
      <c r="C210" s="1674">
        <f>SUM(C184,C185)</f>
        <v>314771</v>
      </c>
      <c r="D210" s="1674">
        <f>SUM(D184,D185)</f>
        <v>13929</v>
      </c>
      <c r="E210" s="1674">
        <f>SUM(E184,E185,E196)</f>
        <v>54894</v>
      </c>
      <c r="F210" s="1674">
        <f>SUM(F184,F185)</f>
        <v>127304</v>
      </c>
      <c r="G210" s="1674">
        <f>SUM(G184,G185)</f>
        <v>141561</v>
      </c>
      <c r="H210" s="1674">
        <f>SUM(H184,H185,H196,H208,H209)</f>
        <v>0</v>
      </c>
      <c r="I210" s="1674">
        <f>SUM(I184,I185)</f>
        <v>0</v>
      </c>
      <c r="J210" s="1674">
        <f>SUM(J184,J185)</f>
        <v>0</v>
      </c>
      <c r="K210" s="1672">
        <f>SUM(K184,K185,K196,K208,K209)</f>
        <v>652459</v>
      </c>
      <c r="L210" s="1674">
        <f>SUM(L184,L185,L196,L208,L209)</f>
        <v>747117</v>
      </c>
    </row>
    <row r="211" spans="1:14" ht="13.5" thickTop="1" x14ac:dyDescent="0.2">
      <c r="A211" s="2346" t="s">
        <v>989</v>
      </c>
      <c r="B211" s="2347"/>
      <c r="C211" s="1675"/>
      <c r="D211" s="1675"/>
      <c r="E211" s="1675"/>
      <c r="F211" s="1675"/>
      <c r="G211" s="1675"/>
      <c r="H211" s="1675"/>
      <c r="I211" s="1673"/>
      <c r="J211" s="1673"/>
      <c r="K211" s="1689">
        <f>'Revenues 9-14'!F268-'Expenditures 15-22'!K210</f>
        <v>97936</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368" t="s">
        <v>959</v>
      </c>
      <c r="B213" s="2369"/>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76658</v>
      </c>
      <c r="E215" s="1673"/>
      <c r="F215" s="1673"/>
      <c r="G215" s="1673"/>
      <c r="H215" s="1673"/>
      <c r="I215" s="1673"/>
      <c r="J215" s="1673"/>
      <c r="K215" s="1672">
        <f>D215</f>
        <v>76658</v>
      </c>
      <c r="L215" s="1573">
        <v>57394</v>
      </c>
    </row>
    <row r="216" spans="1:14" x14ac:dyDescent="0.2">
      <c r="A216" s="1274" t="s">
        <v>162</v>
      </c>
      <c r="B216" s="503" t="s">
        <v>961</v>
      </c>
      <c r="C216" s="1673"/>
      <c r="D216" s="1574">
        <v>0</v>
      </c>
      <c r="E216" s="1673"/>
      <c r="F216" s="1673"/>
      <c r="G216" s="1673"/>
      <c r="H216" s="1673"/>
      <c r="I216" s="1673"/>
      <c r="J216" s="1673"/>
      <c r="K216" s="1672">
        <f t="shared" ref="K216:K228" si="19">D216</f>
        <v>0</v>
      </c>
      <c r="L216" s="1573">
        <v>18999</v>
      </c>
    </row>
    <row r="217" spans="1:14" x14ac:dyDescent="0.2">
      <c r="A217" s="1274" t="s">
        <v>163</v>
      </c>
      <c r="B217" s="503">
        <v>1200</v>
      </c>
      <c r="C217" s="1673"/>
      <c r="D217" s="1573">
        <v>66894</v>
      </c>
      <c r="E217" s="1673"/>
      <c r="F217" s="1673"/>
      <c r="G217" s="1673"/>
      <c r="H217" s="1673"/>
      <c r="I217" s="1673"/>
      <c r="J217" s="1673"/>
      <c r="K217" s="1672">
        <f t="shared" si="19"/>
        <v>66894</v>
      </c>
      <c r="L217" s="1573">
        <v>64919</v>
      </c>
    </row>
    <row r="218" spans="1:14" x14ac:dyDescent="0.2">
      <c r="A218" s="1274" t="s">
        <v>276</v>
      </c>
      <c r="B218" s="503" t="s">
        <v>962</v>
      </c>
      <c r="C218" s="1673"/>
      <c r="D218" s="1574">
        <v>4468</v>
      </c>
      <c r="E218" s="1673"/>
      <c r="F218" s="1673"/>
      <c r="G218" s="1673"/>
      <c r="H218" s="1673"/>
      <c r="I218" s="1673"/>
      <c r="J218" s="1673"/>
      <c r="K218" s="1672">
        <f t="shared" si="19"/>
        <v>4468</v>
      </c>
      <c r="L218" s="1573">
        <v>3873</v>
      </c>
    </row>
    <row r="219" spans="1:14" x14ac:dyDescent="0.2">
      <c r="A219" s="1274" t="s">
        <v>277</v>
      </c>
      <c r="B219" s="503">
        <v>1250</v>
      </c>
      <c r="C219" s="1673"/>
      <c r="D219" s="1573">
        <v>14193</v>
      </c>
      <c r="E219" s="1673"/>
      <c r="F219" s="1673"/>
      <c r="G219" s="1673"/>
      <c r="H219" s="1673"/>
      <c r="I219" s="1673"/>
      <c r="J219" s="1673"/>
      <c r="K219" s="1672">
        <f t="shared" si="19"/>
        <v>14193</v>
      </c>
      <c r="L219" s="1573">
        <v>13752</v>
      </c>
    </row>
    <row r="220" spans="1:14" x14ac:dyDescent="0.2">
      <c r="A220" s="1274" t="s">
        <v>278</v>
      </c>
      <c r="B220" s="503" t="s">
        <v>160</v>
      </c>
      <c r="C220" s="1673"/>
      <c r="D220" s="1574">
        <v>0</v>
      </c>
      <c r="E220" s="1673"/>
      <c r="F220" s="1673"/>
      <c r="G220" s="1673"/>
      <c r="H220" s="1673"/>
      <c r="I220" s="1673"/>
      <c r="J220" s="1673"/>
      <c r="K220" s="1672">
        <f t="shared" si="19"/>
        <v>0</v>
      </c>
      <c r="L220" s="1573">
        <v>0</v>
      </c>
    </row>
    <row r="221" spans="1:14" x14ac:dyDescent="0.2">
      <c r="A221" s="1274" t="s">
        <v>956</v>
      </c>
      <c r="B221" s="503">
        <v>1300</v>
      </c>
      <c r="C221" s="1673"/>
      <c r="D221" s="1573">
        <v>0</v>
      </c>
      <c r="E221" s="1673"/>
      <c r="F221" s="1673"/>
      <c r="G221" s="1673"/>
      <c r="H221" s="1673"/>
      <c r="I221" s="1673"/>
      <c r="J221" s="1673"/>
      <c r="K221" s="1672">
        <f t="shared" si="19"/>
        <v>0</v>
      </c>
      <c r="L221" s="1573">
        <v>0</v>
      </c>
    </row>
    <row r="222" spans="1:14" x14ac:dyDescent="0.2">
      <c r="A222" s="1274" t="s">
        <v>718</v>
      </c>
      <c r="B222" s="503">
        <v>1400</v>
      </c>
      <c r="C222" s="1673"/>
      <c r="D222" s="1573">
        <v>2698</v>
      </c>
      <c r="E222" s="1673"/>
      <c r="F222" s="1673"/>
      <c r="G222" s="1673"/>
      <c r="H222" s="1673"/>
      <c r="I222" s="1673"/>
      <c r="J222" s="1673"/>
      <c r="K222" s="1672">
        <f t="shared" si="19"/>
        <v>2698</v>
      </c>
      <c r="L222" s="1573">
        <v>2655</v>
      </c>
    </row>
    <row r="223" spans="1:14" x14ac:dyDescent="0.2">
      <c r="A223" s="1274" t="s">
        <v>957</v>
      </c>
      <c r="B223" s="503">
        <v>1500</v>
      </c>
      <c r="C223" s="1673"/>
      <c r="D223" s="1573">
        <v>12064</v>
      </c>
      <c r="E223" s="1673"/>
      <c r="F223" s="1673"/>
      <c r="G223" s="1673"/>
      <c r="H223" s="1673"/>
      <c r="I223" s="1673"/>
      <c r="J223" s="1673"/>
      <c r="K223" s="1672">
        <f t="shared" si="19"/>
        <v>12064</v>
      </c>
      <c r="L223" s="1573">
        <v>12424</v>
      </c>
    </row>
    <row r="224" spans="1:14" x14ac:dyDescent="0.2">
      <c r="A224" s="1274" t="s">
        <v>958</v>
      </c>
      <c r="B224" s="503">
        <v>1600</v>
      </c>
      <c r="C224" s="1673"/>
      <c r="D224" s="1573">
        <v>34</v>
      </c>
      <c r="E224" s="1673"/>
      <c r="F224" s="1673"/>
      <c r="G224" s="1673"/>
      <c r="H224" s="1673"/>
      <c r="I224" s="1673"/>
      <c r="J224" s="1673"/>
      <c r="K224" s="1672">
        <f t="shared" si="19"/>
        <v>34</v>
      </c>
      <c r="L224" s="1573">
        <v>35</v>
      </c>
    </row>
    <row r="225" spans="1:12" x14ac:dyDescent="0.2">
      <c r="A225" s="1274" t="s">
        <v>980</v>
      </c>
      <c r="B225" s="503">
        <v>1650</v>
      </c>
      <c r="C225" s="1673"/>
      <c r="D225" s="1573">
        <v>43</v>
      </c>
      <c r="E225" s="1673"/>
      <c r="F225" s="1673"/>
      <c r="G225" s="1673"/>
      <c r="H225" s="1673"/>
      <c r="I225" s="1673"/>
      <c r="J225" s="1673"/>
      <c r="K225" s="1672">
        <f t="shared" si="19"/>
        <v>43</v>
      </c>
      <c r="L225" s="1573">
        <v>40</v>
      </c>
    </row>
    <row r="226" spans="1:12" x14ac:dyDescent="0.2">
      <c r="A226" s="1274" t="s">
        <v>719</v>
      </c>
      <c r="B226" s="503" t="s">
        <v>161</v>
      </c>
      <c r="C226" s="1673"/>
      <c r="D226" s="1574">
        <v>710</v>
      </c>
      <c r="E226" s="1673"/>
      <c r="F226" s="1673"/>
      <c r="G226" s="1673"/>
      <c r="H226" s="1673"/>
      <c r="I226" s="1673"/>
      <c r="J226" s="1673"/>
      <c r="K226" s="1672">
        <f t="shared" si="19"/>
        <v>710</v>
      </c>
      <c r="L226" s="1573">
        <v>798</v>
      </c>
    </row>
    <row r="227" spans="1:12" x14ac:dyDescent="0.2">
      <c r="A227" s="1274" t="s">
        <v>1078</v>
      </c>
      <c r="B227" s="503">
        <v>1800</v>
      </c>
      <c r="C227" s="1673"/>
      <c r="D227" s="1573">
        <v>0</v>
      </c>
      <c r="E227" s="1673"/>
      <c r="F227" s="1673"/>
      <c r="G227" s="1673"/>
      <c r="H227" s="1673"/>
      <c r="I227" s="1673"/>
      <c r="J227" s="1673"/>
      <c r="K227" s="1672">
        <f t="shared" si="19"/>
        <v>0</v>
      </c>
      <c r="L227" s="1573">
        <v>0</v>
      </c>
    </row>
    <row r="228" spans="1:12" x14ac:dyDescent="0.2">
      <c r="A228" s="1274" t="s">
        <v>1079</v>
      </c>
      <c r="B228" s="503">
        <v>1900</v>
      </c>
      <c r="C228" s="1673"/>
      <c r="D228" s="1573">
        <v>0</v>
      </c>
      <c r="E228" s="1673"/>
      <c r="F228" s="1673"/>
      <c r="G228" s="1673"/>
      <c r="H228" s="1673"/>
      <c r="I228" s="1673"/>
      <c r="J228" s="1673"/>
      <c r="K228" s="1672">
        <f t="shared" si="19"/>
        <v>0</v>
      </c>
      <c r="L228" s="1573">
        <v>0</v>
      </c>
    </row>
    <row r="229" spans="1:12" ht="12.75" customHeight="1" thickBot="1" x14ac:dyDescent="0.25">
      <c r="A229" s="1380" t="s">
        <v>710</v>
      </c>
      <c r="B229" s="1383" t="s">
        <v>566</v>
      </c>
      <c r="C229" s="1673"/>
      <c r="D229" s="1674">
        <f>SUM(D215:D228)</f>
        <v>177762</v>
      </c>
      <c r="E229" s="1673"/>
      <c r="F229" s="1673"/>
      <c r="G229" s="1673"/>
      <c r="H229" s="1673"/>
      <c r="I229" s="1673"/>
      <c r="J229" s="1673"/>
      <c r="K229" s="1674">
        <f>SUM(K215:K228)</f>
        <v>177762</v>
      </c>
      <c r="L229" s="1674">
        <f>SUM(L215:L228)</f>
        <v>174889</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v>987</v>
      </c>
      <c r="E232" s="1673"/>
      <c r="F232" s="1673"/>
      <c r="G232" s="1673"/>
      <c r="H232" s="1673"/>
      <c r="I232" s="1673"/>
      <c r="J232" s="1673"/>
      <c r="K232" s="1672">
        <f t="shared" ref="K232:K237" si="20">D232</f>
        <v>987</v>
      </c>
      <c r="L232" s="1573">
        <v>988</v>
      </c>
    </row>
    <row r="233" spans="1:12" x14ac:dyDescent="0.2">
      <c r="A233" s="1274" t="s">
        <v>1081</v>
      </c>
      <c r="B233" s="503">
        <v>2120</v>
      </c>
      <c r="C233" s="1673"/>
      <c r="D233" s="1573">
        <v>4176</v>
      </c>
      <c r="E233" s="1673"/>
      <c r="F233" s="1673"/>
      <c r="G233" s="1673"/>
      <c r="H233" s="1673"/>
      <c r="I233" s="1673"/>
      <c r="J233" s="1673"/>
      <c r="K233" s="1672">
        <f t="shared" si="20"/>
        <v>4176</v>
      </c>
      <c r="L233" s="1573">
        <v>4913</v>
      </c>
    </row>
    <row r="234" spans="1:12" x14ac:dyDescent="0.2">
      <c r="A234" s="1274" t="s">
        <v>196</v>
      </c>
      <c r="B234" s="503">
        <v>2130</v>
      </c>
      <c r="C234" s="1673"/>
      <c r="D234" s="1573">
        <v>0</v>
      </c>
      <c r="E234" s="1673"/>
      <c r="F234" s="1673"/>
      <c r="G234" s="1673"/>
      <c r="H234" s="1673"/>
      <c r="I234" s="1673"/>
      <c r="J234" s="1673"/>
      <c r="K234" s="1672">
        <f t="shared" si="20"/>
        <v>0</v>
      </c>
      <c r="L234" s="1573">
        <v>0</v>
      </c>
    </row>
    <row r="235" spans="1:12" x14ac:dyDescent="0.2">
      <c r="A235" s="1274" t="s">
        <v>197</v>
      </c>
      <c r="B235" s="503">
        <v>2140</v>
      </c>
      <c r="C235" s="1673"/>
      <c r="D235" s="1573">
        <v>0</v>
      </c>
      <c r="E235" s="1673"/>
      <c r="F235" s="1673"/>
      <c r="G235" s="1673"/>
      <c r="H235" s="1673"/>
      <c r="I235" s="1673"/>
      <c r="J235" s="1673"/>
      <c r="K235" s="1672">
        <f t="shared" si="20"/>
        <v>0</v>
      </c>
      <c r="L235" s="1573">
        <v>0</v>
      </c>
    </row>
    <row r="236" spans="1:12" x14ac:dyDescent="0.2">
      <c r="A236" s="1274" t="s">
        <v>198</v>
      </c>
      <c r="B236" s="503">
        <v>2150</v>
      </c>
      <c r="C236" s="1673"/>
      <c r="D236" s="1573">
        <v>514</v>
      </c>
      <c r="E236" s="1673"/>
      <c r="F236" s="1673"/>
      <c r="G236" s="1673"/>
      <c r="H236" s="1673"/>
      <c r="I236" s="1673"/>
      <c r="J236" s="1673"/>
      <c r="K236" s="1672">
        <f t="shared" si="20"/>
        <v>514</v>
      </c>
      <c r="L236" s="1573">
        <v>529</v>
      </c>
    </row>
    <row r="237" spans="1:12" x14ac:dyDescent="0.2">
      <c r="A237" s="1274" t="s">
        <v>164</v>
      </c>
      <c r="B237" s="503">
        <v>2190</v>
      </c>
      <c r="C237" s="1673"/>
      <c r="D237" s="1573">
        <v>0</v>
      </c>
      <c r="E237" s="1673"/>
      <c r="F237" s="1673"/>
      <c r="G237" s="1673"/>
      <c r="H237" s="1673"/>
      <c r="I237" s="1673"/>
      <c r="J237" s="1673"/>
      <c r="K237" s="1672">
        <f t="shared" si="20"/>
        <v>0</v>
      </c>
      <c r="L237" s="1573">
        <v>0</v>
      </c>
    </row>
    <row r="238" spans="1:12" ht="12.75" customHeight="1" thickBot="1" x14ac:dyDescent="0.25">
      <c r="A238" s="1380" t="s">
        <v>556</v>
      </c>
      <c r="B238" s="1383" t="s">
        <v>711</v>
      </c>
      <c r="C238" s="1673"/>
      <c r="D238" s="1674">
        <f>SUM(D232:D237)</f>
        <v>5677</v>
      </c>
      <c r="E238" s="1673"/>
      <c r="F238" s="1673"/>
      <c r="G238" s="1673"/>
      <c r="H238" s="1673"/>
      <c r="I238" s="1673"/>
      <c r="J238" s="1673"/>
      <c r="K238" s="1674">
        <f>SUM(K232:K237)</f>
        <v>5677</v>
      </c>
      <c r="L238" s="1674">
        <f>SUM(L232:L237)</f>
        <v>6430</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v>782</v>
      </c>
      <c r="E240" s="1673"/>
      <c r="F240" s="1673"/>
      <c r="G240" s="1673"/>
      <c r="H240" s="1673"/>
      <c r="I240" s="1673"/>
      <c r="J240" s="1673"/>
      <c r="K240" s="1678">
        <f>D240</f>
        <v>782</v>
      </c>
      <c r="L240" s="1586">
        <v>899</v>
      </c>
    </row>
    <row r="241" spans="1:12" x14ac:dyDescent="0.2">
      <c r="A241" s="1274" t="s">
        <v>810</v>
      </c>
      <c r="B241" s="503">
        <v>2220</v>
      </c>
      <c r="C241" s="1673"/>
      <c r="D241" s="1573">
        <v>32606</v>
      </c>
      <c r="E241" s="1673"/>
      <c r="F241" s="1673"/>
      <c r="G241" s="1673"/>
      <c r="H241" s="1673"/>
      <c r="I241" s="1673"/>
      <c r="J241" s="1673"/>
      <c r="K241" s="1678">
        <f>D241</f>
        <v>32606</v>
      </c>
      <c r="L241" s="1573">
        <v>32077</v>
      </c>
    </row>
    <row r="242" spans="1:12" x14ac:dyDescent="0.2">
      <c r="A242" s="1274" t="s">
        <v>811</v>
      </c>
      <c r="B242" s="503">
        <v>2230</v>
      </c>
      <c r="C242" s="1673"/>
      <c r="D242" s="1573">
        <v>0</v>
      </c>
      <c r="E242" s="1673"/>
      <c r="F242" s="1673"/>
      <c r="G242" s="1673"/>
      <c r="H242" s="1673"/>
      <c r="I242" s="1673"/>
      <c r="J242" s="1673"/>
      <c r="K242" s="1678">
        <f>D242</f>
        <v>0</v>
      </c>
      <c r="L242" s="1573">
        <v>0</v>
      </c>
    </row>
    <row r="243" spans="1:12" ht="12.75" customHeight="1" thickBot="1" x14ac:dyDescent="0.25">
      <c r="A243" s="1396" t="s">
        <v>557</v>
      </c>
      <c r="B243" s="1397">
        <v>2200</v>
      </c>
      <c r="C243" s="1673"/>
      <c r="D243" s="1674">
        <f>SUM(D240:D242)</f>
        <v>33388</v>
      </c>
      <c r="E243" s="1673"/>
      <c r="F243" s="1673"/>
      <c r="G243" s="1673"/>
      <c r="H243" s="1673"/>
      <c r="I243" s="1673"/>
      <c r="J243" s="1673"/>
      <c r="K243" s="1674">
        <f>SUM(K240:K242)</f>
        <v>33388</v>
      </c>
      <c r="L243" s="1674">
        <f>SUM(L240:L242)</f>
        <v>32976</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v>6831</v>
      </c>
      <c r="E245" s="1673"/>
      <c r="F245" s="1673"/>
      <c r="G245" s="1673"/>
      <c r="H245" s="1673"/>
      <c r="I245" s="1673"/>
      <c r="J245" s="1673"/>
      <c r="K245" s="1678">
        <f>D245</f>
        <v>6831</v>
      </c>
      <c r="L245" s="1586">
        <v>6846</v>
      </c>
    </row>
    <row r="246" spans="1:12" x14ac:dyDescent="0.2">
      <c r="A246" s="1274" t="s">
        <v>813</v>
      </c>
      <c r="B246" s="503">
        <v>2320</v>
      </c>
      <c r="C246" s="1673"/>
      <c r="D246" s="1573">
        <v>1863</v>
      </c>
      <c r="E246" s="1673"/>
      <c r="F246" s="1673"/>
      <c r="G246" s="1673"/>
      <c r="H246" s="1673"/>
      <c r="I246" s="1673"/>
      <c r="J246" s="1673"/>
      <c r="K246" s="1678">
        <f t="shared" ref="K246:K256" si="21">D246</f>
        <v>1863</v>
      </c>
      <c r="L246" s="1573">
        <v>1863</v>
      </c>
    </row>
    <row r="247" spans="1:12" x14ac:dyDescent="0.2">
      <c r="A247" s="1274" t="s">
        <v>814</v>
      </c>
      <c r="B247" s="503">
        <v>2330</v>
      </c>
      <c r="C247" s="1673"/>
      <c r="D247" s="1573">
        <v>0</v>
      </c>
      <c r="E247" s="1673"/>
      <c r="F247" s="1673"/>
      <c r="G247" s="1673"/>
      <c r="H247" s="1673"/>
      <c r="I247" s="1673"/>
      <c r="J247" s="1673"/>
      <c r="K247" s="1678">
        <f t="shared" si="21"/>
        <v>0</v>
      </c>
      <c r="L247" s="1573">
        <v>0</v>
      </c>
    </row>
    <row r="248" spans="1:12" x14ac:dyDescent="0.2">
      <c r="A248" s="1275" t="s">
        <v>296</v>
      </c>
      <c r="B248" s="494" t="s">
        <v>279</v>
      </c>
      <c r="C248" s="1673"/>
      <c r="D248" s="1579">
        <v>0</v>
      </c>
      <c r="E248" s="1673"/>
      <c r="F248" s="1673"/>
      <c r="G248" s="1673"/>
      <c r="H248" s="1673"/>
      <c r="I248" s="1673"/>
      <c r="J248" s="1673"/>
      <c r="K248" s="1678">
        <f t="shared" si="21"/>
        <v>0</v>
      </c>
      <c r="L248" s="1573">
        <v>0</v>
      </c>
    </row>
    <row r="249" spans="1:12" x14ac:dyDescent="0.2">
      <c r="A249" s="1276" t="s">
        <v>1779</v>
      </c>
      <c r="B249" s="557" t="s">
        <v>280</v>
      </c>
      <c r="C249" s="1673"/>
      <c r="D249" s="1579">
        <v>0</v>
      </c>
      <c r="E249" s="1673"/>
      <c r="F249" s="1673"/>
      <c r="G249" s="1673"/>
      <c r="H249" s="1673"/>
      <c r="I249" s="1673"/>
      <c r="J249" s="1673"/>
      <c r="K249" s="1678">
        <f t="shared" si="21"/>
        <v>0</v>
      </c>
      <c r="L249" s="1573">
        <v>0</v>
      </c>
    </row>
    <row r="250" spans="1:12" x14ac:dyDescent="0.2">
      <c r="A250" s="1275" t="s">
        <v>1780</v>
      </c>
      <c r="B250" s="494" t="s">
        <v>281</v>
      </c>
      <c r="C250" s="1673"/>
      <c r="D250" s="1579">
        <v>0</v>
      </c>
      <c r="E250" s="1673"/>
      <c r="F250" s="1673"/>
      <c r="G250" s="1673"/>
      <c r="H250" s="1673"/>
      <c r="I250" s="1673"/>
      <c r="J250" s="1673"/>
      <c r="K250" s="1678">
        <f t="shared" si="21"/>
        <v>0</v>
      </c>
      <c r="L250" s="1573">
        <v>0</v>
      </c>
    </row>
    <row r="251" spans="1:12" x14ac:dyDescent="0.2">
      <c r="A251" s="1275" t="s">
        <v>236</v>
      </c>
      <c r="B251" s="494" t="s">
        <v>282</v>
      </c>
      <c r="C251" s="1673"/>
      <c r="D251" s="1579">
        <v>0</v>
      </c>
      <c r="E251" s="1673"/>
      <c r="F251" s="1673"/>
      <c r="G251" s="1673"/>
      <c r="H251" s="1673"/>
      <c r="I251" s="1673"/>
      <c r="J251" s="1673"/>
      <c r="K251" s="1678">
        <f t="shared" si="21"/>
        <v>0</v>
      </c>
      <c r="L251" s="1573">
        <v>0</v>
      </c>
    </row>
    <row r="252" spans="1:12" x14ac:dyDescent="0.2">
      <c r="A252" s="1275" t="s">
        <v>697</v>
      </c>
      <c r="B252" s="494" t="s">
        <v>283</v>
      </c>
      <c r="C252" s="1673"/>
      <c r="D252" s="1579">
        <v>7836</v>
      </c>
      <c r="E252" s="1673"/>
      <c r="F252" s="1673"/>
      <c r="G252" s="1673"/>
      <c r="H252" s="1673"/>
      <c r="I252" s="1673"/>
      <c r="J252" s="1673"/>
      <c r="K252" s="1678">
        <f t="shared" si="21"/>
        <v>7836</v>
      </c>
      <c r="L252" s="1573">
        <v>7616</v>
      </c>
    </row>
    <row r="253" spans="1:12" x14ac:dyDescent="0.2">
      <c r="A253" s="1275" t="s">
        <v>237</v>
      </c>
      <c r="B253" s="494" t="s">
        <v>284</v>
      </c>
      <c r="C253" s="1673"/>
      <c r="D253" s="1579">
        <v>0</v>
      </c>
      <c r="E253" s="1673"/>
      <c r="F253" s="1673"/>
      <c r="G253" s="1673"/>
      <c r="H253" s="1673"/>
      <c r="I253" s="1673"/>
      <c r="J253" s="1673"/>
      <c r="K253" s="1678">
        <f t="shared" si="21"/>
        <v>0</v>
      </c>
      <c r="L253" s="1573">
        <v>0</v>
      </c>
    </row>
    <row r="254" spans="1:12" ht="22.5" x14ac:dyDescent="0.2">
      <c r="A254" s="1275" t="s">
        <v>1022</v>
      </c>
      <c r="B254" s="557" t="s">
        <v>285</v>
      </c>
      <c r="C254" s="1673"/>
      <c r="D254" s="1579">
        <v>0</v>
      </c>
      <c r="E254" s="1673"/>
      <c r="F254" s="1673"/>
      <c r="G254" s="1673"/>
      <c r="H254" s="1673"/>
      <c r="I254" s="1673"/>
      <c r="J254" s="1673"/>
      <c r="K254" s="1678">
        <f t="shared" si="21"/>
        <v>0</v>
      </c>
      <c r="L254" s="1573">
        <v>0</v>
      </c>
    </row>
    <row r="255" spans="1:12" x14ac:dyDescent="0.2">
      <c r="A255" s="1275" t="s">
        <v>1023</v>
      </c>
      <c r="B255" s="494" t="s">
        <v>286</v>
      </c>
      <c r="C255" s="1673"/>
      <c r="D255" s="1579">
        <v>0</v>
      </c>
      <c r="E255" s="1673"/>
      <c r="F255" s="1673"/>
      <c r="G255" s="1673"/>
      <c r="H255" s="1673"/>
      <c r="I255" s="1673"/>
      <c r="J255" s="1673"/>
      <c r="K255" s="1678">
        <f t="shared" si="21"/>
        <v>0</v>
      </c>
      <c r="L255" s="1573">
        <v>0</v>
      </c>
    </row>
    <row r="256" spans="1:12" x14ac:dyDescent="0.2">
      <c r="A256" s="1275" t="s">
        <v>965</v>
      </c>
      <c r="B256" s="503" t="s">
        <v>287</v>
      </c>
      <c r="C256" s="1673"/>
      <c r="D256" s="1579">
        <v>0</v>
      </c>
      <c r="E256" s="1673"/>
      <c r="F256" s="1673"/>
      <c r="G256" s="1673"/>
      <c r="H256" s="1673"/>
      <c r="I256" s="1673"/>
      <c r="J256" s="1673"/>
      <c r="K256" s="1678">
        <f t="shared" si="21"/>
        <v>0</v>
      </c>
      <c r="L256" s="1573">
        <v>0</v>
      </c>
    </row>
    <row r="257" spans="1:14" ht="12.75" customHeight="1" thickBot="1" x14ac:dyDescent="0.25">
      <c r="A257" s="1380" t="s">
        <v>712</v>
      </c>
      <c r="B257" s="1398">
        <v>2300</v>
      </c>
      <c r="C257" s="1673"/>
      <c r="D257" s="1674">
        <f>SUM(D245:D256)</f>
        <v>16530</v>
      </c>
      <c r="E257" s="1673"/>
      <c r="F257" s="1673"/>
      <c r="G257" s="1673"/>
      <c r="H257" s="1673"/>
      <c r="I257" s="1673"/>
      <c r="J257" s="1673"/>
      <c r="K257" s="1674">
        <f>SUM(K245:K256)</f>
        <v>16530</v>
      </c>
      <c r="L257" s="1674">
        <f>SUM(L245:L256)</f>
        <v>16325</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v>44442</v>
      </c>
      <c r="E259" s="1673"/>
      <c r="F259" s="1673"/>
      <c r="G259" s="1673"/>
      <c r="H259" s="1673"/>
      <c r="I259" s="1673"/>
      <c r="J259" s="1673"/>
      <c r="K259" s="1678">
        <f>D259</f>
        <v>44442</v>
      </c>
      <c r="L259" s="1586">
        <v>45837</v>
      </c>
    </row>
    <row r="260" spans="1:14" s="493" customFormat="1" x14ac:dyDescent="0.2">
      <c r="A260" s="1292" t="s">
        <v>1778</v>
      </c>
      <c r="B260" s="512">
        <v>2490</v>
      </c>
      <c r="C260" s="1673"/>
      <c r="D260" s="1573">
        <v>0</v>
      </c>
      <c r="E260" s="1673"/>
      <c r="F260" s="1673"/>
      <c r="G260" s="1673"/>
      <c r="H260" s="1673"/>
      <c r="I260" s="1673"/>
      <c r="J260" s="1673"/>
      <c r="K260" s="1678">
        <f>D260</f>
        <v>0</v>
      </c>
      <c r="L260" s="1573">
        <v>0</v>
      </c>
      <c r="M260" s="205"/>
      <c r="N260" s="205"/>
    </row>
    <row r="261" spans="1:14" ht="12.75" customHeight="1" thickBot="1" x14ac:dyDescent="0.25">
      <c r="A261" s="1394" t="s">
        <v>261</v>
      </c>
      <c r="B261" s="1399" t="s">
        <v>34</v>
      </c>
      <c r="C261" s="1673"/>
      <c r="D261" s="1674">
        <f>SUM(D259:D260)</f>
        <v>44442</v>
      </c>
      <c r="E261" s="1673"/>
      <c r="F261" s="1673"/>
      <c r="G261" s="1673"/>
      <c r="H261" s="1673"/>
      <c r="I261" s="1673"/>
      <c r="J261" s="1673"/>
      <c r="K261" s="1674">
        <f>SUM(K259:K260)</f>
        <v>44442</v>
      </c>
      <c r="L261" s="1674">
        <f>SUM(L259:L260)</f>
        <v>45837</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v>1410</v>
      </c>
      <c r="E263" s="1673"/>
      <c r="F263" s="1673"/>
      <c r="G263" s="1673"/>
      <c r="H263" s="1673"/>
      <c r="I263" s="1673"/>
      <c r="J263" s="1673"/>
      <c r="K263" s="1678">
        <f>D263</f>
        <v>1410</v>
      </c>
      <c r="L263" s="1586">
        <v>1410</v>
      </c>
    </row>
    <row r="264" spans="1:14" x14ac:dyDescent="0.2">
      <c r="A264" s="1274" t="s">
        <v>460</v>
      </c>
      <c r="B264" s="559">
        <v>2520</v>
      </c>
      <c r="C264" s="1673"/>
      <c r="D264" s="1573">
        <v>4173</v>
      </c>
      <c r="E264" s="1673"/>
      <c r="F264" s="1673"/>
      <c r="G264" s="1673"/>
      <c r="H264" s="1673"/>
      <c r="I264" s="1673"/>
      <c r="J264" s="1673"/>
      <c r="K264" s="1678">
        <f t="shared" ref="K264:K269" si="22">D264</f>
        <v>4173</v>
      </c>
      <c r="L264" s="1573">
        <v>4157</v>
      </c>
    </row>
    <row r="265" spans="1:14" x14ac:dyDescent="0.2">
      <c r="A265" s="1274" t="s">
        <v>4</v>
      </c>
      <c r="B265" s="503">
        <v>2530</v>
      </c>
      <c r="C265" s="1673"/>
      <c r="D265" s="1573">
        <v>0</v>
      </c>
      <c r="E265" s="1673"/>
      <c r="F265" s="1673"/>
      <c r="G265" s="1673"/>
      <c r="H265" s="1673"/>
      <c r="I265" s="1673"/>
      <c r="J265" s="1673"/>
      <c r="K265" s="1678">
        <f t="shared" si="22"/>
        <v>0</v>
      </c>
      <c r="L265" s="1573">
        <v>0</v>
      </c>
    </row>
    <row r="266" spans="1:14" x14ac:dyDescent="0.2">
      <c r="A266" s="1274" t="s">
        <v>195</v>
      </c>
      <c r="B266" s="503">
        <v>2540</v>
      </c>
      <c r="C266" s="1673"/>
      <c r="D266" s="1573">
        <v>92590</v>
      </c>
      <c r="E266" s="1673"/>
      <c r="F266" s="1673"/>
      <c r="G266" s="1673"/>
      <c r="H266" s="1673"/>
      <c r="I266" s="1673"/>
      <c r="J266" s="1673"/>
      <c r="K266" s="1678">
        <f t="shared" si="22"/>
        <v>92590</v>
      </c>
      <c r="L266" s="1573">
        <v>95890</v>
      </c>
    </row>
    <row r="267" spans="1:14" x14ac:dyDescent="0.2">
      <c r="A267" s="1274" t="s">
        <v>947</v>
      </c>
      <c r="B267" s="503">
        <v>2550</v>
      </c>
      <c r="C267" s="1673"/>
      <c r="D267" s="1573">
        <v>43908</v>
      </c>
      <c r="E267" s="1673"/>
      <c r="F267" s="1673"/>
      <c r="G267" s="1673"/>
      <c r="H267" s="1673"/>
      <c r="I267" s="1673"/>
      <c r="J267" s="1673"/>
      <c r="K267" s="1678">
        <f t="shared" si="22"/>
        <v>43908</v>
      </c>
      <c r="L267" s="1573">
        <v>46021</v>
      </c>
    </row>
    <row r="268" spans="1:14" x14ac:dyDescent="0.2">
      <c r="A268" s="1274" t="s">
        <v>100</v>
      </c>
      <c r="B268" s="503">
        <v>2560</v>
      </c>
      <c r="C268" s="1673"/>
      <c r="D268" s="1573">
        <v>33952</v>
      </c>
      <c r="E268" s="1673"/>
      <c r="F268" s="1673"/>
      <c r="G268" s="1673"/>
      <c r="H268" s="1673"/>
      <c r="I268" s="1673"/>
      <c r="J268" s="1673"/>
      <c r="K268" s="1678">
        <f t="shared" si="22"/>
        <v>33952</v>
      </c>
      <c r="L268" s="1573">
        <v>37781</v>
      </c>
    </row>
    <row r="269" spans="1:14" x14ac:dyDescent="0.2">
      <c r="A269" s="1274" t="s">
        <v>101</v>
      </c>
      <c r="B269" s="503">
        <v>2570</v>
      </c>
      <c r="C269" s="1673"/>
      <c r="D269" s="1573">
        <v>0</v>
      </c>
      <c r="E269" s="1673"/>
      <c r="F269" s="1673"/>
      <c r="G269" s="1673"/>
      <c r="H269" s="1673"/>
      <c r="I269" s="1673"/>
      <c r="J269" s="1673"/>
      <c r="K269" s="1678">
        <f t="shared" si="22"/>
        <v>0</v>
      </c>
      <c r="L269" s="1573">
        <v>0</v>
      </c>
    </row>
    <row r="270" spans="1:14" ht="12.75" customHeight="1" thickBot="1" x14ac:dyDescent="0.25">
      <c r="A270" s="1380" t="s">
        <v>714</v>
      </c>
      <c r="B270" s="1383" t="s">
        <v>35</v>
      </c>
      <c r="C270" s="1673"/>
      <c r="D270" s="1674">
        <f>SUM(D263:D269)</f>
        <v>176033</v>
      </c>
      <c r="E270" s="1673"/>
      <c r="F270" s="1673"/>
      <c r="G270" s="1673"/>
      <c r="H270" s="1673"/>
      <c r="I270" s="1673"/>
      <c r="J270" s="1673"/>
      <c r="K270" s="1674">
        <f>SUM(K263:K269)</f>
        <v>176033</v>
      </c>
      <c r="L270" s="1674">
        <f>SUM(L263:L269)</f>
        <v>185259</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v>0</v>
      </c>
      <c r="E272" s="1673"/>
      <c r="F272" s="1673"/>
      <c r="G272" s="1673"/>
      <c r="H272" s="1673"/>
      <c r="I272" s="1673"/>
      <c r="J272" s="1673"/>
      <c r="K272" s="1678">
        <f>D272</f>
        <v>0</v>
      </c>
      <c r="L272" s="1586">
        <v>0</v>
      </c>
    </row>
    <row r="273" spans="1:12" x14ac:dyDescent="0.2">
      <c r="A273" s="1274" t="s">
        <v>603</v>
      </c>
      <c r="B273" s="512">
        <v>2620</v>
      </c>
      <c r="C273" s="1673"/>
      <c r="D273" s="1573">
        <v>0</v>
      </c>
      <c r="E273" s="1673"/>
      <c r="F273" s="1673"/>
      <c r="G273" s="1673"/>
      <c r="H273" s="1673"/>
      <c r="I273" s="1673"/>
      <c r="J273" s="1673"/>
      <c r="K273" s="1678">
        <f>D273</f>
        <v>0</v>
      </c>
      <c r="L273" s="1573">
        <v>0</v>
      </c>
    </row>
    <row r="274" spans="1:12" ht="12" customHeight="1" x14ac:dyDescent="0.2">
      <c r="A274" s="1274" t="s">
        <v>1052</v>
      </c>
      <c r="B274" s="503">
        <v>2630</v>
      </c>
      <c r="C274" s="1673"/>
      <c r="D274" s="1573">
        <v>0</v>
      </c>
      <c r="E274" s="1673"/>
      <c r="F274" s="1673"/>
      <c r="G274" s="1673"/>
      <c r="H274" s="1673"/>
      <c r="I274" s="1673"/>
      <c r="J274" s="1673"/>
      <c r="K274" s="1678">
        <f>D274</f>
        <v>0</v>
      </c>
      <c r="L274" s="1573">
        <v>0</v>
      </c>
    </row>
    <row r="275" spans="1:12" x14ac:dyDescent="0.2">
      <c r="A275" s="1274" t="s">
        <v>400</v>
      </c>
      <c r="B275" s="503">
        <v>2640</v>
      </c>
      <c r="C275" s="1673"/>
      <c r="D275" s="1573">
        <v>0</v>
      </c>
      <c r="E275" s="1673"/>
      <c r="F275" s="1673"/>
      <c r="G275" s="1673"/>
      <c r="H275" s="1673"/>
      <c r="I275" s="1673"/>
      <c r="J275" s="1673"/>
      <c r="K275" s="1678">
        <f>D275</f>
        <v>0</v>
      </c>
      <c r="L275" s="1573">
        <v>0</v>
      </c>
    </row>
    <row r="276" spans="1:12" x14ac:dyDescent="0.2">
      <c r="A276" s="1274" t="s">
        <v>401</v>
      </c>
      <c r="B276" s="503">
        <v>2660</v>
      </c>
      <c r="C276" s="1673"/>
      <c r="D276" s="1573">
        <v>0</v>
      </c>
      <c r="E276" s="1673"/>
      <c r="F276" s="1673"/>
      <c r="G276" s="1673"/>
      <c r="H276" s="1673"/>
      <c r="I276" s="1673"/>
      <c r="J276" s="1673"/>
      <c r="K276" s="1678">
        <f>D276</f>
        <v>0</v>
      </c>
      <c r="L276" s="1573">
        <v>0</v>
      </c>
    </row>
    <row r="277" spans="1:12" ht="12.75" customHeight="1" thickBot="1" x14ac:dyDescent="0.25">
      <c r="A277" s="1393" t="s">
        <v>37</v>
      </c>
      <c r="B277" s="1381" t="s">
        <v>36</v>
      </c>
      <c r="C277" s="1673"/>
      <c r="D277" s="1674">
        <f>SUM(D272:D276)</f>
        <v>0</v>
      </c>
      <c r="E277" s="1673"/>
      <c r="F277" s="1673"/>
      <c r="G277" s="1673"/>
      <c r="H277" s="1673"/>
      <c r="I277" s="1673"/>
      <c r="J277" s="1673"/>
      <c r="K277" s="1674">
        <f>SUM(K272:K276)</f>
        <v>0</v>
      </c>
      <c r="L277" s="1674">
        <f>SUM(L272:L276)</f>
        <v>0</v>
      </c>
    </row>
    <row r="278" spans="1:12" ht="13.5" customHeight="1" thickTop="1" x14ac:dyDescent="0.2">
      <c r="A278" s="1280" t="s">
        <v>973</v>
      </c>
      <c r="B278" s="531" t="s">
        <v>570</v>
      </c>
      <c r="C278" s="1673"/>
      <c r="D278" s="1695">
        <v>0</v>
      </c>
      <c r="E278" s="1673"/>
      <c r="F278" s="1673"/>
      <c r="G278" s="1673"/>
      <c r="H278" s="1673"/>
      <c r="I278" s="1673"/>
      <c r="J278" s="1673"/>
      <c r="K278" s="1696">
        <f>D278</f>
        <v>0</v>
      </c>
      <c r="L278" s="1695">
        <v>0</v>
      </c>
    </row>
    <row r="279" spans="1:12" ht="12.75" customHeight="1" thickBot="1" x14ac:dyDescent="0.25">
      <c r="A279" s="1400" t="s">
        <v>806</v>
      </c>
      <c r="B279" s="1387">
        <v>2000</v>
      </c>
      <c r="C279" s="1673"/>
      <c r="D279" s="1681">
        <f>SUM(D238,D243,D257,D261,D270,D277,D278)</f>
        <v>276070</v>
      </c>
      <c r="E279" s="1673"/>
      <c r="F279" s="1673"/>
      <c r="G279" s="1673"/>
      <c r="H279" s="1673"/>
      <c r="I279" s="1673"/>
      <c r="J279" s="1673"/>
      <c r="K279" s="1681">
        <f>SUM(K238,K243,K257,K261,K270,K277,K278)</f>
        <v>276070</v>
      </c>
      <c r="L279" s="1681">
        <f>SUM(L238,L243,L257,L261,L270,L277,L278)</f>
        <v>286827</v>
      </c>
    </row>
    <row r="280" spans="1:12" ht="15.75" customHeight="1" thickTop="1" thickBot="1" x14ac:dyDescent="0.25">
      <c r="A280" s="1362" t="s">
        <v>870</v>
      </c>
      <c r="B280" s="1351">
        <v>3000</v>
      </c>
      <c r="C280" s="1673"/>
      <c r="D280" s="1651">
        <v>15</v>
      </c>
      <c r="E280" s="1673"/>
      <c r="F280" s="1673"/>
      <c r="G280" s="1673"/>
      <c r="H280" s="1673"/>
      <c r="I280" s="1673"/>
      <c r="J280" s="1673"/>
      <c r="K280" s="1687">
        <f>D280</f>
        <v>15</v>
      </c>
      <c r="L280" s="1651">
        <v>0</v>
      </c>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1813</v>
      </c>
      <c r="C282" s="1673"/>
      <c r="D282" s="1574">
        <v>0</v>
      </c>
      <c r="E282" s="1673"/>
      <c r="F282" s="1673"/>
      <c r="G282" s="1673"/>
      <c r="H282" s="1673"/>
      <c r="I282" s="1673"/>
      <c r="J282" s="1673"/>
      <c r="K282" s="1672">
        <f>D282</f>
        <v>0</v>
      </c>
      <c r="L282" s="1574">
        <v>0</v>
      </c>
    </row>
    <row r="283" spans="1:12" x14ac:dyDescent="0.2">
      <c r="A283" s="1274" t="s">
        <v>301</v>
      </c>
      <c r="B283" s="503">
        <v>4120</v>
      </c>
      <c r="C283" s="1673"/>
      <c r="D283" s="1573">
        <v>0</v>
      </c>
      <c r="E283" s="1673"/>
      <c r="F283" s="1673"/>
      <c r="G283" s="1673"/>
      <c r="H283" s="1673"/>
      <c r="I283" s="1673"/>
      <c r="J283" s="1673"/>
      <c r="K283" s="1672">
        <f>D283</f>
        <v>0</v>
      </c>
      <c r="L283" s="1573">
        <v>0</v>
      </c>
    </row>
    <row r="284" spans="1:12" x14ac:dyDescent="0.2">
      <c r="A284" s="1274" t="s">
        <v>692</v>
      </c>
      <c r="B284" s="503">
        <v>4140</v>
      </c>
      <c r="C284" s="1673"/>
      <c r="D284" s="1574">
        <v>0</v>
      </c>
      <c r="E284" s="1673"/>
      <c r="F284" s="1673"/>
      <c r="G284" s="1673"/>
      <c r="H284" s="1673"/>
      <c r="I284" s="1673"/>
      <c r="J284" s="1673"/>
      <c r="K284" s="1672">
        <f>D284</f>
        <v>0</v>
      </c>
      <c r="L284" s="1573">
        <v>0</v>
      </c>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v>0</v>
      </c>
      <c r="I288" s="1673"/>
      <c r="J288" s="1673"/>
      <c r="K288" s="1672">
        <f>H288</f>
        <v>0</v>
      </c>
      <c r="L288" s="1573">
        <v>0</v>
      </c>
    </row>
    <row r="289" spans="1:14" x14ac:dyDescent="0.2">
      <c r="A289" s="1274" t="s">
        <v>88</v>
      </c>
      <c r="B289" s="503">
        <v>5120</v>
      </c>
      <c r="C289" s="1673"/>
      <c r="D289" s="1673"/>
      <c r="E289" s="1673"/>
      <c r="F289" s="1673"/>
      <c r="G289" s="1673"/>
      <c r="H289" s="1573">
        <v>0</v>
      </c>
      <c r="I289" s="1673"/>
      <c r="J289" s="1673"/>
      <c r="K289" s="1672">
        <f>H289</f>
        <v>0</v>
      </c>
      <c r="L289" s="1573">
        <v>0</v>
      </c>
    </row>
    <row r="290" spans="1:14" ht="12.75" customHeight="1" x14ac:dyDescent="0.2">
      <c r="A290" s="1274" t="s">
        <v>1160</v>
      </c>
      <c r="B290" s="512" t="s">
        <v>613</v>
      </c>
      <c r="C290" s="1673"/>
      <c r="D290" s="1673"/>
      <c r="E290" s="1673"/>
      <c r="F290" s="1673"/>
      <c r="G290" s="1673"/>
      <c r="H290" s="1573">
        <v>0</v>
      </c>
      <c r="I290" s="1673"/>
      <c r="J290" s="1673"/>
      <c r="K290" s="1672">
        <f>H290</f>
        <v>0</v>
      </c>
      <c r="L290" s="1573">
        <v>0</v>
      </c>
    </row>
    <row r="291" spans="1:14" x14ac:dyDescent="0.2">
      <c r="A291" s="1274" t="s">
        <v>89</v>
      </c>
      <c r="B291" s="503" t="s">
        <v>585</v>
      </c>
      <c r="C291" s="1673"/>
      <c r="D291" s="1673"/>
      <c r="E291" s="1673"/>
      <c r="F291" s="1673"/>
      <c r="G291" s="1673"/>
      <c r="H291" s="1573">
        <v>0</v>
      </c>
      <c r="I291" s="1673"/>
      <c r="J291" s="1673"/>
      <c r="K291" s="1672">
        <f>H291</f>
        <v>0</v>
      </c>
      <c r="L291" s="1573">
        <v>0</v>
      </c>
    </row>
    <row r="292" spans="1:14" x14ac:dyDescent="0.2">
      <c r="A292" s="1274" t="s">
        <v>757</v>
      </c>
      <c r="B292" s="503" t="s">
        <v>614</v>
      </c>
      <c r="C292" s="1673"/>
      <c r="D292" s="1673"/>
      <c r="E292" s="1673"/>
      <c r="F292" s="1673"/>
      <c r="G292" s="1673"/>
      <c r="H292" s="1573">
        <v>0</v>
      </c>
      <c r="I292" s="1673"/>
      <c r="J292" s="1673"/>
      <c r="K292" s="1672">
        <f>H292</f>
        <v>0</v>
      </c>
      <c r="L292" s="1573">
        <v>0</v>
      </c>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v>30000</v>
      </c>
    </row>
    <row r="295" spans="1:14" ht="12.75" customHeight="1" thickTop="1" thickBot="1" x14ac:dyDescent="0.25">
      <c r="A295" s="2364" t="s">
        <v>502</v>
      </c>
      <c r="B295" s="2365"/>
      <c r="C295" s="1673"/>
      <c r="D295" s="1674">
        <f>SUM(D229,D279,D280,D285)</f>
        <v>453847</v>
      </c>
      <c r="E295" s="1673"/>
      <c r="F295" s="1673"/>
      <c r="G295" s="1673"/>
      <c r="H295" s="1674">
        <f>H293</f>
        <v>0</v>
      </c>
      <c r="I295" s="1673"/>
      <c r="J295" s="1673"/>
      <c r="K295" s="1674">
        <f>SUM(K229,K279,K280,K285,K293,K294)</f>
        <v>453847</v>
      </c>
      <c r="L295" s="1674">
        <f>SUM(L229,L279,L280,L285,L293,L294)</f>
        <v>491716</v>
      </c>
    </row>
    <row r="296" spans="1:14" ht="13.5" thickTop="1" x14ac:dyDescent="0.2">
      <c r="A296" s="2346" t="s">
        <v>989</v>
      </c>
      <c r="B296" s="2347"/>
      <c r="C296" s="1673"/>
      <c r="D296" s="1675"/>
      <c r="E296" s="1673"/>
      <c r="F296" s="1673"/>
      <c r="G296" s="1673"/>
      <c r="H296" s="1707"/>
      <c r="I296" s="1673"/>
      <c r="J296" s="1673"/>
      <c r="K296" s="1689">
        <f>'Revenues 9-14'!G268-'Expenditures 15-22'!K295</f>
        <v>101749</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356" t="s">
        <v>142</v>
      </c>
      <c r="B298" s="2350"/>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v>0</v>
      </c>
      <c r="D301" s="1573">
        <v>0</v>
      </c>
      <c r="E301" s="1573">
        <v>12304</v>
      </c>
      <c r="F301" s="1573">
        <v>75013</v>
      </c>
      <c r="G301" s="1573">
        <v>3909825</v>
      </c>
      <c r="H301" s="1573">
        <v>0</v>
      </c>
      <c r="I301" s="1574">
        <v>0</v>
      </c>
      <c r="J301" s="1574">
        <v>0</v>
      </c>
      <c r="K301" s="1672">
        <f>SUM(C301:J301)</f>
        <v>3997142</v>
      </c>
      <c r="L301" s="1574">
        <v>4280000</v>
      </c>
    </row>
    <row r="302" spans="1:14" ht="13.5" customHeight="1" x14ac:dyDescent="0.2">
      <c r="A302" s="1287" t="s">
        <v>973</v>
      </c>
      <c r="B302" s="503" t="s">
        <v>570</v>
      </c>
      <c r="C302" s="1573">
        <v>0</v>
      </c>
      <c r="D302" s="1573">
        <v>0</v>
      </c>
      <c r="E302" s="1573">
        <v>0</v>
      </c>
      <c r="F302" s="1573">
        <v>0</v>
      </c>
      <c r="G302" s="1573">
        <v>0</v>
      </c>
      <c r="H302" s="1573">
        <v>0</v>
      </c>
      <c r="I302" s="1574">
        <v>0</v>
      </c>
      <c r="J302" s="1574">
        <v>0</v>
      </c>
      <c r="K302" s="1672">
        <f>SUM(C302:J302)</f>
        <v>0</v>
      </c>
      <c r="L302" s="1573">
        <v>0</v>
      </c>
    </row>
    <row r="303" spans="1:14" ht="12.75" customHeight="1" thickBot="1" x14ac:dyDescent="0.25">
      <c r="A303" s="1380" t="s">
        <v>806</v>
      </c>
      <c r="B303" s="1381" t="s">
        <v>565</v>
      </c>
      <c r="C303" s="1681">
        <f>SUM(C301:C302)</f>
        <v>0</v>
      </c>
      <c r="D303" s="1681">
        <f t="shared" ref="D303:L303" si="23">SUM(D301:D302)</f>
        <v>0</v>
      </c>
      <c r="E303" s="1681">
        <f t="shared" si="23"/>
        <v>12304</v>
      </c>
      <c r="F303" s="1681">
        <f t="shared" si="23"/>
        <v>75013</v>
      </c>
      <c r="G303" s="1681">
        <f t="shared" si="23"/>
        <v>3909825</v>
      </c>
      <c r="H303" s="1681">
        <f t="shared" si="23"/>
        <v>0</v>
      </c>
      <c r="I303" s="1681">
        <f t="shared" si="23"/>
        <v>0</v>
      </c>
      <c r="J303" s="1681">
        <f t="shared" si="23"/>
        <v>0</v>
      </c>
      <c r="K303" s="1681">
        <f t="shared" si="23"/>
        <v>3997142</v>
      </c>
      <c r="L303" s="1681">
        <f t="shared" si="23"/>
        <v>4280000</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1818</v>
      </c>
      <c r="B306" s="562" t="s">
        <v>1813</v>
      </c>
      <c r="C306" s="1673"/>
      <c r="D306" s="1673"/>
      <c r="E306" s="1574">
        <v>0</v>
      </c>
      <c r="F306" s="1673"/>
      <c r="G306" s="1673"/>
      <c r="H306" s="1574">
        <v>0</v>
      </c>
      <c r="I306" s="1673"/>
      <c r="J306" s="1673"/>
      <c r="K306" s="1672">
        <f>SUM(E306,H306)</f>
        <v>0</v>
      </c>
      <c r="L306" s="1574">
        <v>0</v>
      </c>
    </row>
    <row r="307" spans="1:14" x14ac:dyDescent="0.2">
      <c r="A307" s="1274" t="s">
        <v>301</v>
      </c>
      <c r="B307" s="503">
        <v>4120</v>
      </c>
      <c r="C307" s="1673"/>
      <c r="D307" s="1673"/>
      <c r="E307" s="1574">
        <v>0</v>
      </c>
      <c r="F307" s="1673"/>
      <c r="G307" s="1673"/>
      <c r="H307" s="1574">
        <v>0</v>
      </c>
      <c r="I307" s="1582"/>
      <c r="J307" s="1673"/>
      <c r="K307" s="1672">
        <f>SUM(E307,H307)</f>
        <v>0</v>
      </c>
      <c r="L307" s="1573">
        <v>0</v>
      </c>
    </row>
    <row r="308" spans="1:14" x14ac:dyDescent="0.2">
      <c r="A308" s="1274" t="s">
        <v>692</v>
      </c>
      <c r="B308" s="503">
        <v>4140</v>
      </c>
      <c r="C308" s="1673"/>
      <c r="D308" s="1673"/>
      <c r="E308" s="1574">
        <v>0</v>
      </c>
      <c r="F308" s="1673"/>
      <c r="G308" s="1673"/>
      <c r="H308" s="1574">
        <v>0</v>
      </c>
      <c r="I308" s="1582"/>
      <c r="J308" s="1673"/>
      <c r="K308" s="1672">
        <f>SUM(E308,H308)</f>
        <v>0</v>
      </c>
      <c r="L308" s="1573">
        <v>0</v>
      </c>
    </row>
    <row r="309" spans="1:14" ht="12.75" customHeight="1" x14ac:dyDescent="0.2">
      <c r="A309" s="1278" t="s">
        <v>693</v>
      </c>
      <c r="B309" s="512">
        <v>4190</v>
      </c>
      <c r="C309" s="1673"/>
      <c r="D309" s="1673"/>
      <c r="E309" s="1574">
        <v>0</v>
      </c>
      <c r="F309" s="1673"/>
      <c r="G309" s="1673"/>
      <c r="H309" s="1574">
        <v>0</v>
      </c>
      <c r="I309" s="1582"/>
      <c r="J309" s="1673"/>
      <c r="K309" s="1672">
        <f>SUM(E309,H309)</f>
        <v>0</v>
      </c>
      <c r="L309" s="1573">
        <v>0</v>
      </c>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v>0</v>
      </c>
    </row>
    <row r="312" spans="1:14" s="548" customFormat="1" ht="12.75" customHeight="1" thickTop="1" thickBot="1" x14ac:dyDescent="0.25">
      <c r="A312" s="2361" t="s">
        <v>275</v>
      </c>
      <c r="B312" s="2362"/>
      <c r="C312" s="1674">
        <f>SUM(C303)</f>
        <v>0</v>
      </c>
      <c r="D312" s="1674">
        <f>SUM(D303)</f>
        <v>0</v>
      </c>
      <c r="E312" s="1674">
        <f>SUM(E303,E310)</f>
        <v>12304</v>
      </c>
      <c r="F312" s="1674">
        <f>SUM(F303)</f>
        <v>75013</v>
      </c>
      <c r="G312" s="1674">
        <f>SUM(G303)</f>
        <v>3909825</v>
      </c>
      <c r="H312" s="1674">
        <f>SUM(H303,H310)</f>
        <v>0</v>
      </c>
      <c r="I312" s="1674">
        <f>SUM(I303)</f>
        <v>0</v>
      </c>
      <c r="J312" s="1674">
        <f>SUM(J303)</f>
        <v>0</v>
      </c>
      <c r="K312" s="1674">
        <f>SUM(K303,K310,K311)</f>
        <v>3997142</v>
      </c>
      <c r="L312" s="1674">
        <f>SUM(L303,L310,L311)</f>
        <v>4280000</v>
      </c>
      <c r="M312" s="539"/>
      <c r="N312" s="539"/>
    </row>
    <row r="313" spans="1:14" ht="13.5" thickTop="1" x14ac:dyDescent="0.2">
      <c r="A313" s="2357" t="s">
        <v>989</v>
      </c>
      <c r="B313" s="2358"/>
      <c r="C313" s="1677"/>
      <c r="D313" s="1677"/>
      <c r="E313" s="1677"/>
      <c r="F313" s="1677"/>
      <c r="G313" s="1677"/>
      <c r="H313" s="1677"/>
      <c r="I313" s="1677"/>
      <c r="J313" s="1677"/>
      <c r="K313" s="1696">
        <f>'Revenues 9-14'!H268-'Expenditures 15-22'!K312</f>
        <v>-3551842</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370" t="s">
        <v>148</v>
      </c>
      <c r="B315" s="2371"/>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372" t="s">
        <v>892</v>
      </c>
      <c r="B317" s="2371"/>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v>0</v>
      </c>
      <c r="D319" s="1574">
        <v>0</v>
      </c>
      <c r="E319" s="1574">
        <v>0</v>
      </c>
      <c r="F319" s="1574">
        <v>0</v>
      </c>
      <c r="G319" s="1574">
        <v>0</v>
      </c>
      <c r="H319" s="1574">
        <v>0</v>
      </c>
      <c r="I319" s="1574">
        <v>0</v>
      </c>
      <c r="J319" s="1574">
        <v>0</v>
      </c>
      <c r="K319" s="1672">
        <f>SUM(C319:J319)</f>
        <v>0</v>
      </c>
      <c r="L319" s="1574">
        <v>0</v>
      </c>
      <c r="M319" s="539"/>
      <c r="N319" s="539"/>
    </row>
    <row r="320" spans="1:14" s="548" customFormat="1" x14ac:dyDescent="0.2">
      <c r="A320" s="1293" t="s">
        <v>1779</v>
      </c>
      <c r="B320" s="568" t="s">
        <v>280</v>
      </c>
      <c r="C320" s="1574">
        <v>0</v>
      </c>
      <c r="D320" s="1574">
        <v>0</v>
      </c>
      <c r="E320" s="1574">
        <v>82588</v>
      </c>
      <c r="F320" s="1574">
        <v>0</v>
      </c>
      <c r="G320" s="1574">
        <v>0</v>
      </c>
      <c r="H320" s="1574">
        <v>0</v>
      </c>
      <c r="I320" s="1574">
        <v>0</v>
      </c>
      <c r="J320" s="1574">
        <v>0</v>
      </c>
      <c r="K320" s="1672">
        <f t="shared" ref="K320:K327" si="24">SUM(C320:J320)</f>
        <v>82588</v>
      </c>
      <c r="L320" s="1574">
        <v>82588</v>
      </c>
      <c r="M320" s="539"/>
      <c r="N320" s="539"/>
    </row>
    <row r="321" spans="1:14" s="548" customFormat="1" x14ac:dyDescent="0.2">
      <c r="A321" s="1289" t="s">
        <v>297</v>
      </c>
      <c r="B321" s="567" t="s">
        <v>281</v>
      </c>
      <c r="C321" s="1574">
        <v>0</v>
      </c>
      <c r="D321" s="1574">
        <v>0</v>
      </c>
      <c r="E321" s="1574">
        <v>0</v>
      </c>
      <c r="F321" s="1574">
        <v>0</v>
      </c>
      <c r="G321" s="1574">
        <v>0</v>
      </c>
      <c r="H321" s="1574">
        <v>0</v>
      </c>
      <c r="I321" s="1574">
        <v>0</v>
      </c>
      <c r="J321" s="1574">
        <v>0</v>
      </c>
      <c r="K321" s="1672">
        <f t="shared" si="24"/>
        <v>0</v>
      </c>
      <c r="L321" s="1574">
        <v>0</v>
      </c>
      <c r="M321" s="539"/>
      <c r="N321" s="539"/>
    </row>
    <row r="322" spans="1:14" s="548" customFormat="1" x14ac:dyDescent="0.2">
      <c r="A322" s="1289" t="s">
        <v>236</v>
      </c>
      <c r="B322" s="567" t="s">
        <v>282</v>
      </c>
      <c r="C322" s="1574">
        <v>0</v>
      </c>
      <c r="D322" s="1574">
        <v>0</v>
      </c>
      <c r="E322" s="1574">
        <v>900</v>
      </c>
      <c r="F322" s="1574">
        <v>0</v>
      </c>
      <c r="G322" s="1574">
        <v>0</v>
      </c>
      <c r="H322" s="1574">
        <v>0</v>
      </c>
      <c r="I322" s="1574">
        <v>0</v>
      </c>
      <c r="J322" s="1574">
        <v>0</v>
      </c>
      <c r="K322" s="1672">
        <f t="shared" si="24"/>
        <v>900</v>
      </c>
      <c r="L322" s="1574">
        <v>1000</v>
      </c>
      <c r="M322" s="539"/>
      <c r="N322" s="539"/>
    </row>
    <row r="323" spans="1:14" s="548" customFormat="1" x14ac:dyDescent="0.2">
      <c r="A323" s="1289" t="s">
        <v>697</v>
      </c>
      <c r="B323" s="567" t="s">
        <v>283</v>
      </c>
      <c r="C323" s="1574">
        <v>80547</v>
      </c>
      <c r="D323" s="1574">
        <v>10853</v>
      </c>
      <c r="E323" s="1574">
        <v>39470</v>
      </c>
      <c r="F323" s="1574">
        <v>0</v>
      </c>
      <c r="G323" s="1574">
        <v>0</v>
      </c>
      <c r="H323" s="1574">
        <v>0</v>
      </c>
      <c r="I323" s="1574">
        <v>0</v>
      </c>
      <c r="J323" s="1574">
        <v>0</v>
      </c>
      <c r="K323" s="1672">
        <f t="shared" si="24"/>
        <v>130870</v>
      </c>
      <c r="L323" s="1574">
        <v>178065</v>
      </c>
      <c r="M323" s="539"/>
      <c r="N323" s="539"/>
    </row>
    <row r="324" spans="1:14" s="548" customFormat="1" x14ac:dyDescent="0.2">
      <c r="A324" s="1289" t="s">
        <v>237</v>
      </c>
      <c r="B324" s="567" t="s">
        <v>284</v>
      </c>
      <c r="C324" s="1574">
        <v>0</v>
      </c>
      <c r="D324" s="1574">
        <v>0</v>
      </c>
      <c r="E324" s="1574">
        <v>0</v>
      </c>
      <c r="F324" s="1574">
        <v>0</v>
      </c>
      <c r="G324" s="1574">
        <v>0</v>
      </c>
      <c r="H324" s="1574">
        <v>0</v>
      </c>
      <c r="I324" s="1574">
        <v>0</v>
      </c>
      <c r="J324" s="1574">
        <v>0</v>
      </c>
      <c r="K324" s="1672">
        <f t="shared" si="24"/>
        <v>0</v>
      </c>
      <c r="L324" s="1574">
        <v>10000</v>
      </c>
      <c r="M324" s="539"/>
      <c r="N324" s="539"/>
    </row>
    <row r="325" spans="1:14" s="548" customFormat="1" ht="22.5" x14ac:dyDescent="0.2">
      <c r="A325" s="1289" t="s">
        <v>1022</v>
      </c>
      <c r="B325" s="568" t="s">
        <v>285</v>
      </c>
      <c r="C325" s="1574">
        <v>0</v>
      </c>
      <c r="D325" s="1574">
        <v>0</v>
      </c>
      <c r="E325" s="1574">
        <v>52454</v>
      </c>
      <c r="F325" s="1574">
        <v>0</v>
      </c>
      <c r="G325" s="1574">
        <v>0</v>
      </c>
      <c r="H325" s="1574">
        <v>0</v>
      </c>
      <c r="I325" s="1574">
        <v>0</v>
      </c>
      <c r="J325" s="1574">
        <v>0</v>
      </c>
      <c r="K325" s="1672">
        <f t="shared" si="24"/>
        <v>52454</v>
      </c>
      <c r="L325" s="1574">
        <v>65200</v>
      </c>
      <c r="M325" s="539"/>
      <c r="N325" s="539"/>
    </row>
    <row r="326" spans="1:14" s="548" customFormat="1" x14ac:dyDescent="0.2">
      <c r="A326" s="1289" t="s">
        <v>1023</v>
      </c>
      <c r="B326" s="567" t="s">
        <v>286</v>
      </c>
      <c r="C326" s="1574">
        <v>0</v>
      </c>
      <c r="D326" s="1574">
        <v>0</v>
      </c>
      <c r="E326" s="1574">
        <v>0</v>
      </c>
      <c r="F326" s="1574">
        <v>0</v>
      </c>
      <c r="G326" s="1574">
        <v>0</v>
      </c>
      <c r="H326" s="1574">
        <v>0</v>
      </c>
      <c r="I326" s="1574">
        <v>0</v>
      </c>
      <c r="J326" s="1574">
        <v>0</v>
      </c>
      <c r="K326" s="1672">
        <f t="shared" si="24"/>
        <v>0</v>
      </c>
      <c r="L326" s="1574">
        <v>0</v>
      </c>
      <c r="M326" s="539"/>
      <c r="N326" s="539"/>
    </row>
    <row r="327" spans="1:14" s="548" customFormat="1" x14ac:dyDescent="0.2">
      <c r="A327" s="1289" t="s">
        <v>965</v>
      </c>
      <c r="B327" s="567" t="s">
        <v>287</v>
      </c>
      <c r="C327" s="1574">
        <v>0</v>
      </c>
      <c r="D327" s="1574">
        <v>0</v>
      </c>
      <c r="E327" s="1574">
        <v>6124</v>
      </c>
      <c r="F327" s="1574">
        <v>374</v>
      </c>
      <c r="G327" s="1574">
        <v>0</v>
      </c>
      <c r="H327" s="1574">
        <v>0</v>
      </c>
      <c r="I327" s="1574">
        <v>0</v>
      </c>
      <c r="J327" s="1574">
        <v>0</v>
      </c>
      <c r="K327" s="1672">
        <f t="shared" si="24"/>
        <v>6498</v>
      </c>
      <c r="L327" s="1574">
        <v>61550</v>
      </c>
      <c r="M327" s="539"/>
      <c r="N327" s="539"/>
    </row>
    <row r="328" spans="1:14" s="548" customFormat="1" x14ac:dyDescent="0.2">
      <c r="A328" s="1290" t="s">
        <v>469</v>
      </c>
      <c r="B328" s="562" t="s">
        <v>1122</v>
      </c>
      <c r="C328" s="1579">
        <v>0</v>
      </c>
      <c r="D328" s="1579">
        <v>0</v>
      </c>
      <c r="E328" s="1579">
        <v>100673</v>
      </c>
      <c r="F328" s="1579">
        <v>0</v>
      </c>
      <c r="G328" s="1579">
        <v>0</v>
      </c>
      <c r="H328" s="1579">
        <v>0</v>
      </c>
      <c r="I328" s="1579">
        <v>0</v>
      </c>
      <c r="J328" s="1579">
        <v>0</v>
      </c>
      <c r="K328" s="1713">
        <f>SUM(C328:J328)</f>
        <v>100673</v>
      </c>
      <c r="L328" s="1579">
        <v>96623</v>
      </c>
      <c r="M328" s="539"/>
      <c r="N328" s="539"/>
    </row>
    <row r="329" spans="1:14" s="548" customFormat="1" x14ac:dyDescent="0.2">
      <c r="A329" s="1290" t="s">
        <v>1123</v>
      </c>
      <c r="B329" s="562" t="s">
        <v>1124</v>
      </c>
      <c r="C329" s="1579">
        <v>0</v>
      </c>
      <c r="D329" s="1579">
        <v>0</v>
      </c>
      <c r="E329" s="1579">
        <v>39543</v>
      </c>
      <c r="F329" s="1579">
        <v>0</v>
      </c>
      <c r="G329" s="1579">
        <v>35170</v>
      </c>
      <c r="H329" s="1579">
        <v>0</v>
      </c>
      <c r="I329" s="1579">
        <v>0</v>
      </c>
      <c r="J329" s="1579">
        <v>0</v>
      </c>
      <c r="K329" s="1713">
        <f>SUM(C329:J329)</f>
        <v>74713</v>
      </c>
      <c r="L329" s="1579">
        <v>89329</v>
      </c>
      <c r="M329" s="539"/>
      <c r="N329" s="539"/>
    </row>
    <row r="330" spans="1:14" s="548" customFormat="1" ht="12.75" customHeight="1" thickBot="1" x14ac:dyDescent="0.25">
      <c r="A330" s="1401" t="s">
        <v>712</v>
      </c>
      <c r="B330" s="1381" t="s">
        <v>565</v>
      </c>
      <c r="C330" s="1674">
        <f>SUM(C319:C329)</f>
        <v>80547</v>
      </c>
      <c r="D330" s="1674">
        <f t="shared" ref="D330:J330" si="25">SUM(D319:D329)</f>
        <v>10853</v>
      </c>
      <c r="E330" s="1674">
        <f t="shared" si="25"/>
        <v>321752</v>
      </c>
      <c r="F330" s="1674">
        <f t="shared" si="25"/>
        <v>374</v>
      </c>
      <c r="G330" s="1674">
        <f t="shared" si="25"/>
        <v>35170</v>
      </c>
      <c r="H330" s="1674">
        <f t="shared" si="25"/>
        <v>0</v>
      </c>
      <c r="I330" s="1674">
        <f t="shared" si="25"/>
        <v>0</v>
      </c>
      <c r="J330" s="1674">
        <f t="shared" si="25"/>
        <v>0</v>
      </c>
      <c r="K330" s="1674">
        <f>SUM(K319:K329)</f>
        <v>448696</v>
      </c>
      <c r="L330" s="1674">
        <f>SUM(L319:L329)</f>
        <v>584355</v>
      </c>
      <c r="M330" s="539"/>
      <c r="N330" s="539"/>
    </row>
    <row r="331" spans="1:14" s="548" customFormat="1" ht="12.75" customHeight="1" thickTop="1" x14ac:dyDescent="0.2">
      <c r="A331" s="1467" t="s">
        <v>1819</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1813</v>
      </c>
      <c r="C332" s="1714"/>
      <c r="D332" s="1714"/>
      <c r="E332" s="1714"/>
      <c r="F332" s="1714"/>
      <c r="G332" s="1714"/>
      <c r="H332" s="1574">
        <v>0</v>
      </c>
      <c r="I332" s="1714"/>
      <c r="J332" s="1714"/>
      <c r="K332" s="1672">
        <f>H332</f>
        <v>0</v>
      </c>
      <c r="L332" s="1574">
        <v>0</v>
      </c>
      <c r="M332" s="539"/>
      <c r="N332" s="539"/>
    </row>
    <row r="333" spans="1:14" s="548" customFormat="1" ht="12.75" customHeight="1" x14ac:dyDescent="0.2">
      <c r="A333" s="1468" t="s">
        <v>301</v>
      </c>
      <c r="B333" s="1463" t="s">
        <v>1815</v>
      </c>
      <c r="C333" s="1714"/>
      <c r="D333" s="1714"/>
      <c r="E333" s="1714"/>
      <c r="F333" s="1714"/>
      <c r="G333" s="1714"/>
      <c r="H333" s="1574">
        <v>0</v>
      </c>
      <c r="I333" s="1714"/>
      <c r="J333" s="1714"/>
      <c r="K333" s="1672">
        <f>H333</f>
        <v>0</v>
      </c>
      <c r="L333" s="1574">
        <v>0</v>
      </c>
      <c r="M333" s="539"/>
      <c r="N333" s="539"/>
    </row>
    <row r="334" spans="1:14" s="548" customFormat="1" ht="12.75" customHeight="1" thickBot="1" x14ac:dyDescent="0.25">
      <c r="A334" s="1468" t="s">
        <v>1820</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v>0</v>
      </c>
      <c r="I337" s="1684"/>
      <c r="J337" s="1684"/>
      <c r="K337" s="1672">
        <f>H337</f>
        <v>0</v>
      </c>
      <c r="L337" s="1583">
        <v>0</v>
      </c>
    </row>
    <row r="338" spans="1:14" ht="12.75" customHeight="1" x14ac:dyDescent="0.2">
      <c r="A338" s="1288" t="s">
        <v>1160</v>
      </c>
      <c r="B338" s="562" t="s">
        <v>613</v>
      </c>
      <c r="C338" s="1684"/>
      <c r="D338" s="1684"/>
      <c r="E338" s="1684"/>
      <c r="F338" s="1684"/>
      <c r="G338" s="1684"/>
      <c r="H338" s="1583">
        <v>0</v>
      </c>
      <c r="I338" s="1684"/>
      <c r="J338" s="1684"/>
      <c r="K338" s="1672">
        <f>H338</f>
        <v>0</v>
      </c>
      <c r="L338" s="1583">
        <v>0</v>
      </c>
    </row>
    <row r="339" spans="1:14" x14ac:dyDescent="0.2">
      <c r="A339" s="1274" t="s">
        <v>895</v>
      </c>
      <c r="B339" s="512">
        <v>5150</v>
      </c>
      <c r="C339" s="1684"/>
      <c r="D339" s="1684"/>
      <c r="E339" s="1684"/>
      <c r="F339" s="1684"/>
      <c r="G339" s="1684"/>
      <c r="H339" s="1574">
        <v>0</v>
      </c>
      <c r="I339" s="1684"/>
      <c r="J339" s="1684"/>
      <c r="K339" s="1672">
        <f>H339</f>
        <v>0</v>
      </c>
      <c r="L339" s="1574">
        <v>0</v>
      </c>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v>5000</v>
      </c>
    </row>
    <row r="342" spans="1:14" ht="12.75" customHeight="1" thickTop="1" thickBot="1" x14ac:dyDescent="0.25">
      <c r="A342" s="1389" t="s">
        <v>502</v>
      </c>
      <c r="B342" s="1402"/>
      <c r="C342" s="1674">
        <f>SUM(C330)</f>
        <v>80547</v>
      </c>
      <c r="D342" s="1674">
        <f>SUM(D330)</f>
        <v>10853</v>
      </c>
      <c r="E342" s="1674">
        <f>SUM(E330)</f>
        <v>321752</v>
      </c>
      <c r="F342" s="1674">
        <f>SUM(F330)</f>
        <v>374</v>
      </c>
      <c r="G342" s="1674">
        <f>SUM(G330)</f>
        <v>35170</v>
      </c>
      <c r="H342" s="1674">
        <f>SUM(H330,H334,H340)</f>
        <v>0</v>
      </c>
      <c r="I342" s="1674">
        <f>SUM(I330)</f>
        <v>0</v>
      </c>
      <c r="J342" s="1674">
        <f>SUM(J330)</f>
        <v>0</v>
      </c>
      <c r="K342" s="1674">
        <f>SUM(K330,K334,K340)</f>
        <v>448696</v>
      </c>
      <c r="L342" s="1681">
        <f>SUM(L330,L334,L340,L341)</f>
        <v>589355</v>
      </c>
    </row>
    <row r="343" spans="1:14" ht="12.75" customHeight="1" thickTop="1" x14ac:dyDescent="0.2">
      <c r="A343" s="2359" t="s">
        <v>989</v>
      </c>
      <c r="B343" s="2360"/>
      <c r="C343" s="1673"/>
      <c r="D343" s="1673"/>
      <c r="E343" s="1673"/>
      <c r="F343" s="1673"/>
      <c r="G343" s="1673"/>
      <c r="H343" s="1673"/>
      <c r="I343" s="1673"/>
      <c r="J343" s="1673"/>
      <c r="K343" s="1689">
        <f>'Revenues 9-14'!J268-'Expenditures 15-22'!K342</f>
        <v>163206</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349" t="s">
        <v>960</v>
      </c>
      <c r="B345" s="2350"/>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v>0</v>
      </c>
      <c r="D348" s="1573">
        <v>0</v>
      </c>
      <c r="E348" s="1573">
        <v>0</v>
      </c>
      <c r="F348" s="1573">
        <v>0</v>
      </c>
      <c r="G348" s="1573">
        <v>0</v>
      </c>
      <c r="H348" s="1573">
        <v>0</v>
      </c>
      <c r="I348" s="1574">
        <v>0</v>
      </c>
      <c r="J348" s="1574">
        <v>0</v>
      </c>
      <c r="K348" s="1672">
        <f>SUM(C348:J348)</f>
        <v>0</v>
      </c>
      <c r="L348" s="1573">
        <v>0</v>
      </c>
    </row>
    <row r="349" spans="1:14" x14ac:dyDescent="0.2">
      <c r="A349" s="1274" t="s">
        <v>195</v>
      </c>
      <c r="B349" s="503">
        <v>2540</v>
      </c>
      <c r="C349" s="1573">
        <v>0</v>
      </c>
      <c r="D349" s="1573">
        <v>0</v>
      </c>
      <c r="E349" s="1573">
        <v>2255</v>
      </c>
      <c r="F349" s="1573">
        <v>3175</v>
      </c>
      <c r="G349" s="1573">
        <v>0</v>
      </c>
      <c r="H349" s="1573">
        <v>0</v>
      </c>
      <c r="I349" s="1574">
        <v>0</v>
      </c>
      <c r="J349" s="1574">
        <v>0</v>
      </c>
      <c r="K349" s="1672">
        <f>SUM(C349:J349)</f>
        <v>5430</v>
      </c>
      <c r="L349" s="1573">
        <v>65000</v>
      </c>
    </row>
    <row r="350" spans="1:14" ht="12.75" customHeight="1" thickBot="1" x14ac:dyDescent="0.25">
      <c r="A350" s="1380" t="s">
        <v>714</v>
      </c>
      <c r="B350" s="1381" t="s">
        <v>35</v>
      </c>
      <c r="C350" s="1674">
        <f>SUM(C348:C349)</f>
        <v>0</v>
      </c>
      <c r="D350" s="1674">
        <f t="shared" ref="D350:L350" si="26">SUM(D348:D349)</f>
        <v>0</v>
      </c>
      <c r="E350" s="1674">
        <f t="shared" si="26"/>
        <v>2255</v>
      </c>
      <c r="F350" s="1674">
        <f t="shared" si="26"/>
        <v>3175</v>
      </c>
      <c r="G350" s="1674">
        <f t="shared" si="26"/>
        <v>0</v>
      </c>
      <c r="H350" s="1674">
        <f t="shared" si="26"/>
        <v>0</v>
      </c>
      <c r="I350" s="1674">
        <f t="shared" si="26"/>
        <v>0</v>
      </c>
      <c r="J350" s="1674">
        <f t="shared" si="26"/>
        <v>0</v>
      </c>
      <c r="K350" s="1674">
        <f t="shared" si="26"/>
        <v>5430</v>
      </c>
      <c r="L350" s="1674">
        <f t="shared" si="26"/>
        <v>65000</v>
      </c>
    </row>
    <row r="351" spans="1:14" ht="12.75" customHeight="1" thickTop="1" x14ac:dyDescent="0.2">
      <c r="A351" s="1280" t="s">
        <v>973</v>
      </c>
      <c r="B351" s="521" t="s">
        <v>570</v>
      </c>
      <c r="C351" s="1586">
        <v>0</v>
      </c>
      <c r="D351" s="1586">
        <v>0</v>
      </c>
      <c r="E351" s="1586">
        <v>0</v>
      </c>
      <c r="F351" s="1586">
        <v>0</v>
      </c>
      <c r="G351" s="1586">
        <v>0</v>
      </c>
      <c r="H351" s="1586">
        <v>0</v>
      </c>
      <c r="I351" s="1583">
        <v>0</v>
      </c>
      <c r="J351" s="1583">
        <v>0</v>
      </c>
      <c r="K351" s="1715">
        <f>SUM(C351:J351)</f>
        <v>0</v>
      </c>
      <c r="L351" s="1586">
        <v>0</v>
      </c>
    </row>
    <row r="352" spans="1:14" ht="12.75" customHeight="1" thickBot="1" x14ac:dyDescent="0.25">
      <c r="A352" s="1380" t="s">
        <v>620</v>
      </c>
      <c r="B352" s="1383" t="s">
        <v>565</v>
      </c>
      <c r="C352" s="1674">
        <f>SUM(C350:C351)</f>
        <v>0</v>
      </c>
      <c r="D352" s="1674">
        <f t="shared" ref="D352:L352" si="27">SUM(D350:D351)</f>
        <v>0</v>
      </c>
      <c r="E352" s="1674">
        <f t="shared" si="27"/>
        <v>2255</v>
      </c>
      <c r="F352" s="1674">
        <f t="shared" si="27"/>
        <v>3175</v>
      </c>
      <c r="G352" s="1674">
        <f t="shared" si="27"/>
        <v>0</v>
      </c>
      <c r="H352" s="1674">
        <f t="shared" si="27"/>
        <v>0</v>
      </c>
      <c r="I352" s="1674">
        <f t="shared" si="27"/>
        <v>0</v>
      </c>
      <c r="J352" s="1674">
        <f t="shared" si="27"/>
        <v>0</v>
      </c>
      <c r="K352" s="1674">
        <f t="shared" si="27"/>
        <v>5430</v>
      </c>
      <c r="L352" s="1674">
        <f t="shared" si="27"/>
        <v>65000</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1821</v>
      </c>
      <c r="B354" s="557" t="s">
        <v>1813</v>
      </c>
      <c r="C354" s="1673"/>
      <c r="D354" s="1673"/>
      <c r="E354" s="1673"/>
      <c r="F354" s="1673"/>
      <c r="G354" s="1673"/>
      <c r="H354" s="1579">
        <v>0</v>
      </c>
      <c r="I354" s="1716"/>
      <c r="J354" s="1673"/>
      <c r="K354" s="1713">
        <f>H354</f>
        <v>0</v>
      </c>
      <c r="L354" s="1577">
        <v>0</v>
      </c>
    </row>
    <row r="355" spans="1:14" ht="12.75" customHeight="1" x14ac:dyDescent="0.2">
      <c r="A355" s="1283" t="s">
        <v>1822</v>
      </c>
      <c r="B355" s="562" t="s">
        <v>1815</v>
      </c>
      <c r="C355" s="1673"/>
      <c r="D355" s="1673"/>
      <c r="E355" s="1673"/>
      <c r="F355" s="1673"/>
      <c r="G355" s="1673"/>
      <c r="H355" s="1574">
        <v>0</v>
      </c>
      <c r="I355" s="1716"/>
      <c r="J355" s="1673"/>
      <c r="K355" s="1607">
        <f>H355</f>
        <v>0</v>
      </c>
      <c r="L355" s="1574">
        <v>0</v>
      </c>
    </row>
    <row r="356" spans="1:14" ht="12.75" customHeight="1" x14ac:dyDescent="0.2">
      <c r="A356" s="1469" t="s">
        <v>693</v>
      </c>
      <c r="B356" s="557" t="s">
        <v>554</v>
      </c>
      <c r="C356" s="1673"/>
      <c r="D356" s="1673"/>
      <c r="E356" s="1673"/>
      <c r="F356" s="1673"/>
      <c r="G356" s="1673"/>
      <c r="H356" s="1584">
        <v>0</v>
      </c>
      <c r="I356" s="1716"/>
      <c r="J356" s="1673"/>
      <c r="K356" s="1600">
        <f>H356</f>
        <v>0</v>
      </c>
      <c r="L356" s="1584">
        <v>0</v>
      </c>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v>0</v>
      </c>
      <c r="I360" s="1673"/>
      <c r="J360" s="1673"/>
      <c r="K360" s="1672">
        <f>SUM(C360:J360)</f>
        <v>0</v>
      </c>
      <c r="L360" s="1573">
        <v>0</v>
      </c>
    </row>
    <row r="361" spans="1:14" ht="12.75" customHeight="1" x14ac:dyDescent="0.2">
      <c r="A361" s="1275" t="s">
        <v>615</v>
      </c>
      <c r="B361" s="494" t="s">
        <v>614</v>
      </c>
      <c r="C361" s="1673"/>
      <c r="D361" s="1673"/>
      <c r="E361" s="1673"/>
      <c r="F361" s="1673"/>
      <c r="G361" s="1673"/>
      <c r="H361" s="1574">
        <v>0</v>
      </c>
      <c r="I361" s="1673"/>
      <c r="J361" s="1673"/>
      <c r="K361" s="1672">
        <f>SUM(C361:J361)</f>
        <v>0</v>
      </c>
      <c r="L361" s="1573">
        <v>0</v>
      </c>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v>0</v>
      </c>
      <c r="I363" s="1684"/>
      <c r="J363" s="1684"/>
      <c r="K363" s="1713">
        <f>SUM(C363:J363)</f>
        <v>0</v>
      </c>
      <c r="L363" s="1584">
        <v>0</v>
      </c>
      <c r="M363" s="539"/>
      <c r="N363" s="539"/>
    </row>
    <row r="364" spans="1:14" s="573" customFormat="1" ht="29.25" customHeight="1" x14ac:dyDescent="0.2">
      <c r="A364" s="571" t="s">
        <v>1653</v>
      </c>
      <c r="B364" s="572">
        <v>5300</v>
      </c>
      <c r="C364" s="1717"/>
      <c r="D364" s="1718"/>
      <c r="E364" s="1718"/>
      <c r="F364" s="1717"/>
      <c r="G364" s="1718"/>
      <c r="H364" s="1719">
        <v>0</v>
      </c>
      <c r="I364" s="1718"/>
      <c r="J364" s="1718"/>
      <c r="K364" s="1672">
        <f>SUM(C364:J364)</f>
        <v>0</v>
      </c>
      <c r="L364" s="1720">
        <v>0</v>
      </c>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v>10000</v>
      </c>
      <c r="M366" s="501"/>
      <c r="N366" s="501"/>
    </row>
    <row r="367" spans="1:14" ht="12.75" customHeight="1" thickTop="1" thickBot="1" x14ac:dyDescent="0.25">
      <c r="A367" s="1394" t="s">
        <v>502</v>
      </c>
      <c r="B367" s="1403"/>
      <c r="C367" s="1674">
        <f t="shared" ref="C367:L367" si="28">SUM(C352,C357,C365,C366)</f>
        <v>0</v>
      </c>
      <c r="D367" s="1674">
        <f t="shared" si="28"/>
        <v>0</v>
      </c>
      <c r="E367" s="1674">
        <f t="shared" si="28"/>
        <v>2255</v>
      </c>
      <c r="F367" s="1674">
        <f t="shared" si="28"/>
        <v>3175</v>
      </c>
      <c r="G367" s="1674">
        <f t="shared" si="28"/>
        <v>0</v>
      </c>
      <c r="H367" s="1674">
        <f t="shared" si="28"/>
        <v>0</v>
      </c>
      <c r="I367" s="1674">
        <f t="shared" si="28"/>
        <v>0</v>
      </c>
      <c r="J367" s="1674">
        <f t="shared" si="28"/>
        <v>0</v>
      </c>
      <c r="K367" s="1674">
        <f t="shared" si="28"/>
        <v>5430</v>
      </c>
      <c r="L367" s="1674">
        <f t="shared" si="28"/>
        <v>75000</v>
      </c>
    </row>
    <row r="368" spans="1:14" ht="13.5" thickTop="1" x14ac:dyDescent="0.2">
      <c r="A368" s="2346" t="s">
        <v>989</v>
      </c>
      <c r="B368" s="2347"/>
      <c r="C368" s="1694"/>
      <c r="D368" s="1694"/>
      <c r="E368" s="1677"/>
      <c r="F368" s="1677"/>
      <c r="G368" s="1677"/>
      <c r="H368" s="1677"/>
      <c r="I368" s="1677"/>
      <c r="J368" s="1676"/>
      <c r="K368" s="1672">
        <f>'Revenues 9-14'!K268-'Expenditures 15-22'!K367</f>
        <v>109959</v>
      </c>
      <c r="L368" s="1694"/>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6" type="noConversion"/>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schemas.microsoft.com/office/2006/documentManagement/types"/>
    <ds:schemaRef ds:uri="http://purl.org/dc/elements/1.1/"/>
    <ds:schemaRef ds:uri="http://purl.org/dc/dcmitype/"/>
    <ds:schemaRef ds:uri="http://schemas.microsoft.com/sharepoint/v3"/>
    <ds:schemaRef ds:uri="http://schemas.microsoft.com/office/2006/metadata/properties"/>
    <ds:schemaRef ds:uri="http://www.w3.org/XML/1998/namespace"/>
    <ds:schemaRef ds:uri="4d435f69-8686-490b-bd6d-b153bf22ab50"/>
    <ds:schemaRef ds:uri="6ce3111e-7420-4802-b50a-75d4e9a0b980"/>
    <ds:schemaRef ds:uri="http://schemas.microsoft.com/office/infopath/2007/PartnerControls"/>
    <ds:schemaRef ds:uri="http://schemas.openxmlformats.org/package/2006/metadata/core-properties"/>
    <ds:schemaRef ds:uri="d21dc803-237d-4c68-8692-8d731fd29118"/>
    <ds:schemaRef ds:uri="http://purl.org/dc/terms/"/>
  </ds:schemaRefs>
</ds:datastoreItem>
</file>

<file path=customXml/itemProps3.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21</vt:i4>
      </vt:variant>
    </vt:vector>
  </HeadingPairs>
  <TitlesOfParts>
    <vt:vector size="55"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SEFA20</vt:lpstr>
      <vt:lpstr> SEFA</vt:lpstr>
      <vt:lpstr>SEFA NOTES</vt:lpstr>
      <vt:lpstr>SF&amp;QC Sec-1</vt:lpstr>
      <vt:lpstr>SF&amp;QC Sec-2</vt:lpstr>
      <vt:lpstr>SF&amp;QC Sec-3</vt:lpstr>
      <vt:lpstr>SSPAF</vt:lpstr>
      <vt:lpstr>' SEFA'!Print_Area</vt:lpstr>
      <vt:lpstr>'Contracts Paid in CY 29'!Print_Area</vt:lpstr>
      <vt:lpstr>'SEFA NOTES'!Print_Area</vt:lpstr>
      <vt:lpstr>'SEFA Reconcile'!Print_Area</vt:lpstr>
      <vt:lpstr>SEFA20!Print_Area</vt:lpstr>
      <vt:lpstr>'SF&amp;QC Sec-1'!Print_Area</vt:lpstr>
      <vt:lpstr>'SF&amp;QC Sec-3'!Print_Area</vt:lpstr>
      <vt:lpstr>'Shared Outsourced Services 31'!Print_Area</vt:lpstr>
      <vt:lpstr>'Single Audit Checklist'!Print_Area</vt:lpstr>
      <vt:lpstr>'Single Audit Cover'!Print_Area</vt:lpstr>
      <vt:lpstr>SEFA20!Print_Area_MI</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SEFA20!Print_Titles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2020-11-19T15:58:29Z</cp:lastPrinted>
  <dcterms:created xsi:type="dcterms:W3CDTF">2003-10-29T19:06:34Z</dcterms:created>
  <dcterms:modified xsi:type="dcterms:W3CDTF">2020-12-03T00:21:59Z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