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762F686-E7C2-427B-80F9-B2F0BA982E7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8" i="118"/>
  <c r="H33" i="118"/>
  <c r="D22" i="37"/>
  <c r="L22" i="37"/>
  <c r="D24" i="37"/>
  <c r="B4270" i="106" s="1"/>
  <c r="D4270" i="106" s="1"/>
  <c r="G14" i="4" l="1"/>
  <c r="B2609" i="106" s="1"/>
  <c r="D2609" i="106" s="1"/>
  <c r="B6995" i="106"/>
  <c r="D6995" i="106" s="1"/>
  <c r="F72" i="34"/>
  <c r="B2724" i="106"/>
  <c r="D2724" i="106" s="1"/>
  <c r="B7078" i="106"/>
  <c r="D7078" i="106" s="1"/>
  <c r="D36" i="108"/>
  <c r="F52" i="34"/>
  <c r="B7831" i="106" s="1"/>
  <c r="D7831" i="106" s="1"/>
  <c r="G35" i="108"/>
  <c r="C129" i="29"/>
  <c r="B1225" i="106" s="1"/>
  <c r="D1225" i="106" s="1"/>
  <c r="D14" i="4"/>
  <c r="B2570" i="106" s="1"/>
  <c r="D2570" i="106" s="1"/>
  <c r="F56" i="34"/>
  <c r="B7832" i="106" s="1"/>
  <c r="D7832" i="106" s="1"/>
  <c r="B7047" i="106"/>
  <c r="D7047" i="106" s="1"/>
  <c r="E34" i="108"/>
  <c r="F42" i="34"/>
  <c r="F50" i="34"/>
  <c r="H365" i="29"/>
  <c r="B7242" i="106" s="1"/>
  <c r="D7242"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B2031" i="106"/>
  <c r="D2031" i="106" s="1"/>
  <c r="C151" i="29"/>
  <c r="B1226" i="106" s="1"/>
  <c r="D1226" i="106" s="1"/>
  <c r="I151" i="29"/>
  <c r="F59" i="34" s="1"/>
  <c r="L114" i="29"/>
  <c r="J16" i="4"/>
  <c r="B6226" i="106" s="1"/>
  <c r="D6226" i="106" s="1"/>
  <c r="J151" i="29"/>
  <c r="B7052" i="106" s="1"/>
  <c r="D7052" i="106" s="1"/>
  <c r="C367" i="29"/>
  <c r="B3622" i="106" s="1"/>
  <c r="D3622" i="106" s="1"/>
  <c r="K365" i="29"/>
  <c r="B7243" i="106" s="1"/>
  <c r="D7243" i="106" s="1"/>
  <c r="B7235" i="106"/>
  <c r="D7235"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1145" i="106"/>
  <c r="D1145" i="106" s="1"/>
  <c r="B7224" i="106"/>
  <c r="D7224" i="106" s="1"/>
  <c r="K367" i="29"/>
  <c r="B3678" i="106" s="1"/>
  <c r="D3678" i="106" s="1"/>
  <c r="K16" i="4"/>
  <c r="B3574" i="106" s="1"/>
  <c r="D357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F178" i="34"/>
  <c r="O17" i="118"/>
  <c r="O20" i="118" s="1"/>
  <c r="G82" i="4"/>
  <c r="B1686" i="106"/>
  <c r="D1686" i="106" s="1"/>
  <c r="B1672" i="106"/>
  <c r="D1672" i="106" s="1"/>
  <c r="F82" i="4"/>
  <c r="D11" i="14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B3411" i="106"/>
  <c r="D3411" i="106" s="1"/>
  <c r="H24" i="118"/>
  <c r="K24" i="118" s="1"/>
  <c r="O23" i="118" s="1"/>
  <c r="O25" i="118" s="1"/>
  <c r="D36" i="36"/>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B3274" i="106" l="1"/>
  <c r="D3274" i="106" s="1"/>
  <c r="E77" i="4"/>
  <c r="B3299" i="106"/>
  <c r="D3299" i="106" s="1"/>
  <c r="H78" i="4"/>
  <c r="B3587" i="106"/>
  <c r="D3587" i="106" s="1"/>
  <c r="K78" i="4"/>
  <c r="B3319" i="106"/>
  <c r="D3319" i="106" s="1"/>
  <c r="I78" i="4"/>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3278" i="106"/>
  <c r="D3278" i="106" s="1"/>
  <c r="E81" i="4"/>
  <c r="B1700" i="106"/>
  <c r="D1700" i="106" s="1"/>
  <c r="H82" i="4"/>
  <c r="K82" i="4"/>
  <c r="B3591" i="106"/>
  <c r="D3591" i="106" s="1"/>
  <c r="I82" i="4"/>
  <c r="E11" i="146"/>
  <c r="F11" i="146" s="1"/>
  <c r="B3323" i="106"/>
  <c r="D3323" i="106" s="1"/>
  <c r="B6267" i="106"/>
  <c r="D6267" i="106" s="1"/>
  <c r="C83" i="4"/>
  <c r="B6276" i="106" s="1"/>
  <c r="D6276" i="106" s="1"/>
  <c r="H83" i="4" l="1"/>
  <c r="B6281" i="106" s="1"/>
  <c r="D6281" i="106" s="1"/>
  <c r="B6272" i="106"/>
  <c r="D6272" i="106" s="1"/>
  <c r="B1658" i="106"/>
  <c r="D1658" i="106" s="1"/>
  <c r="E82" i="4"/>
  <c r="B6275" i="106"/>
  <c r="D6275" i="106" s="1"/>
  <c r="K83" i="4"/>
  <c r="B6284" i="106" s="1"/>
  <c r="D6284" i="106" s="1"/>
  <c r="D29" i="36"/>
  <c r="J24" i="24" s="1"/>
  <c r="C12" i="146"/>
  <c r="I83" i="4"/>
  <c r="B6282" i="106" s="1"/>
  <c r="D6282" i="106" s="1"/>
  <c r="B6273" i="106"/>
  <c r="D6273" i="106" s="1"/>
  <c r="B6269" i="106" l="1"/>
  <c r="D6269" i="106" s="1"/>
  <c r="E83" i="4"/>
  <c r="B6278" i="106" s="1"/>
  <c r="D6278" i="106" s="1"/>
  <c r="B280" i="106" l="1"/>
  <c r="D280" i="106" s="1"/>
  <c r="M41" i="3"/>
  <c r="B281" i="106" l="1"/>
  <c r="D281" i="106" s="1"/>
  <c r="D54" i="36"/>
  <c r="B2912" i="106" l="1"/>
  <c r="D2912" i="106" s="1"/>
  <c r="I41" i="3"/>
  <c r="D63" i="36"/>
  <c r="B140" i="106"/>
  <c r="D140" i="106" s="1"/>
  <c r="E41" i="3"/>
  <c r="D59" i="36"/>
  <c r="B141" i="106" l="1"/>
  <c r="D141" i="106" s="1"/>
  <c r="D46" i="36"/>
  <c r="D50" i="36"/>
  <c r="B2913" i="106"/>
  <c r="D2913" i="106" s="1"/>
  <c r="B3567" i="106" l="1"/>
  <c r="D3567" i="106" s="1"/>
  <c r="K41" i="3"/>
  <c r="D65" i="36"/>
  <c r="N23" i="3"/>
  <c r="B282" i="106"/>
  <c r="D282" i="106" s="1"/>
  <c r="B6215" i="106"/>
  <c r="D6215" i="106" s="1"/>
  <c r="J41" i="3"/>
  <c r="D64" i="36"/>
  <c r="B123" i="106"/>
  <c r="D123" i="106" s="1"/>
  <c r="D41" i="3"/>
  <c r="D58" i="36"/>
  <c r="B212" i="106"/>
  <c r="D212" i="106" s="1"/>
  <c r="H41" i="3"/>
  <c r="D62" i="36"/>
  <c r="B284" i="106" l="1"/>
  <c r="D284" i="106" s="1"/>
  <c r="D55" i="36"/>
  <c r="B170" i="106"/>
  <c r="D170" i="106" s="1"/>
  <c r="F41" i="3"/>
  <c r="D60" i="36"/>
  <c r="B124" i="106"/>
  <c r="D124" i="106" s="1"/>
  <c r="D45" i="36"/>
  <c r="B3568" i="106"/>
  <c r="D3568" i="106" s="1"/>
  <c r="D52" i="36"/>
  <c r="B92" i="106"/>
  <c r="D92" i="106" s="1"/>
  <c r="C41" i="3"/>
  <c r="D57" i="36"/>
  <c r="D61" i="36"/>
  <c r="G41" i="3"/>
  <c r="B189" i="106"/>
  <c r="D189" i="106" s="1"/>
  <c r="D76" i="36"/>
  <c r="D51" i="36"/>
  <c r="B6216" i="106"/>
  <c r="D6216" i="106" s="1"/>
  <c r="B213" i="106"/>
  <c r="D213" i="106" s="1"/>
  <c r="D49" i="36"/>
  <c r="B190" i="106" l="1"/>
  <c r="D190" i="106" s="1"/>
  <c r="D48" i="36"/>
  <c r="D47" i="36"/>
  <c r="B171" i="106"/>
  <c r="D171" i="106" s="1"/>
  <c r="B93" i="106"/>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<sst xmlns="http://schemas.openxmlformats.org/spreadsheetml/2006/main" count="5174" uniqueCount="2096">
  <si>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</si>
  <si>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</si>
  <si>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</si>
  <si>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</si>
  <si>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</si>
  <si>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</si>
  <si>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</si>
  <si>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</si>
  <si>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</si>
  <si>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</si>
  <si>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</si>
  <si>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</si>
  <si>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</si>
  <si>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</si>
  <si>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</si>
  <si>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</si>
  <si>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</si>
  <si>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</si>
  <si>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</si>
  <si>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</si>
  <si>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</si>
  <si>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</si>
  <si>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</si>
  <si>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</si>
  <si>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</si>
  <si>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</si>
  <si>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</si>
  <si>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</si>
  <si>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</si>
  <si>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</si>
  <si>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</si>
  <si>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</si>
  <si>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</si>
  <si>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</si>
  <si>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</si>
  <si>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</si>
  <si>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</si>
  <si>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</si>
  <si>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</si>
  <si>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</si>
  <si>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</si>
  <si>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</si>
  <si>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</si>
  <si>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</si>
  <si>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</si>
  <si>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</si>
  <si>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</si>
  <si>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</si>
  <si>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</si>
  <si>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</si>
  <si>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</si>
  <si>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</si>
  <si>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</si>
  <si>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</si>
  <si>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</si>
  <si>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</si>
  <si>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</si>
  <si>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</si>
  <si>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</si>
  <si>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</si>
  <si>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</si>
  <si>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</si>
  <si>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</si>
  <si>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</si>
  <si>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</si>
  <si>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</si>
  <si>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</si>
  <si>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</si>
  <si>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</si>
  <si>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</si>
  <si>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</si>
  <si>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</si>
  <si>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</si>
  <si>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</si>
  <si>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</si>
  <si>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</si>
  <si>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</si>
  <si>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</si>
  <si>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</si>
  <si>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</si>
  <si>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</si>
  <si>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</si>
  <si>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</si>
  <si>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</si>
  <si>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</si>
  <si>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</si>
  <si>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</si>
  <si>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</si>
  <si>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</si>
  <si>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</si>
  <si>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</si>
  <si>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</si>
  <si>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</si>
  <si>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</si>
  <si>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</si>
  <si>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</si>
  <si>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</si>
  <si>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</si>
  <si>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</si>
  <si>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</si>
  <si>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</si>
  <si>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</si>
  <si>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</si>
  <si>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</si>
  <si>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</si>
  <si>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</si>
  <si>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</si>
  <si>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</si>
  <si>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</si>
  <si>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</si>
  <si>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</si>
  <si>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</si>
  <si>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</si>
  <si>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</si>
  <si>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</si>
  <si>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</si>
  <si>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</si>
  <si>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</si>
  <si>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</si>
  <si>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</si>
  <si>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</si>
  <si>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</si>
  <si>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</si>
  <si>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</si>
  <si>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</si>
  <si>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</si>
  <si>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</si>
  <si>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</si>
  <si>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</si>
  <si>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</si>
  <si>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</si>
  <si>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</si>
  <si>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</si>
  <si>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</si>
  <si>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</si>
  <si>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</si>
  <si>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</si>
  <si>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</si>
  <si>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</si>
  <si>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</si>
  <si>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</si>
  <si>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</si>
  <si>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</si>
  <si>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</si>
  <si>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</si>
  <si>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</si>
  <si>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</si>
  <si>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</si>
  <si>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</si>
  <si>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</si>
  <si>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</si>
  <si>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</si>
  <si>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</si>
  <si>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</si>
  <si>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</si>
  <si>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</si>
  <si>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</si>
  <si>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</si>
  <si>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</si>
  <si>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</si>
  <si>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</si>
  <si>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</si>
  <si>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</si>
  <si>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</si>
  <si>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</si>
  <si>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</si>
  <si>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</si>
  <si>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</si>
  <si>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</si>
  <si>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</si>
  <si>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</si>
  <si>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</si>
  <si>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</si>
  <si>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</si>
  <si>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</si>
  <si>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</si>
  <si>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</si>
  <si>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</si>
  <si>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</si>
  <si>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</si>
  <si>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</si>
  <si>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</si>
  <si>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</si>
  <si>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</si>
  <si>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</si>
  <si>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</si>
  <si>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</si>
  <si>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</si>
  <si>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</si>
  <si>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</si>
  <si>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</si>
  <si>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</si>
  <si>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</si>
  <si>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</si>
  <si>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</si>
  <si>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</si>
  <si>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</si>
  <si>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</si>
  <si>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</si>
  <si>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</si>
  <si>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</si>
  <si>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</si>
  <si>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</si>
  <si>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</si>
  <si>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</si>
  <si>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</si>
  <si>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</si>
  <si>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</si>
  <si>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</si>
  <si>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</si>
  <si>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</si>
  <si>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</si>
  <si>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</si>
  <si>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</si>
  <si>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</si>
  <si>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</si>
  <si>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</si>
  <si>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</si>
  <si>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</si>
  <si>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</si>
  <si>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</si>
  <si>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</si>
  <si>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</si>
  <si>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</si>
  <si>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</si>
  <si>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</si>
  <si>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</si>
  <si>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</si>
  <si>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</si>
  <si>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</si>
  <si>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</si>
  <si>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</si>
  <si>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</si>
  <si>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</si>
  <si>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</si>
  <si>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</si>
  <si>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</si>
  <si>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</si>
  <si>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</si>
  <si>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</si>
  <si>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</si>
  <si>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</si>
  <si>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</si>
  <si>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</si>
  <si>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</si>
  <si>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</si>
  <si>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</si>
  <si>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</si>
  <si>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</si>
  <si>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</si>
  <si>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</si>
  <si>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</si>
  <si>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</si>
  <si>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</si>
  <si>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</si>
  <si>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</si>
  <si>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</si>
  <si>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</si>
  <si>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</si>
  <si>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</si>
  <si>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</si>
  <si>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</si>
  <si>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</si>
  <si>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</si>
  <si>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</si>
  <si>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</si>
  <si>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</si>
  <si>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</si>
  <si>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</si>
  <si>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</si>
  <si>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</si>
  <si>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</si>
  <si>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</si>
  <si>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</si>
  <si>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</si>
  <si>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</si>
  <si>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</si>
  <si>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</si>
  <si>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</si>
  <si>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</si>
  <si>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</si>
  <si>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</si>
  <si>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</si>
  <si>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</si>
  <si>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</si>
  <si>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</si>
  <si>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</si>
  <si>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</si>
  <si>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</si>
  <si>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</si>
  <si>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</si>
  <si>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</si>
  <si>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</si>
  <si>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</si>
  <si>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</si>
  <si>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</si>
  <si>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</si>
  <si>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</si>
  <si>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</si>
  <si>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</si>
  <si>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</si>
  <si>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</si>
  <si>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</si>
  <si>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</si>
  <si>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</si>
  <si>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</si>
  <si>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</si>
  <si>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</si>
  <si>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</si>
  <si>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</si>
  <si>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</si>
  <si>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</si>
  <si>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</si>
  <si>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</si>
  <si>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</si>
  <si>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</si>
  <si>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</si>
  <si>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</si>
  <si>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</si>
  <si>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</si>
  <si>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</si>
  <si>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</si>
  <si>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</si>
  <si>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</si>
  <si>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</si>
  <si>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</si>
  <si>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</si>
  <si>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</si>
  <si>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</si>
  <si>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</si>
  <si>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</si>
  <si>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</si>
  <si>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</si>
  <si>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</si>
  <si>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</si>
  <si>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</si>
  <si>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</si>
  <si>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</si>
  <si>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</si>
  <si>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</si>
  <si>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</si>
  <si>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</si>
  <si>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</si>
  <si>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</si>
  <si>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</si>
  <si>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</si>
  <si>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</si>
  <si>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</si>
  <si>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</si>
  <si>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</si>
  <si>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</si>
  <si>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</si>
  <si>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</si>
  <si>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</si>
  <si>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</si>
  <si>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</si>
  <si>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</si>
  <si>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</si>
  <si>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</si>
  <si>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</si>
  <si>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</si>
  <si>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</si>
  <si>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</si>
  <si>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</si>
  <si>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</si>
  <si>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</si>
  <si>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</si>
  <si>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</si>
  <si>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</si>
  <si>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</si>
  <si>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</si>
  <si>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</si>
  <si>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</si>
  <si>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</si>
  <si>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</si>
  <si>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</si>
  <si>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</si>
  <si>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</si>
  <si>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</si>
  <si>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</si>
  <si>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</si>
  <si>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</si>
  <si>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</si>
  <si>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</si>
  <si>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</si>
  <si>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</si>
  <si>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</si>
  <si>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</si>
  <si>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</si>
  <si>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</si>
  <si>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</si>
  <si>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</si>
  <si>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</si>
  <si>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</si>
  <si>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</si>
  <si>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</si>
  <si>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</si>
  <si>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</si>
  <si>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</si>
  <si>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</si>
  <si>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</si>
  <si>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</si>
  <si>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</si>
  <si>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</si>
  <si>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</si>
  <si>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</si>
  <si>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</si>
  <si>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</si>
  <si>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</si>
  <si>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</si>
  <si>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</si>
  <si>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</si>
  <si>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</si>
  <si>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</si>
  <si>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</si>
  <si>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</si>
  <si>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</si>
  <si>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</si>
  <si>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</si>
  <si>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</si>
  <si>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</si>
  <si>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</si>
  <si>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</si>
  <si>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</si>
  <si>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</si>
  <si>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</si>
  <si>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</si>
  <si>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</si>
  <si>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</si>
  <si>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</si>
  <si>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</si>
  <si>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</si>
  <si>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</si>
  <si>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</si>
  <si>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</si>
  <si>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</si>
  <si>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</si>
  <si>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</si>
  <si>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</si>
  <si>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</si>
  <si>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</si>
  <si>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</si>
  <si>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</si>
  <si>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</si>
  <si>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</si>
  <si>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</si>
  <si>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</si>
  <si>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</si>
  <si>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</si>
  <si>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</si>
  <si>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</si>
  <si>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</si>
  <si>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</si>
  <si>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</si>
  <si>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</si>
  <si>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</si>
  <si>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</si>
  <si>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</si>
  <si>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</si>
  <si>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</si>
  <si>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</si>
  <si>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</si>
  <si>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</si>
  <si>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</si>
  <si>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</si>
  <si>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</si>
  <si>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</si>
  <si>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</si>
  <si>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</si>
  <si>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</si>
  <si>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</si>
  <si>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</si>
  <si>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</si>
  <si>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</si>
  <si>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</si>
  <si>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</si>
  <si>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</si>
  <si>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</si>
  <si>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</si>
  <si>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</si>
  <si>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</si>
  <si>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</si>
  <si>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</si>
  <si>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</si>
  <si>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</si>
  <si>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</si>
  <si>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</si>
  <si>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</si>
  <si>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</si>
  <si>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</si>
  <si>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</si>
  <si>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</si>
  <si>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</si>
  <si>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</si>
  <si>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</si>
  <si>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</si>
  <si>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</si>
  <si>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</si>
  <si>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</si>
  <si>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</si>
  <si>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</si>
  <si>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</si>
  <si>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</si>
  <si>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</si>
  <si>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</si>
  <si>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</si>
  <si>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</si>
  <si>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</si>
  <si>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</si>
  <si>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</si>
  <si>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</si>
  <si>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</si>
  <si>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</si>
  <si>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</si>
  <si>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</si>
  <si>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</si>
  <si>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</si>
  <si>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</si>
  <si>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</si>
  <si>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</si>
  <si>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</si>
  <si>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</si>
  <si>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</si>
  <si>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</si>
  <si>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</si>
  <si>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</si>
  <si>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</si>
  <si>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</si>
  <si>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</si>
  <si>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</si>
  <si>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</si>
  <si>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</si>
  <si>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</si>
  <si>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</si>
  <si>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</si>
  <si>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</si>
  <si>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</si>
  <si>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</si>
  <si>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</si>
  <si>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</si>
  <si>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</si>
  <si>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</si>
  <si>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</si>
  <si>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</si>
  <si>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</si>
  <si>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</si>
  <si>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</si>
  <si>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</si>
  <si>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</si>
  <si>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</si>
  <si>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</si>
  <si>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</si>
  <si>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</si>
  <si>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</si>
  <si>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</si>
  <si>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</si>
  <si>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</si>
  <si>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</si>
  <si>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</si>
  <si>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</si>
  <si>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</si>
  <si>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</si>
  <si>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</si>
  <si>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</si>
  <si>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</si>
  <si>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</si>
  <si>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</si>
  <si>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</si>
  <si>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</si>
  <si>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</si>
  <si>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</si>
  <si>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</si>
  <si>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</si>
  <si>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</si>
  <si>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</si>
  <si>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</si>
  <si>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</si>
  <si>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</si>
  <si>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</si>
  <si>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</si>
  <si>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</si>
  <si>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</si>
  <si>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</si>
  <si>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</si>
  <si>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</si>
  <si>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</si>
  <si>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</si>
  <si>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</si>
  <si>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</si>
  <si>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</si>
  <si>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</si>
  <si>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</si>
  <si>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</si>
  <si>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</si>
  <si>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</si>
  <si>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</si>
  <si>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</si>
  <si>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</si>
  <si>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</si>
  <si>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</si>
  <si>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</si>
  <si>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</si>
  <si>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</si>
  <si>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</si>
  <si>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</si>
  <si>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</si>
  <si>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</si>
  <si>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</si>
  <si>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</si>
  <si>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</si>
  <si>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</si>
  <si>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</si>
  <si>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</si>
  <si>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</si>
  <si>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</si>
  <si>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</si>
  <si>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</si>
  <si>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</si>
  <si>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</si>
  <si>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</si>
  <si>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</si>
  <si>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</si>
  <si>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</si>
  <si>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</si>
  <si>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</si>
  <si>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</si>
  <si>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</si>
  <si>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</si>
  <si>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</si>
  <si>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</si>
  <si>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</si>
  <si>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</si>
  <si>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</si>
  <si>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</si>
  <si>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</si>
  <si>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</si>
  <si>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</si>
  <si>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</si>
  <si>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</si>
  <si>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</si>
  <si>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</si>
  <si>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</si>
  <si>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</si>
  <si>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</si>
  <si>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</si>
  <si>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</si>
  <si>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</si>
  <si>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</si>
  <si>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</si>
  <si>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</si>
  <si>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</si>
  <si>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</si>
  <si>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</si>
  <si>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</si>
  <si>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</si>
  <si>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</si>
  <si>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</si>
  <si>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</si>
  <si>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</si>
  <si>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</si>
  <si>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</si>
  <si>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</si>
  <si>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</si>
  <si>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</si>
  <si>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</si>
  <si>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</si>
  <si>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</si>
  <si>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</si>
  <si>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</si>
  <si>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</si>
  <si>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</si>
  <si>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</si>
  <si>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</si>
  <si>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</si>
  <si>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</si>
  <si>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</si>
  <si>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</si>
  <si>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</si>
  <si>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</si>
  <si>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</si>
  <si>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</si>
  <si>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</si>
  <si>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</si>
  <si>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</si>
  <si>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</si>
  <si>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</si>
  <si>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</si>
  <si>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</si>
  <si>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</si>
  <si>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</si>
  <si>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</si>
  <si>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</si>
  <si>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</si>
  <si>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</si>
  <si>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</si>
  <si>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</si>
  <si>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</si>
  <si>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</si>
  <si>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</si>
  <si>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</si>
  <si>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</si>
  <si>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</si>
  <si>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</si>
  <si>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</si>
  <si>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</si>
  <si>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</si>
  <si>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</si>
  <si>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</si>
  <si>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</si>
  <si>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</si>
  <si>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</si>
  <si>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</si>
  <si>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</si>
  <si>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</si>
  <si>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</si>
  <si>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</si>
  <si>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</si>
  <si>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</si>
  <si>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</si>
  <si>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</si>
  <si>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</si>
  <si>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</si>
  <si>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</si>
  <si>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</si>
  <si>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</si>
  <si>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</si>
  <si>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</si>
  <si>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</si>
  <si>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</si>
  <si>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</si>
  <si>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</si>
  <si>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</si>
  <si>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</si>
  <si>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</si>
  <si>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</si>
  <si>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</si>
  <si>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</si>
  <si>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</si>
  <si>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</si>
  <si>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</si>
  <si>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</si>
  <si>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</si>
  <si>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</si>
  <si>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</si>
  <si>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</si>
  <si>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</si>
  <si>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</si>
  <si>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</si>
  <si>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</si>
  <si>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</si>
  <si>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</si>
  <si>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</si>
  <si>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</si>
  <si>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</si>
  <si>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</si>
  <si>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</si>
  <si>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</si>
  <si>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</si>
  <si>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</si>
  <si>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</si>
  <si>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</si>
  <si>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</si>
  <si>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</si>
  <si>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</si>
  <si>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</si>
  <si>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</si>
  <si>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</si>
  <si>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</si>
  <si>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</si>
  <si>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</si>
  <si>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</si>
  <si>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</si>
  <si>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</si>
  <si>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</si>
  <si>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</si>
  <si>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</si>
  <si>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</si>
  <si>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</si>
  <si>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</si>
  <si>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</si>
  <si>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</si>
  <si>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</si>
  <si>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</si>
  <si>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</si>
  <si>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</si>
  <si>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</si>
  <si>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</si>
  <si>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</si>
  <si>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</si>
  <si>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</si>
  <si>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</si>
  <si>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</si>
  <si>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</si>
  <si>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</si>
  <si>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</si>
  <si>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</si>
  <si>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</si>
  <si>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</si>
  <si>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</si>
  <si>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</si>
  <si>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</si>
  <si>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</si>
  <si>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</si>
  <si>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</si>
  <si>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</si>
  <si>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</si>
  <si>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</si>
  <si>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</si>
  <si>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</si>
  <si>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</si>
  <si>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</si>
  <si>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</si>
  <si>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</si>
  <si>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</si>
  <si>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</si>
  <si>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</si>
  <si>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</si>
  <si>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</si>
  <si>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</si>
  <si>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</si>
  <si>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</si>
  <si>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</si>
  <si>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</si>
  <si>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</si>
  <si>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</si>
  <si>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</si>
  <si>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</si>
  <si>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</si>
  <si>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</si>
  <si>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</si>
  <si>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</si>
  <si>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</si>
  <si>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</si>
  <si>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</si>
  <si>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</si>
  <si>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</si>
  <si>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</si>
  <si>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</si>
  <si>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</si>
  <si>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</si>
  <si>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</si>
  <si>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</si>
  <si>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</si>
  <si>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</si>
  <si>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</si>
  <si>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</si>
  <si>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</si>
  <si>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</si>
  <si>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</si>
  <si>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</si>
  <si>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</si>
  <si>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</si>
  <si>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</si>
  <si>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</si>
  <si>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</si>
  <si>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</si>
  <si>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</si>
  <si>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</si>
  <si>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</si>
  <si>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</si>
  <si>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</si>
  <si>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</si>
  <si>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</si>
  <si>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</si>
  <si>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</si>
  <si>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</si>
  <si>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</si>
  <si>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</si>
  <si>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</si>
  <si>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</si>
  <si>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</si>
  <si>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</si>
  <si>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</si>
  <si>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</si>
  <si>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</si>
  <si>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</si>
  <si>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</si>
  <si>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</si>
  <si>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</si>
  <si>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</si>
  <si>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</si>
  <si>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</si>
  <si>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</si>
  <si>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</si>
  <si>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</si>
  <si>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</si>
  <si>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</si>
  <si>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</si>
  <si>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</si>
  <si>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</si>
  <si>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</si>
  <si>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</si>
  <si>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</si>
  <si>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</si>
  <si>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</si>
  <si>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</si>
  <si>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</si>
  <si>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</si>
  <si>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</si>
  <si>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</si>
  <si>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</si>
  <si>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</si>
  <si>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</si>
  <si>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</si>
  <si>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</si>
  <si>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</si>
  <si>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</si>
  <si>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</si>
  <si>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</si>
  <si>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</si>
  <si>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</si>
  <si>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</si>
  <si>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</si>
  <si>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</si>
  <si>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</si>
  <si>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</si>
  <si>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</si>
  <si>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</si>
  <si>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</si>
  <si>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</si>
  <si>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</si>
  <si>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</si>
  <si>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</si>
  <si>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</si>
  <si>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</si>
  <si>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</si>
  <si>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</si>
  <si>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</si>
  <si>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</si>
  <si>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</si>
  <si>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</si>
  <si>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</si>
  <si>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</si>
  <si>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</si>
  <si>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</si>
  <si>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</si>
  <si>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</si>
  <si>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</si>
  <si>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</si>
  <si>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</si>
  <si>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</si>
  <si>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</si>
  <si>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</si>
  <si>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</si>
  <si>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</si>
  <si>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</si>
  <si>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</si>
  <si>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</si>
  <si>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</si>
  <si>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</si>
  <si>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</si>
  <si>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</si>
  <si>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</si>
  <si>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</si>
  <si>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</si>
  <si>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</si>
  <si>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</si>
  <si>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</si>
  <si>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</si>
  <si>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</si>
  <si>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</si>
  <si>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</si>
  <si>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</si>
  <si>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</si>
  <si>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</si>
  <si>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</si>
  <si>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</si>
  <si>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</si>
  <si>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</si>
  <si>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</si>
  <si>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</si>
  <si>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</si>
  <si>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</si>
  <si>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</si>
  <si>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</si>
  <si>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</si>
  <si>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</si>
  <si>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</si>
  <si>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</si>
  <si>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</si>
  <si>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</si>
  <si>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</si>
  <si>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</si>
  <si>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</si>
  <si>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</si>
  <si>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</si>
  <si>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</si>
  <si>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</si>
  <si>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</si>
  <si>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</si>
  <si>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</si>
  <si>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</si>
  <si>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</si>
  <si>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</si>
  <si>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</si>
  <si>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</si>
  <si>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</si>
  <si>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</si>
  <si>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</si>
  <si>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</si>
  <si>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</si>
  <si>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</si>
  <si>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</si>
  <si>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</si>
  <si>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</si>
  <si>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</si>
  <si>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</si>
  <si>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</si>
  <si>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</si>
  <si>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</si>
  <si>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</si>
  <si>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</si>
  <si>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</si>
  <si>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</si>
  <si>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</si>
  <si>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</si>
  <si>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</si>
  <si>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</si>
  <si>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</si>
  <si>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</si>
  <si>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</si>
  <si>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</si>
  <si>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</si>
  <si>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</si>
  <si>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</si>
  <si>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</si>
  <si>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</si>
  <si>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</si>
  <si>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</si>
  <si>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</si>
  <si>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</si>
  <si>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</si>
  <si>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</si>
  <si>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</si>
  <si>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</si>
  <si>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</si>
  <si>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</si>
  <si>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</si>
  <si>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</si>
  <si>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</si>
  <si>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</si>
  <si>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</si>
  <si>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</si>
  <si>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</si>
  <si>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</si>
  <si>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</si>
  <si>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</si>
  <si>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</si>
  <si>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</si>
  <si>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</si>
  <si>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</si>
  <si>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</si>
  <si>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</si>
  <si>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</si>
  <si>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</si>
  <si>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</si>
  <si>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</si>
  <si>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</si>
  <si>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</si>
  <si>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</si>
  <si>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</si>
  <si>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</si>
  <si>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</si>
  <si>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</si>
  <si>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</si>
  <si>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</si>
  <si>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</si>
  <si>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</si>
  <si>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</si>
  <si>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</si>
  <si>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</si>
  <si>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</si>
  <si>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</si>
  <si>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</si>
  <si>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</si>
  <si>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</si>
  <si>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</si>
  <si>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</si>
  <si>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</si>
  <si>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</si>
  <si>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</si>
  <si>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</si>
  <si>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</si>
  <si>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</si>
  <si>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</si>
  <si>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</si>
  <si>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</si>
  <si>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</si>
  <si>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</si>
  <si>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</si>
  <si>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</si>
  <si>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</si>
  <si>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</si>
  <si>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</si>
  <si>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</si>
  <si>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</si>
  <si>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</si>
  <si>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</si>
  <si>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</si>
  <si>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</si>
  <si>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</si>
  <si>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</si>
  <si>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</si>
  <si>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</si>
  <si>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</si>
  <si>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</si>
  <si>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</si>
  <si>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</si>
  <si>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</si>
  <si>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</si>
  <si>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</si>
  <si>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</si>
  <si>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</si>
  <si>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</si>
  <si>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</si>
  <si>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</si>
  <si>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</si>
  <si>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</si>
  <si>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</si>
  <si>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</si>
  <si>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</si>
  <si>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</si>
  <si>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</si>
  <si>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</si>
  <si>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</si>
  <si>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</si>
  <si>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</si>
  <si>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</si>
  <si>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</si>
  <si>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</si>
  <si>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</si>
  <si>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</si>
  <si>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</si>
  <si>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</si>
  <si>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</si>
  <si>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</si>
  <si>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</si>
  <si>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</si>
  <si>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</si>
  <si>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</si>
  <si>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</si>
  <si>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</si>
  <si>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</si>
  <si>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</si>
  <si>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</si>
  <si>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</si>
  <si>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</si>
  <si>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</si>
  <si>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</si>
  <si>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</si>
  <si>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</si>
  <si>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</si>
  <si>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</si>
  <si>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</si>
  <si>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</si>
  <si>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</si>
  <si>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</si>
  <si>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</si>
  <si>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</si>
  <si>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</si>
  <si>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</si>
  <si>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</si>
  <si>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</si>
  <si>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</si>
  <si>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</si>
  <si>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</si>
  <si>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</si>
  <si>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</si>
  <si>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</si>
  <si>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</si>
  <si>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</si>
  <si>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</si>
  <si>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</si>
  <si>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</si>
  <si>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</si>
  <si>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</si>
  <si>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</si>
  <si>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</si>
  <si>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</si>
  <si>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</si>
  <si>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</si>
  <si>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</si>
  <si>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</si>
  <si>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</si>
  <si>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</si>
  <si>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</si>
  <si>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</si>
  <si>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</si>
  <si>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</si>
  <si>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</si>
  <si>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</si>
  <si>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</si>
  <si>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</si>
  <si>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</si>
  <si>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</si>
  <si>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</si>
  <si>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</si>
  <si>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</si>
  <si>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</si>
  <si>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</si>
  <si>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</si>
  <si>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</si>
  <si>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</si>
  <si>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</si>
  <si>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</si>
  <si>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</si>
  <si>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</si>
  <si>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</si>
  <si>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</si>
  <si>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</si>
  <si>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</si>
  <si>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</si>
  <si>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</si>
  <si>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</si>
  <si>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</si>
  <si>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</si>
  <si>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</si>
  <si>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</si>
  <si>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</si>
  <si>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</si>
  <si>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</si>
  <si>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</si>
  <si>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</si>
  <si>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</si>
  <si>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</si>
  <si>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</si>
  <si>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</si>
  <si>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</si>
  <si>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</si>
  <si>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</si>
  <si>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</si>
  <si>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</si>
  <si>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</si>
  <si>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</si>
  <si>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</si>
  <si>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</si>
  <si>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</si>
  <si>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</si>
  <si>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</si>
  <si>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</si>
  <si>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</si>
  <si>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</si>
  <si>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</si>
  <si>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</si>
  <si>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</si>
  <si>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</si>
  <si>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</si>
  <si>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</si>
  <si>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</si>
  <si>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</si>
  <si>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</si>
  <si>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</si>
  <si>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</si>
  <si>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</si>
  <si>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</si>
  <si>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</si>
  <si>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</si>
  <si>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</si>
  <si>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</si>
  <si>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</si>
  <si>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</si>
  <si>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</si>
  <si>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</si>
  <si>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</si>
  <si>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</si>
  <si>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</si>
  <si>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</si>
  <si>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</si>
  <si>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</si>
  <si>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</si>
  <si>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</si>
  <si>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</si>
  <si>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</si>
  <si>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</si>
  <si>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</si>
  <si>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</si>
  <si>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</si>
  <si>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</si>
  <si>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</si>
  <si>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</si>
  <si>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</si>
  <si>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</si>
  <si>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</si>
  <si>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</si>
  <si>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</si>
  <si>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</si>
  <si>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</si>
  <si>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</si>
  <si>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</si>
  <si>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</si>
  <si>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</si>
  <si>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</si>
  <si>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</si>
  <si>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</si>
  <si>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</si>
  <si>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</si>
  <si>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</si>
  <si>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</si>
  <si>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</si>
  <si>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</si>
  <si>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</si>
  <si>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</si>
  <si>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</si>
  <si>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</si>
  <si>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</si>
  <si>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</si>
  <si>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</si>
  <si>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</si>
  <si>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</si>
  <si>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</si>
  <si>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</si>
  <si>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</si>
  <si>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</si>
  <si>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</si>
  <si>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</si>
  <si>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</si>
  <si>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</si>
  <si>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</si>
  <si>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</si>
  <si>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</si>
  <si>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</si>
  <si>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</si>
  <si>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</si>
  <si>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</si>
  <si>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</si>
  <si>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</si>
  <si>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</si>
  <si>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</si>
  <si>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</si>
  <si>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</si>
  <si>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</si>
  <si>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</si>
  <si>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</si>
  <si>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</si>
  <si>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</si>
  <si>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</si>
  <si>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</si>
  <si>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</si>
  <si>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</si>
  <si>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</si>
  <si>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</si>
  <si>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</si>
  <si>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</si>
  <si>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</si>
  <si>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</si>
  <si>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</si>
  <si>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</si>
  <si>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</si>
  <si>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</si>
  <si>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</si>
  <si>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</si>
  <si>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</si>
  <si>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</si>
  <si>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</si>
  <si>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</si>
  <si>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</si>
  <si>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</si>
  <si>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</si>
  <si>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</si>
  <si>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</si>
  <si>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</si>
  <si>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</si>
  <si>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</si>
  <si>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</si>
  <si>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</si>
  <si>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</si>
  <si>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</si>
  <si>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</si>
  <si>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</si>
  <si>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</si>
  <si>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</si>
  <si>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</si>
  <si>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</si>
  <si>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</si>
  <si>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</si>
  <si>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</si>
  <si>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</si>
  <si>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</si>
  <si>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</si>
  <si>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</si>
  <si>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</si>
  <si>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</si>
  <si>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</si>
  <si>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</si>
  <si>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</si>
  <si>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</si>
  <si>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</si>
  <si>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</si>
  <si>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</si>
  <si>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</si>
  <si>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</si>
  <si>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</si>
  <si>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</si>
  <si>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</si>
  <si>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</si>
  <si>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</si>
  <si>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</si>
  <si>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</si>
  <si>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</si>
  <si>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</si>
  <si>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</si>
  <si>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</si>
  <si>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</si>
  <si>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</si>
  <si>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</si>
  <si>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</si>
  <si>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</si>
  <si>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</si>
  <si>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</si>
  <si>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</si>
  <si>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</si>
  <si>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</si>
  <si>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</si>
  <si>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</si>
  <si>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</si>
  <si>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</si>
  <si>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</si>
  <si>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</si>
  <si>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</si>
  <si>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</si>
  <si>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</si>
  <si>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</si>
  <si>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</si>
  <si>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</si>
  <si>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</si>
  <si>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</si>
  <si>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</si>
  <si>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</si>
  <si>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</si>
  <si>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</si>
  <si>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</si>
  <si>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</si>
  <si>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</si>
  <si>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</si>
  <si>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</si>
  <si>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</si>
  <si>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</si>
  <si>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</si>
  <si>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</si>
  <si>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</si>
  <si>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</si>
  <si>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</si>
  <si>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</si>
  <si>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</si>
  <si>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</si>
  <si>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</si>
  <si>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</si>
  <si>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</si>
  <si>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</si>
  <si>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</si>
  <si>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</si>
  <si>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</si>
  <si>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</si>
  <si>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</si>
  <si>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</si>
  <si>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</si>
  <si>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</si>
  <si>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</si>
  <si>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</si>
  <si>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</si>
  <si>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</si>
  <si>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</si>
  <si>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</si>
  <si>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</si>
  <si>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</si>
  <si>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</si>
  <si>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</si>
  <si>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</si>
  <si>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</si>
  <si>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</si>
  <si>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</si>
  <si>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</si>
  <si>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</si>
  <si>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</si>
  <si>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</si>
  <si>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</si>
  <si>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</si>
  <si>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</si>
  <si>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</si>
  <si>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</si>
  <si>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</si>
  <si>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</si>
  <si>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</si>
  <si>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</si>
  <si>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</si>
  <si>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</si>
  <si>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</si>
  <si>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</si>
  <si>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</si>
  <si>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</si>
  <si>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</si>
  <si>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</si>
  <si>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</si>
  <si>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</si>
  <si>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</si>
  <si>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</si>
  <si>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</si>
  <si>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</si>
  <si>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</si>
  <si>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</si>
  <si>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</si>
  <si>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</si>
  <si>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</si>
  <si>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</si>
  <si>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</si>
  <si>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</si>
  <si>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</si>
  <si>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</si>
  <si>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</si>
  <si>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</si>
  <si>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</si>
  <si>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</si>
  <si>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</si>
  <si>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</si>
  <si>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</si>
  <si>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</si>
  <si>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</si>
  <si>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</si>
  <si>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</si>
  <si>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</si>
  <si>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</si>
  <si>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</si>
  <si>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</si>
  <si>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</si>
  <si>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</si>
  <si>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</si>
  <si>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</si>
  <si>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</si>
  <si>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</si>
  <si>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</si>
  <si>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</si>
  <si>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</si>
  <si>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</si>
  <si>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</si>
  <si>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</si>
  <si>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</si>
  <si>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</si>
  <si>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</si>
  <si>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</si>
  <si>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</si>
  <si>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</si>
  <si>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</si>
  <si>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</si>
  <si>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</si>
  <si>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</si>
  <si>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</si>
  <si>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</si>
  <si>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</si>
  <si>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</si>
  <si>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</si>
  <si>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</si>
  <si>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</si>
  <si>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</si>
  <si>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</si>
  <si>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</si>
  <si>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</si>
  <si>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</si>
  <si>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</si>
  <si>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</si>
  <si>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</si>
  <si>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</si>
  <si>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</si>
  <si>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</si>
  <si>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</si>
  <si>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</si>
  <si>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</si>
  <si>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</si>
  <si>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</si>
  <si>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</si>
  <si>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</si>
  <si>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</si>
  <si>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</si>
  <si>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</si>
  <si>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</si>
  <si>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</si>
  <si>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</si>
  <si>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</si>
  <si>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</si>
  <si>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</si>
  <si>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</si>
  <si>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</si>
  <si>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</si>
  <si>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</si>
  <si>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</si>
  <si>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</si>
  <si>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</si>
  <si>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</si>
  <si>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</si>
  <si>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</si>
  <si>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</si>
  <si>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</si>
  <si>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</si>
  <si>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</si>
  <si>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</si>
  <si>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</si>
  <si>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</si>
  <si>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</si>
  <si>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</si>
  <si>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</si>
  <si>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</si>
  <si>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</si>
  <si>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</si>
  <si>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</si>
  <si>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</si>
  <si>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</si>
  <si>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</si>
  <si>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</si>
  <si>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</si>
  <si>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</si>
  <si>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</si>
  <si>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</si>
  <si>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</si>
  <si>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</si>
  <si>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</si>
  <si>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</si>
  <si>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</si>
  <si>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</si>
  <si>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</si>
  <si>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</si>
  <si>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</si>
  <si>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</si>
  <si>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</si>
  <si>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</si>
  <si>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</si>
  <si>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</si>
  <si>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</si>
  <si>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</si>
  <si>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</si>
  <si>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</si>
  <si>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</si>
  <si>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</si>
  <si>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</si>
  <si>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</si>
  <si>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</si>
  <si>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</si>
  <si>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</si>
  <si>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</si>
  <si>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</si>
  <si>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</si>
  <si>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</si>
  <si>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</si>
  <si>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</si>
  <si>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</si>
  <si>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</si>
  <si>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</si>
  <si>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</si>
  <si>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</si>
  <si>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</si>
  <si>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</si>
  <si>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</si>
  <si>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</si>
  <si>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</si>
  <si>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</si>
  <si>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</si>
  <si>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</si>
  <si>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</si>
  <si>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</si>
  <si>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</si>
  <si>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</si>
  <si>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</si>
  <si>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</si>
  <si>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</si>
  <si>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</si>
  <si>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</si>
  <si>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</si>
  <si>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</si>
  <si>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</si>
  <si>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</si>
  <si>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</si>
  <si>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</si>
  <si>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</si>
  <si>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</si>
  <si>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</si>
  <si>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</si>
  <si>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</si>
  <si>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</si>
  <si>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</si>
  <si>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</si>
  <si>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</si>
  <si>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</si>
  <si>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</si>
  <si>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</si>
  <si>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</si>
  <si>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</si>
  <si>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</si>
  <si>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</si>
  <si>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</si>
  <si>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</si>
  <si>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</si>
  <si>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</si>
  <si>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</si>
  <si>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</si>
  <si>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</si>
  <si>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</si>
  <si>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</si>
  <si>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</si>
  <si>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</si>
  <si>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</si>
  <si>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</si>
  <si>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</si>
  <si>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</si>
  <si>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</si>
  <si>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</si>
  <si>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</si>
  <si>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</si>
  <si>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</si>
  <si>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</si>
  <si>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</si>
  <si>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</si>
  <si>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</si>
  <si>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</si>
  <si>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</si>
  <si>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</si>
  <si>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</si>
  <si>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</si>
  <si>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</si>
  <si>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</si>
  <si>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</si>
  <si>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</si>
  <si>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</si>
  <si>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</si>
  <si>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</si>
  <si>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</si>
  <si>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</si>
  <si>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</si>
  <si>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</si>
  <si>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</si>
  <si>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</si>
  <si>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</si>
  <si>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</si>
  <si>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</si>
  <si>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</si>
  <si>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</si>
  <si>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</si>
  <si>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</si>
  <si>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</si>
  <si>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</si>
  <si>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</si>
  <si>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</si>
  <si>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</si>
  <si>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</si>
  <si>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</si>
  <si>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</si>
  <si>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</si>
  <si>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</si>
  <si>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</si>
  <si>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</si>
  <si>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</si>
  <si>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</si>
  <si>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</si>
  <si>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</si>
  <si>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</si>
  <si>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</si>
  <si>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</si>
  <si>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</si>
  <si>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</si>
  <si>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</si>
  <si>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</si>
  <si>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</si>
  <si>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</si>
  <si>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</si>
  <si>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</si>
  <si>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</si>
  <si>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</si>
  <si>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</si>
  <si>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</si>
  <si>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</si>
  <si>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</si>
  <si>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</si>
  <si>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</si>
  <si>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</si>
  <si>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</si>
  <si>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</si>
  <si>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</si>
  <si>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</si>
  <si>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</si>
  <si>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</si>
  <si>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</si>
  <si>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</si>
  <si>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</si>
  <si>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</si>
  <si>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</si>
  <si>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</si>
  <si>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</si>
  <si>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</si>
  <si>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</si>
  <si>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</si>
  <si>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</si>
  <si>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</si>
  <si>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</si>
  <si>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</si>
  <si>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</si>
  <si>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</si>
  <si>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</si>
  <si>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</si>
  <si>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</si>
  <si>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</si>
  <si>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</si>
  <si>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</si>
  <si>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</si>
  <si>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</si>
  <si>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</si>
  <si>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</si>
  <si>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</si>
  <si>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</si>
  <si>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</si>
  <si>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</si>
  <si>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</si>
  <si>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</si>
  <si>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</si>
  <si>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</si>
  <si>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</si>
  <si>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</si>
  <si>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</si>
  <si>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</si>
  <si>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</si>
  <si>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</si>
  <si>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</si>
  <si>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</si>
  <si>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</si>
  <si>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</si>
  <si>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</si>
  <si>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</si>
  <si>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</si>
  <si>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</si>
  <si>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</si>
  <si>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</si>
  <si>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</si>
  <si>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</si>
  <si>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</si>
  <si>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</si>
  <si>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</si>
  <si>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</si>
  <si>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</si>
  <si>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</si>
  <si>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</si>
  <si>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</si>
  <si>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</si>
  <si>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</si>
  <si>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</si>
  <si>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</si>
  <si>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</si>
  <si>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</si>
  <si>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</si>
  <si>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</si>
  <si>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</si>
  <si>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</si>
  <si>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</si>
  <si>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</si>
  <si>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</si>
  <si>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</si>
  <si>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</si>
  <si>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</si>
  <si>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</si>
  <si>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</si>
  <si>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</si>
  <si>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</si>
  <si>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</si>
  <si>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</si>
  <si>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</si>
  <si>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</si>
  <si>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</si>
  <si>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</si>
  <si>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</si>
  <si>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</si>
  <si>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</si>
  <si>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</si>
  <si>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</si>
  <si>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</si>
  <si>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</si>
  <si>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</si>
  <si>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</si>
  <si>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</si>
  <si>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</si>
  <si>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</si>
  <si>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</si>
  <si>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</si>
  <si>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</si>
  <si>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</si>
  <si>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</si>
  <si>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</si>
  <si>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</si>
  <si>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</si>
  <si>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</si>
  <si>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</si>
  <si>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</si>
  <si>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</si>
  <si>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</si>
  <si>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</si>
  <si>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</si>
  <si>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</si>
  <si>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</si>
  <si>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</si>
  <si>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</si>
  <si>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</si>
  <si>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</si>
  <si>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</si>
  <si>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</si>
  <si>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</si>
  <si>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</si>
  <si>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</si>
  <si>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</si>
  <si>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</si>
  <si>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</si>
  <si>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</si>
  <si>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</si>
  <si>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</si>
  <si>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</si>
  <si>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</si>
  <si>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</si>
  <si>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</si>
  <si>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</si>
  <si>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</si>
  <si>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</si>
  <si>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</si>
  <si>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</si>
  <si>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</si>
  <si>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</si>
  <si>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</si>
  <si>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</si>
  <si>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</si>
  <si>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</si>
  <si>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</si>
  <si>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</si>
  <si>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</si>
  <si>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</si>
  <si>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</si>
  <si>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</si>
  <si>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</si>
  <si>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</si>
  <si>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</si>
  <si>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</si>
  <si>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</si>
  <si>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</si>
  <si>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</si>
  <si>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</si>
  <si>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</si>
  <si>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</si>
  <si>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</si>
  <si>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</si>
  <si>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</si>
  <si>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</si>
  <si>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</si>
  <si>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</si>
  <si>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</si>
  <si>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</si>
  <si>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</si>
  <si>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</si>
  <si>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</si>
  <si>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</si>
  <si>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</si>
  <si>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</si>
  <si>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</si>
  <si>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</si>
  <si>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</si>
  <si>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</si>
  <si>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</si>
  <si>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</si>
  <si>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</si>
  <si>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</si>
  <si>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</si>
  <si>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</si>
  <si>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</si>
  <si>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</si>
  <si>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</si>
  <si>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</si>
  <si>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</si>
  <si>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</si>
  <si>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</si>
  <si>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</si>
  <si>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</si>
  <si>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</si>
  <si>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</si>
  <si>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</si>
  <si>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</si>
  <si>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</si>
  <si>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</si>
  <si>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</si>
  <si>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</si>
  <si>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</si>
  <si>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</si>
  <si>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</si>
  <si>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</si>
  <si>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</si>
  <si>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</si>
  <si>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</si>
  <si>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</si>
  <si>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</si>
  <si>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</si>
  <si>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</si>
  <si>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</si>
  <si>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</si>
  <si>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</si>
  <si>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</si>
  <si>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</si>
  <si>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</si>
  <si>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</si>
  <si>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</si>
  <si>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</si>
  <si>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</si>
  <si>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</si>
  <si>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</si>
  <si>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</si>
  <si>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</si>
  <si>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</si>
  <si>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</si>
  <si>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</si>
  <si>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</si>
  <si>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</si>
  <si>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</si>
  <si>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</si>
  <si>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</si>
  <si>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</si>
  <si>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</si>
  <si>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</si>
  <si>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</si>
  <si>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</si>
  <si>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</si>
  <si>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</si>
  <si>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</si>
  <si>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</si>
  <si>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</si>
  <si>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</si>
  <si>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</si>
  <si>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</si>
  <si>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</si>
  <si>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</si>
  <si>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</si>
  <si>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</si>
  <si>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</si>
  <si>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</si>
  <si>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</si>
  <si>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</si>
  <si>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</si>
  <si>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</si>
  <si>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</si>
  <si>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</si>
  <si>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</si>
  <si>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</si>
  <si>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</si>
  <si>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</si>
  <si>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</si>
  <si>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</si>
  <si>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</si>
  <si>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</si>
  <si>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</si>
  <si>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</si>
  <si>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</si>
  <si>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</si>
  <si>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</si>
  <si>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</si>
  <si>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</si>
  <si>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</si>
  <si>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</si>
  <si>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</si>
  <si>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</si>
  <si>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</si>
  <si>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</si>
  <si>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</si>
  <si>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</si>
  <si>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Woodford</t>
  </si>
  <si>
    <t>101 W. Madison St</t>
  </si>
  <si>
    <t>Metamora</t>
  </si>
  <si>
    <t>solaughl@mths.us</t>
  </si>
  <si>
    <t>Sean O'Laughlin</t>
  </si>
  <si>
    <t>309-367-4151</t>
  </si>
  <si>
    <t>309-367-4351</t>
  </si>
  <si>
    <t>Thomas R. Peffer, CPA</t>
  </si>
  <si>
    <t>tpeffer@gorenzcpa.com</t>
  </si>
  <si>
    <t>There were no audit findings for the fiscal year ended June 30, 2019</t>
  </si>
  <si>
    <t>None</t>
  </si>
  <si>
    <t>x</t>
  </si>
  <si>
    <t>G.O Bonds, Series 2018</t>
  </si>
  <si>
    <t>RK Dixon</t>
  </si>
  <si>
    <t>Health-Consociate Dansig</t>
  </si>
  <si>
    <t>Mid-America - ProLiance</t>
  </si>
  <si>
    <t>Peoria County Purchasing Cooperative</t>
  </si>
  <si>
    <t>Unland Agency</t>
  </si>
  <si>
    <t>Illinois Institutional Investor's Trust</t>
  </si>
  <si>
    <t>Miller, Hall &amp; Triggs</t>
  </si>
  <si>
    <t>Bug Services - Liberty Pest Control</t>
  </si>
  <si>
    <t>Woodford Country Special Education Association</t>
  </si>
  <si>
    <t>Central Illinois Vocational Education Cooperative</t>
  </si>
  <si>
    <t>Page 10, Line 74 - Vending Machines &amp; Concession Revenue</t>
  </si>
  <si>
    <t>Page 10, Line 81 - Auto &amp; Welding Reimbursements</t>
  </si>
  <si>
    <t>Page 10, Line 92 - Textbook Revenue</t>
  </si>
  <si>
    <t>Page 18, Line 171 - Bond Fees</t>
  </si>
  <si>
    <t>Page 11, Cell D107 - Ameren reimbursements</t>
  </si>
  <si>
    <t>Page 11, Cell C107 - CIVEC reimbursements</t>
  </si>
  <si>
    <t>Page 15, Cell C41 - Student resource officer</t>
  </si>
  <si>
    <t>Page 11, Cell F107 - Secretary of State refund</t>
  </si>
  <si>
    <t>Educational-Operations &amp; Maintenance-Purchase Services</t>
  </si>
  <si>
    <t>Page 15, Cell F41 - Nurse expenditures</t>
  </si>
  <si>
    <t>Page 16, Line 56 - School Planners</t>
  </si>
  <si>
    <t>See PDF version</t>
  </si>
  <si>
    <t xml:space="preserve">  County of Woodford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</si>
</sst>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53102122017</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2060</v>
      </c>
      <c r="B15" s="2089"/>
      <c r="C15" s="2089"/>
      <c r="D15" s="2089"/>
      <c r="E15" s="2089"/>
      <c r="F15" s="2089"/>
      <c r="G15" s="2089"/>
      <c r="H15" s="2090"/>
      <c r="T15" s="2052" t="s">
        <v>2067</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2095</v>
      </c>
      <c r="B17" s="2114"/>
      <c r="C17" s="2114"/>
      <c r="D17" s="2114"/>
      <c r="E17" s="2114"/>
      <c r="F17" s="2114"/>
      <c r="G17" s="2114"/>
      <c r="H17" s="2115"/>
      <c r="T17" s="2101" t="s">
        <v>2053</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2061</v>
      </c>
      <c r="B19" s="2085"/>
      <c r="C19" s="2085"/>
      <c r="D19" s="2085"/>
      <c r="E19" s="2085"/>
      <c r="F19" s="2085"/>
      <c r="G19" s="2085"/>
      <c r="H19" s="2083"/>
      <c r="I19" s="30"/>
      <c r="J19" s="96"/>
      <c r="K19" s="40"/>
      <c r="L19" s="38"/>
      <c r="M19" s="109" t="s">
        <v>312</v>
      </c>
      <c r="P19" s="27"/>
      <c r="Q19" s="27"/>
      <c r="R19" s="27"/>
      <c r="S19" s="31"/>
      <c r="T19" s="2084" t="s">
        <v>2054</v>
      </c>
      <c r="U19" s="2082"/>
      <c r="V19" s="2082"/>
      <c r="W19" s="2083"/>
      <c r="X19" s="2099" t="s">
        <v>2055</v>
      </c>
      <c r="Y19" s="2100"/>
      <c r="Z19" s="2097">
        <v>61614</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2062</v>
      </c>
      <c r="B21" s="2082"/>
      <c r="C21" s="2082"/>
      <c r="D21" s="2082"/>
      <c r="E21" s="2082"/>
      <c r="F21" s="2082"/>
      <c r="G21" s="2082"/>
      <c r="H21" s="2083"/>
      <c r="I21" s="2107" t="s">
        <v>673</v>
      </c>
      <c r="J21" s="2070"/>
      <c r="K21" s="2070"/>
      <c r="L21" s="2070"/>
      <c r="M21" s="2070"/>
      <c r="N21" s="2070"/>
      <c r="O21" s="2070"/>
      <c r="P21" s="2070"/>
      <c r="Q21" s="2070"/>
      <c r="R21" s="2070"/>
      <c r="S21" s="2071"/>
      <c r="T21" s="2049" t="s">
        <v>2056</v>
      </c>
      <c r="U21" s="2050"/>
      <c r="V21" s="2050"/>
      <c r="W21" s="2050"/>
      <c r="X21" s="2063" t="s">
        <v>2057</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2063</v>
      </c>
      <c r="B23" s="2105"/>
      <c r="C23" s="2105"/>
      <c r="D23" s="2105"/>
      <c r="E23" s="2105"/>
      <c r="F23" s="2105"/>
      <c r="G23" s="2105"/>
      <c r="H23" s="2106"/>
      <c r="T23" s="2044" t="s">
        <v>2058</v>
      </c>
      <c r="U23" s="2045"/>
      <c r="V23" s="2045"/>
      <c r="W23" s="2045"/>
      <c r="X23" s="2060">
        <v>44501</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61548</v>
      </c>
      <c r="B25" s="2082"/>
      <c r="C25" s="2082"/>
      <c r="D25" s="2082"/>
      <c r="E25" s="2082"/>
      <c r="F25" s="2082"/>
      <c r="G25" s="2082"/>
      <c r="H25" s="2083"/>
      <c r="I25" s="110"/>
      <c r="J25" s="2148"/>
      <c r="K25" s="2148"/>
      <c r="L25" s="2148"/>
      <c r="M25" s="2148"/>
      <c r="N25" s="2148"/>
      <c r="O25" s="2148"/>
      <c r="P25" s="2148"/>
      <c r="Q25" s="2148"/>
      <c r="R25" s="2148"/>
      <c r="S25" s="2149"/>
      <c r="T25" s="2041" t="s">
        <v>2068</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2064</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2063</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2065</v>
      </c>
      <c r="B42" s="2131"/>
      <c r="C42" s="2132"/>
      <c r="D42" s="2145" t="s">
        <v>2066</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2" right="0.2" top="0.75" bottom="0.52" header="0.19" footer="0.17"/>
  <pageSetup scale="76"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7369579</v>
      </c>
      <c r="C4" s="1722">
        <v>0</v>
      </c>
      <c r="D4" s="1723">
        <f>B4-C4</f>
        <v>7369579</v>
      </c>
      <c r="E4" s="1722">
        <v>7278205</v>
      </c>
      <c r="F4" s="1723">
        <f>E4-C4</f>
        <v>7278205</v>
      </c>
    </row>
    <row r="5" spans="1:8" ht="13.7" customHeight="1" x14ac:dyDescent="0.2">
      <c r="A5" s="579" t="s">
        <v>865</v>
      </c>
      <c r="B5" s="1724">
        <f>'Revenues 9-14'!D5</f>
        <v>964603</v>
      </c>
      <c r="C5" s="1664">
        <v>0</v>
      </c>
      <c r="D5" s="1725">
        <f t="shared" ref="D5:D18" si="0">B5-C5</f>
        <v>964603</v>
      </c>
      <c r="E5" s="1664">
        <v>952645</v>
      </c>
      <c r="F5" s="1725">
        <f>E5-C5</f>
        <v>952645</v>
      </c>
    </row>
    <row r="6" spans="1:8" ht="13.7" customHeight="1" x14ac:dyDescent="0.2">
      <c r="A6" s="579" t="s">
        <v>408</v>
      </c>
      <c r="B6" s="1724">
        <f>'Revenues 9-14'!E5</f>
        <v>583304</v>
      </c>
      <c r="C6" s="1664">
        <v>0</v>
      </c>
      <c r="D6" s="1725">
        <f t="shared" si="0"/>
        <v>583304</v>
      </c>
      <c r="E6" s="1664">
        <v>590259</v>
      </c>
      <c r="F6" s="1725">
        <f t="shared" ref="F6:F18" si="1">E6-C6</f>
        <v>590259</v>
      </c>
    </row>
    <row r="7" spans="1:8" ht="13.7" customHeight="1" x14ac:dyDescent="0.2">
      <c r="A7" s="579" t="s">
        <v>154</v>
      </c>
      <c r="B7" s="1724">
        <f>'Revenues 9-14'!F5</f>
        <v>463011</v>
      </c>
      <c r="C7" s="1664">
        <v>0</v>
      </c>
      <c r="D7" s="1725">
        <f t="shared" si="0"/>
        <v>463011</v>
      </c>
      <c r="E7" s="1664">
        <v>457269</v>
      </c>
      <c r="F7" s="1725">
        <f t="shared" si="1"/>
        <v>457269</v>
      </c>
    </row>
    <row r="8" spans="1:8" ht="13.7" customHeight="1" x14ac:dyDescent="0.2">
      <c r="A8" s="579" t="s">
        <v>1169</v>
      </c>
      <c r="B8" s="1724">
        <f>'Revenues 9-14'!G5</f>
        <v>110003</v>
      </c>
      <c r="C8" s="1664">
        <v>0</v>
      </c>
      <c r="D8" s="1725">
        <f t="shared" si="0"/>
        <v>110003</v>
      </c>
      <c r="E8" s="1664">
        <v>70115</v>
      </c>
      <c r="F8" s="1725">
        <f t="shared" si="1"/>
        <v>70115</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192921</v>
      </c>
      <c r="C10" s="1664">
        <v>0</v>
      </c>
      <c r="D10" s="1725">
        <f t="shared" si="0"/>
        <v>192921</v>
      </c>
      <c r="E10" s="1664">
        <v>190529</v>
      </c>
      <c r="F10" s="1725">
        <f t="shared" si="1"/>
        <v>190529</v>
      </c>
    </row>
    <row r="11" spans="1:8" x14ac:dyDescent="0.2">
      <c r="A11" s="579" t="s">
        <v>406</v>
      </c>
      <c r="B11" s="1724">
        <f>'Revenues 9-14'!J5</f>
        <v>229582</v>
      </c>
      <c r="C11" s="1664">
        <v>0</v>
      </c>
      <c r="D11" s="1725">
        <f t="shared" si="0"/>
        <v>229582</v>
      </c>
      <c r="E11" s="1664">
        <v>230540</v>
      </c>
      <c r="F11" s="1725">
        <f t="shared" si="1"/>
        <v>230540</v>
      </c>
    </row>
    <row r="12" spans="1:8" ht="13.7" customHeight="1" x14ac:dyDescent="0.2">
      <c r="A12" s="579" t="s">
        <v>156</v>
      </c>
      <c r="B12" s="1724">
        <f>'Revenues 9-14'!K5</f>
        <v>110003</v>
      </c>
      <c r="C12" s="1664">
        <v>0</v>
      </c>
      <c r="D12" s="1725">
        <f t="shared" si="0"/>
        <v>110003</v>
      </c>
      <c r="E12" s="1664">
        <v>190529</v>
      </c>
      <c r="F12" s="1725">
        <f t="shared" si="1"/>
        <v>190529</v>
      </c>
    </row>
    <row r="13" spans="1:8" ht="13.7" customHeight="1" x14ac:dyDescent="0.2">
      <c r="A13" s="579" t="s">
        <v>930</v>
      </c>
      <c r="B13" s="1724">
        <f>SUM('Revenues 9-14'!C6:D6)</f>
        <v>45894</v>
      </c>
      <c r="C13" s="1664">
        <v>0</v>
      </c>
      <c r="D13" s="1725">
        <f t="shared" si="0"/>
        <v>45894</v>
      </c>
      <c r="E13" s="1664">
        <v>47251</v>
      </c>
      <c r="F13" s="1725">
        <f t="shared" si="1"/>
        <v>47251</v>
      </c>
    </row>
    <row r="14" spans="1:8" ht="13.7" customHeight="1" x14ac:dyDescent="0.2">
      <c r="A14" s="579" t="s">
        <v>407</v>
      </c>
      <c r="B14" s="1724">
        <f>SUM('Revenues 9-14'!C7:D7,'Revenues 9-14'!F7:H7)</f>
        <v>77168</v>
      </c>
      <c r="C14" s="1664">
        <v>0</v>
      </c>
      <c r="D14" s="1725">
        <f t="shared" si="0"/>
        <v>77168</v>
      </c>
      <c r="E14" s="1664">
        <v>76212</v>
      </c>
      <c r="F14" s="1725">
        <f t="shared" si="1"/>
        <v>76212</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133920</v>
      </c>
      <c r="C16" s="1664">
        <v>0</v>
      </c>
      <c r="D16" s="1725">
        <f t="shared" si="0"/>
        <v>133920</v>
      </c>
      <c r="E16" s="1664">
        <v>90311</v>
      </c>
      <c r="F16" s="1725">
        <f t="shared" si="1"/>
        <v>90311</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10279988</v>
      </c>
      <c r="C19" s="1726">
        <f>SUM(C4:C18)</f>
        <v>0</v>
      </c>
      <c r="D19" s="1726">
        <f>SUM(D4:D18)</f>
        <v>10279988</v>
      </c>
      <c r="E19" s="1726">
        <f>SUM(E4:E18)</f>
        <v>10173865</v>
      </c>
      <c r="F19" s="1726">
        <f>SUM(F4:F18)</f>
        <v>10173865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2072</v>
      </c>
      <c r="B31" s="595">
        <v>43465</v>
      </c>
      <c r="C31" s="1734">
        <v>3995000</v>
      </c>
      <c r="D31" s="1735">
        <v>2</v>
      </c>
      <c r="E31" s="1734">
        <v>3995000</v>
      </c>
      <c r="F31" s="1734"/>
      <c r="G31" s="1734"/>
      <c r="H31" s="1734">
        <v>425000</v>
      </c>
      <c r="I31" s="1736">
        <f>((E31+F31)-H31)+G31</f>
        <v>3570000</v>
      </c>
      <c r="J31" s="1734">
        <f>I31-1013</f>
        <v>3568987</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3995000</v>
      </c>
      <c r="D49" s="1742"/>
      <c r="E49" s="1736">
        <f t="shared" ref="E49:J49" si="2">SUM(E31:E48)</f>
        <v>3995000</v>
      </c>
      <c r="F49" s="1736">
        <f t="shared" si="2"/>
        <v>0</v>
      </c>
      <c r="G49" s="1736">
        <f t="shared" si="2"/>
        <v>0</v>
      </c>
      <c r="H49" s="1736">
        <f t="shared" si="2"/>
        <v>425000</v>
      </c>
      <c r="I49" s="1736">
        <f t="shared" si="2"/>
        <v>3570000</v>
      </c>
      <c r="J49" s="1736">
        <f t="shared" si="2"/>
        <v>3568987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zoomScaleSheetLayoutView="7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v>197292</v>
      </c>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77168</v>
      </c>
      <c r="I5" s="1750"/>
      <c r="J5" s="1751"/>
      <c r="K5" s="1751"/>
    </row>
    <row r="6" spans="1:11" x14ac:dyDescent="0.2">
      <c r="A6" s="625" t="s">
        <v>715</v>
      </c>
      <c r="B6" s="626"/>
      <c r="C6" s="626"/>
      <c r="D6" s="626"/>
      <c r="E6" s="627"/>
      <c r="F6" s="628" t="s">
        <v>844</v>
      </c>
      <c r="G6" s="1744"/>
      <c r="H6" s="1744">
        <v>51</v>
      </c>
      <c r="I6" s="1744"/>
      <c r="J6" s="1745">
        <v>119</v>
      </c>
      <c r="K6" s="1745"/>
    </row>
    <row r="7" spans="1:11" x14ac:dyDescent="0.2">
      <c r="A7" s="629" t="s">
        <v>244</v>
      </c>
      <c r="B7" s="630"/>
      <c r="C7" s="630"/>
      <c r="D7" s="630"/>
      <c r="E7" s="631"/>
      <c r="F7" s="622" t="s">
        <v>845</v>
      </c>
      <c r="G7" s="1746"/>
      <c r="H7" s="1746"/>
      <c r="I7" s="1746"/>
      <c r="J7" s="1752"/>
      <c r="K7" s="1745">
        <v>25359</v>
      </c>
    </row>
    <row r="8" spans="1:11" x14ac:dyDescent="0.2">
      <c r="A8" s="629" t="s">
        <v>342</v>
      </c>
      <c r="B8" s="630"/>
      <c r="C8" s="630"/>
      <c r="D8" s="630"/>
      <c r="E8" s="631"/>
      <c r="F8" s="622" t="s">
        <v>846</v>
      </c>
      <c r="G8" s="1753"/>
      <c r="H8" s="1753"/>
      <c r="I8" s="1753"/>
      <c r="J8" s="1745">
        <v>289357</v>
      </c>
      <c r="K8" s="1748"/>
    </row>
    <row r="9" spans="1:11" x14ac:dyDescent="0.2">
      <c r="A9" s="629" t="s">
        <v>137</v>
      </c>
      <c r="B9" s="630"/>
      <c r="C9" s="630"/>
      <c r="D9" s="630"/>
      <c r="E9" s="631"/>
      <c r="F9" s="628" t="s">
        <v>848</v>
      </c>
      <c r="G9" s="1753"/>
      <c r="H9" s="1749"/>
      <c r="I9" s="1749"/>
      <c r="J9" s="1752"/>
      <c r="K9" s="1745">
        <v>30289</v>
      </c>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77219</v>
      </c>
      <c r="I12" s="1755">
        <f>SUM(I5:I11)</f>
        <v>0</v>
      </c>
      <c r="J12" s="1755">
        <f>SUM(J5:J11)</f>
        <v>289476</v>
      </c>
      <c r="K12" s="1755">
        <f>SUM(K5:K11)</f>
        <v>55648</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77219</v>
      </c>
      <c r="I14" s="1749"/>
      <c r="J14" s="1751"/>
      <c r="K14" s="1745">
        <v>55648</v>
      </c>
    </row>
    <row r="15" spans="1:11" x14ac:dyDescent="0.2">
      <c r="A15" s="2319" t="s">
        <v>4</v>
      </c>
      <c r="B15" s="2319"/>
      <c r="C15" s="2319"/>
      <c r="D15" s="2319"/>
      <c r="E15" s="2349"/>
      <c r="F15" s="635" t="s">
        <v>850</v>
      </c>
      <c r="G15" s="1749"/>
      <c r="H15" s="1744"/>
      <c r="I15" s="1744"/>
      <c r="J15" s="1745">
        <v>11595</v>
      </c>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77219</v>
      </c>
      <c r="I23" s="1755">
        <f>SUM(I14:I16,I21,I22)</f>
        <v>0</v>
      </c>
      <c r="J23" s="1755">
        <f>SUM(J14:J16,J21,J22)</f>
        <v>11595</v>
      </c>
      <c r="K23" s="1755">
        <f>SUM(K14:K16,K21,K22)</f>
        <v>55648</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475173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475173</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v>0</v>
      </c>
      <c r="E3" s="1769">
        <v>0</v>
      </c>
      <c r="F3" s="1765">
        <f>(C3+D3)-E3</f>
        <v>0</v>
      </c>
      <c r="G3" s="675"/>
      <c r="H3" s="674">
        <v>0</v>
      </c>
      <c r="I3" s="674">
        <v>0</v>
      </c>
      <c r="J3" s="674">
        <v>0</v>
      </c>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306928</v>
      </c>
      <c r="D5" s="1770">
        <v>0</v>
      </c>
      <c r="E5" s="1770">
        <v>0</v>
      </c>
      <c r="F5" s="1765">
        <f>(C5+D5)-E5</f>
        <v>306928</v>
      </c>
      <c r="G5" s="676"/>
      <c r="H5" s="680"/>
      <c r="I5" s="680"/>
      <c r="J5" s="680"/>
      <c r="K5" s="637"/>
      <c r="L5" s="1442">
        <f>F5-K5</f>
        <v>306928</v>
      </c>
    </row>
    <row r="6" spans="1:14" ht="14.25" thickTop="1" thickBot="1" x14ac:dyDescent="0.25">
      <c r="A6" s="629" t="s">
        <v>1107</v>
      </c>
      <c r="B6" s="679">
        <v>222</v>
      </c>
      <c r="C6" s="1745">
        <v>0</v>
      </c>
      <c r="D6" s="1745">
        <v>0</v>
      </c>
      <c r="E6" s="1745">
        <v>0</v>
      </c>
      <c r="F6" s="1765">
        <f>(C6+D6)-E6</f>
        <v>0</v>
      </c>
      <c r="G6" s="676">
        <v>50</v>
      </c>
      <c r="H6" s="619">
        <v>0</v>
      </c>
      <c r="I6" s="619">
        <v>0</v>
      </c>
      <c r="J6" s="619">
        <v>0</v>
      </c>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18985881</v>
      </c>
      <c r="D8" s="1771">
        <v>3483505</v>
      </c>
      <c r="E8" s="1771">
        <v>0</v>
      </c>
      <c r="F8" s="1765">
        <f>(C8+D8)-E8</f>
        <v>22469386</v>
      </c>
      <c r="G8" s="681">
        <v>50</v>
      </c>
      <c r="H8" s="619">
        <v>8950780</v>
      </c>
      <c r="I8" s="619">
        <v>432557</v>
      </c>
      <c r="J8" s="619">
        <v>0</v>
      </c>
      <c r="K8" s="1442">
        <f>(H8+I8)-J8</f>
        <v>9383337</v>
      </c>
      <c r="L8" s="1442">
        <f>F8-K8</f>
        <v>13086049</v>
      </c>
    </row>
    <row r="9" spans="1:14" ht="14.25" thickTop="1" thickBot="1" x14ac:dyDescent="0.25">
      <c r="A9" s="629" t="s">
        <v>1109</v>
      </c>
      <c r="B9" s="679">
        <v>232</v>
      </c>
      <c r="C9" s="1745">
        <v>0</v>
      </c>
      <c r="D9" s="1745">
        <v>0</v>
      </c>
      <c r="E9" s="1745">
        <v>0</v>
      </c>
      <c r="F9" s="1765">
        <f>(C9+D9)-E9</f>
        <v>0</v>
      </c>
      <c r="G9" s="681">
        <v>20</v>
      </c>
      <c r="H9" s="619">
        <v>0</v>
      </c>
      <c r="I9" s="619">
        <v>0</v>
      </c>
      <c r="J9" s="619">
        <v>0</v>
      </c>
      <c r="K9" s="1442">
        <f>(H9+I9)-J9</f>
        <v>0</v>
      </c>
      <c r="L9" s="1442">
        <f>F9-K9</f>
        <v>0</v>
      </c>
    </row>
    <row r="10" spans="1:14" ht="24" thickTop="1" thickBot="1" x14ac:dyDescent="0.25">
      <c r="A10" s="682" t="s">
        <v>1110</v>
      </c>
      <c r="B10" s="679">
        <v>240</v>
      </c>
      <c r="C10" s="1772">
        <v>2241336</v>
      </c>
      <c r="D10" s="1772">
        <v>0</v>
      </c>
      <c r="E10" s="1772">
        <v>0</v>
      </c>
      <c r="F10" s="1773">
        <f>(C10+D10)-E10</f>
        <v>2241336</v>
      </c>
      <c r="G10" s="681">
        <v>20</v>
      </c>
      <c r="H10" s="683">
        <v>1115747</v>
      </c>
      <c r="I10" s="683">
        <v>106731</v>
      </c>
      <c r="J10" s="683">
        <v>0</v>
      </c>
      <c r="K10" s="1442">
        <f>(H10+I10)-J10</f>
        <v>1222478</v>
      </c>
      <c r="L10" s="1442">
        <f>F10-K10</f>
        <v>1018858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2445258</v>
      </c>
      <c r="D12" s="1771">
        <v>221529</v>
      </c>
      <c r="E12" s="1771">
        <v>68678</v>
      </c>
      <c r="F12" s="1765">
        <f>(C12+D12)-E12</f>
        <v>2598109</v>
      </c>
      <c r="G12" s="681">
        <v>10</v>
      </c>
      <c r="H12" s="619">
        <v>1462230</v>
      </c>
      <c r="I12" s="619">
        <v>259814</v>
      </c>
      <c r="J12" s="619">
        <v>68678</v>
      </c>
      <c r="K12" s="1442">
        <f>(H12+I12)-J12</f>
        <v>1653366</v>
      </c>
      <c r="L12" s="1442">
        <f>F12-K12</f>
        <v>944743</v>
      </c>
    </row>
    <row r="13" spans="1:14" ht="14.25" thickTop="1" thickBot="1" x14ac:dyDescent="0.25">
      <c r="A13" s="684" t="s">
        <v>1112</v>
      </c>
      <c r="B13" s="679">
        <v>252</v>
      </c>
      <c r="C13" s="1771">
        <v>1253327</v>
      </c>
      <c r="D13" s="1771">
        <v>102400</v>
      </c>
      <c r="E13" s="1771">
        <v>0</v>
      </c>
      <c r="F13" s="1765">
        <f>(C13+D13)-E13</f>
        <v>1355727</v>
      </c>
      <c r="G13" s="681">
        <v>5</v>
      </c>
      <c r="H13" s="619">
        <v>998171</v>
      </c>
      <c r="I13" s="619">
        <v>107649</v>
      </c>
      <c r="J13" s="619">
        <v>0</v>
      </c>
      <c r="K13" s="1442">
        <f>(H13+I13)-J13</f>
        <v>1105820</v>
      </c>
      <c r="L13" s="1442">
        <f>F13-K13</f>
        <v>249907</v>
      </c>
    </row>
    <row r="14" spans="1:14" ht="14.25" thickTop="1" thickBot="1" x14ac:dyDescent="0.25">
      <c r="A14" s="684" t="s">
        <v>1113</v>
      </c>
      <c r="B14" s="679">
        <v>253</v>
      </c>
      <c r="C14" s="1745">
        <v>16339</v>
      </c>
      <c r="D14" s="1745">
        <v>0</v>
      </c>
      <c r="E14" s="1745">
        <v>0</v>
      </c>
      <c r="F14" s="1765">
        <f>(C14+D14)-E14</f>
        <v>16339</v>
      </c>
      <c r="G14" s="681">
        <v>3</v>
      </c>
      <c r="H14" s="619">
        <v>14777</v>
      </c>
      <c r="I14" s="619">
        <v>782</v>
      </c>
      <c r="J14" s="619">
        <v>0</v>
      </c>
      <c r="K14" s="1442">
        <f>(H14+I14)-J14</f>
        <v>15559</v>
      </c>
      <c r="L14" s="1442">
        <f>F14-K14</f>
        <v>780</v>
      </c>
    </row>
    <row r="15" spans="1:14" ht="15" customHeight="1" thickTop="1" thickBot="1" x14ac:dyDescent="0.25">
      <c r="A15" s="1366" t="s">
        <v>525</v>
      </c>
      <c r="B15" s="1365">
        <v>260</v>
      </c>
      <c r="C15" s="1771">
        <v>240608</v>
      </c>
      <c r="D15" s="1771">
        <v>227659</v>
      </c>
      <c r="E15" s="1771">
        <v>240608</v>
      </c>
      <c r="F15" s="1765">
        <f>(C15+D15)-E15</f>
        <v>227659</v>
      </c>
      <c r="G15" s="685" t="s">
        <v>857</v>
      </c>
      <c r="H15" s="632"/>
      <c r="I15" s="632"/>
      <c r="J15" s="632"/>
      <c r="K15" s="632"/>
      <c r="L15" s="1442">
        <f>F15-K15</f>
        <v>227659</v>
      </c>
    </row>
    <row r="16" spans="1:14" ht="15" customHeight="1" thickTop="1" thickBot="1" x14ac:dyDescent="0.25">
      <c r="A16" s="1438" t="s">
        <v>638</v>
      </c>
      <c r="B16" s="1439">
        <v>200</v>
      </c>
      <c r="C16" s="1765">
        <f>SUM(C3,C5:C6,C8:C10,C12:C15)</f>
        <v>25489677</v>
      </c>
      <c r="D16" s="1765">
        <f>SUM(D3,D5:D6,D8:D10,D12:D15)</f>
        <v>4035093</v>
      </c>
      <c r="E16" s="1765">
        <f>SUM(E3,E5:E6,E8:E10,E12:E15)</f>
        <v>309286</v>
      </c>
      <c r="F16" s="1765">
        <f>SUM(F3,F5:F6,F8:F10,F12:F15)</f>
        <v>29215484</v>
      </c>
      <c r="G16" s="681"/>
      <c r="H16" s="1435">
        <f>SUM(H3,H6,H8:H10,H12:H14,)</f>
        <v>12541705</v>
      </c>
      <c r="I16" s="1435">
        <f>SUM(I3,I6,I8:I10,I12:I14,)</f>
        <v>907533</v>
      </c>
      <c r="J16" s="1435">
        <f>SUM(J3,J6,J8:J10,J12:J14,)</f>
        <v>68678</v>
      </c>
      <c r="K16" s="1435">
        <f>(H16+I16)-J16</f>
        <v>13380560</v>
      </c>
      <c r="L16" s="1435">
        <f>F16-K16</f>
        <v>15834924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907533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10395699</v>
      </c>
      <c r="G8" s="701"/>
    </row>
    <row r="9" spans="1:9" x14ac:dyDescent="0.2">
      <c r="A9" s="705" t="s">
        <v>457</v>
      </c>
      <c r="B9" s="706" t="s">
        <v>1848</v>
      </c>
      <c r="C9" s="707"/>
      <c r="D9" s="705" t="s">
        <v>498</v>
      </c>
      <c r="E9" s="704"/>
      <c r="F9" s="1775">
        <f>'Expenditures 15-22'!K151</f>
        <v>1532218</v>
      </c>
      <c r="G9" s="708"/>
    </row>
    <row r="10" spans="1:9" x14ac:dyDescent="0.2">
      <c r="A10" s="705" t="s">
        <v>496</v>
      </c>
      <c r="B10" s="706" t="s">
        <v>1849</v>
      </c>
      <c r="C10" s="707"/>
      <c r="D10" s="705" t="s">
        <v>498</v>
      </c>
      <c r="E10" s="704"/>
      <c r="F10" s="1775">
        <f>'Expenditures 15-22'!K174</f>
        <v>585425</v>
      </c>
      <c r="G10" s="708"/>
    </row>
    <row r="11" spans="1:9" x14ac:dyDescent="0.2">
      <c r="A11" s="705" t="s">
        <v>458</v>
      </c>
      <c r="B11" s="706" t="s">
        <v>1850</v>
      </c>
      <c r="C11" s="707"/>
      <c r="D11" s="705" t="s">
        <v>498</v>
      </c>
      <c r="E11" s="704"/>
      <c r="F11" s="1775">
        <f>'Expenditures 15-22'!K210</f>
        <v>649138</v>
      </c>
      <c r="G11" s="708"/>
    </row>
    <row r="12" spans="1:9" x14ac:dyDescent="0.2">
      <c r="A12" s="705" t="s">
        <v>459</v>
      </c>
      <c r="B12" s="706" t="s">
        <v>1851</v>
      </c>
      <c r="C12" s="707"/>
      <c r="D12" s="705" t="s">
        <v>498</v>
      </c>
      <c r="E12" s="704"/>
      <c r="F12" s="1775">
        <f>'Expenditures 15-22'!K295</f>
        <v>313969</v>
      </c>
      <c r="G12" s="708"/>
    </row>
    <row r="13" spans="1:9" x14ac:dyDescent="0.2">
      <c r="A13" s="705" t="s">
        <v>106</v>
      </c>
      <c r="B13" s="706" t="s">
        <v>1852</v>
      </c>
      <c r="C13" s="707"/>
      <c r="D13" s="705" t="s">
        <v>498</v>
      </c>
      <c r="E13" s="704"/>
      <c r="F13" s="1775">
        <f>'Expenditures 15-22'!K342</f>
        <v>193284</v>
      </c>
      <c r="G13" s="709"/>
    </row>
    <row r="14" spans="1:9" ht="12" customHeight="1" thickBot="1" x14ac:dyDescent="0.25">
      <c r="A14" s="1443"/>
      <c r="B14" s="1444"/>
      <c r="C14" s="1445"/>
      <c r="D14" s="1446" t="s">
        <v>498</v>
      </c>
      <c r="E14" s="1447" t="s">
        <v>952</v>
      </c>
      <c r="F14" s="1776">
        <f>SUM(F8:F13)</f>
        <v>13669733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729</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1800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703397</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736187</v>
      </c>
      <c r="G53" s="701"/>
    </row>
    <row r="54" spans="1:7" x14ac:dyDescent="0.2">
      <c r="A54" s="705" t="s">
        <v>456</v>
      </c>
      <c r="B54" s="705" t="s">
        <v>1459</v>
      </c>
      <c r="C54" s="724" t="s">
        <v>975</v>
      </c>
      <c r="D54" s="720" t="s">
        <v>1086</v>
      </c>
      <c r="E54" s="704"/>
      <c r="F54" s="1782">
        <f>'Expenditures 15-22'!G114</f>
        <v>120243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294514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425000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102400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26</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2384296</v>
      </c>
      <c r="G77" s="701"/>
    </row>
    <row r="78" spans="1:9" s="728" customFormat="1" ht="12" customHeight="1" thickTop="1" thickBot="1" x14ac:dyDescent="0.25">
      <c r="A78" s="1450"/>
      <c r="B78" s="1448"/>
      <c r="C78" s="1445"/>
      <c r="D78" s="1449" t="s">
        <v>2012</v>
      </c>
      <c r="E78" s="1447"/>
      <c r="F78" s="1788">
        <f>(F14-F77)</f>
        <v>11285437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887.7</v>
      </c>
      <c r="G79" s="733"/>
      <c r="H79" s="705"/>
      <c r="I79" s="705"/>
    </row>
    <row r="80" spans="1:9" s="728" customFormat="1" ht="12" customHeight="1" thickBot="1" x14ac:dyDescent="0.25">
      <c r="A80" s="1452"/>
      <c r="B80" s="1448"/>
      <c r="C80" s="1445"/>
      <c r="D80" s="1449" t="s">
        <v>2013</v>
      </c>
      <c r="E80" s="1447" t="s">
        <v>952</v>
      </c>
      <c r="F80" s="1790">
        <f>IF(F79&gt;0,F78/F79," Complete Line 79")</f>
        <v>12713.120423566519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306844</v>
      </c>
      <c r="G95" s="745"/>
    </row>
    <row r="96" spans="1:7" x14ac:dyDescent="0.2">
      <c r="A96" s="741" t="s">
        <v>139</v>
      </c>
      <c r="B96" s="741" t="s">
        <v>174</v>
      </c>
      <c r="C96" s="743">
        <v>1700</v>
      </c>
      <c r="D96" s="751" t="str">
        <f>'Revenues 9-14'!A82</f>
        <v>Total District/School Activity Income</v>
      </c>
      <c r="E96" s="739"/>
      <c r="F96" s="1793">
        <f>SUM('Revenues 9-14'!C82,'Revenues 9-14'!D82)</f>
        <v>68069</v>
      </c>
      <c r="G96" s="745"/>
    </row>
    <row r="97" spans="1:7" x14ac:dyDescent="0.2">
      <c r="A97" s="741" t="s">
        <v>456</v>
      </c>
      <c r="B97" s="741" t="s">
        <v>175</v>
      </c>
      <c r="C97" s="743">
        <f>'Revenues 9-14'!B84</f>
        <v>1811</v>
      </c>
      <c r="D97" s="744" t="str">
        <f>'Revenues 9-14'!A84</f>
        <v>Rentals - Regular Textbooks</v>
      </c>
      <c r="E97" s="739"/>
      <c r="F97" s="1793">
        <f>'Revenues 9-14'!C84</f>
        <v>137382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536</v>
      </c>
      <c r="G101" s="745"/>
    </row>
    <row r="102" spans="1:7" x14ac:dyDescent="0.2">
      <c r="A102" s="741" t="s">
        <v>139</v>
      </c>
      <c r="B102" s="741" t="s">
        <v>180</v>
      </c>
      <c r="C102" s="743">
        <f>'Revenues 9-14'!B95</f>
        <v>1910</v>
      </c>
      <c r="D102" s="744" t="str">
        <f>'Revenues 9-14'!A95</f>
        <v>Rentals</v>
      </c>
      <c r="E102" s="739"/>
      <c r="F102" s="1793">
        <f>SUM('Revenues 9-14'!C95:D95)</f>
        <v>11167</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254114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64174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1051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30289</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200756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84053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37416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323641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182948</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3941</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4938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189567.35</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1960886.35</v>
      </c>
    </row>
    <row r="176" spans="1:7" ht="12" customHeight="1" x14ac:dyDescent="0.2">
      <c r="A176" s="1443"/>
      <c r="B176" s="1453"/>
      <c r="C176" s="1454"/>
      <c r="D176" s="1455" t="s">
        <v>2014</v>
      </c>
      <c r="E176" s="1456"/>
      <c r="F176" s="1793">
        <f>'PCTC-OEPP 27-28'!F78-F175</f>
        <v>9324550.6500000004</v>
      </c>
    </row>
    <row r="177" spans="1:9" ht="12" customHeight="1" x14ac:dyDescent="0.2">
      <c r="A177" s="1443"/>
      <c r="B177" s="1453"/>
      <c r="C177" s="1454"/>
      <c r="D177" s="1455" t="s">
        <v>1794</v>
      </c>
      <c r="E177" s="1456"/>
      <c r="F177" s="1793">
        <f>'Cap Outlay Deprec 26'!I18</f>
        <v>907533</v>
      </c>
    </row>
    <row r="178" spans="1:9" ht="12" customHeight="1" x14ac:dyDescent="0.2">
      <c r="A178" s="1443"/>
      <c r="B178" s="1453"/>
      <c r="C178" s="1454"/>
      <c r="D178" s="1455" t="s">
        <v>2015</v>
      </c>
      <c r="E178" s="1456"/>
      <c r="F178" s="1793">
        <f>F176+F177</f>
        <v>10232083.65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887.7</v>
      </c>
      <c r="G179" s="763"/>
      <c r="I179" s="701"/>
    </row>
    <row r="180" spans="1:9" ht="12" customHeight="1" thickBot="1" x14ac:dyDescent="0.25">
      <c r="A180" s="1443"/>
      <c r="B180" s="1457"/>
      <c r="C180" s="1454"/>
      <c r="D180" s="1455" t="s">
        <v>2017</v>
      </c>
      <c r="E180" s="1456" t="s">
        <v>1528</v>
      </c>
      <c r="F180" s="1798">
        <f>F178/F179</f>
        <v>11526.510814464345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6" t="s">
        <v>2091</v>
      </c>
      <c r="B18" s="1908">
        <v>102540300</v>
      </c>
      <c r="C18" s="2035" t="s">
        <v>2073</v>
      </c>
      <c r="D18" s="1886">
        <v>45000</v>
      </c>
      <c r="E18" s="1906" t="str">
        <f t="shared" ref="E18:E81" si="0">IF(D18&lt;25000,D18,"25,000")</f>
        <v>25,000</v>
      </c>
      <c r="F18" s="1906">
        <f t="shared" ref="F18:F81" si="1">IF(D18&gt;=25000,(D18-E18),"0")</f>
        <v>20000</v>
      </c>
      <c r="G18" s="1887"/>
    </row>
    <row r="19" spans="1:7" x14ac:dyDescent="0.25">
      <c r="A19" s="1888"/>
      <c r="B19" s="1908"/>
      <c r="C19" s="1885"/>
      <c r="D19" s="1886"/>
      <c r="E19" s="1906">
        <f t="shared" si="0"/>
        <v>0</v>
      </c>
      <c r="F19" s="1906" t="str">
        <f t="shared" si="1"/>
        <v>0</v>
      </c>
    </row>
    <row r="20" spans="1:7" hidden="1"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45000</v>
      </c>
      <c r="E142" s="1893">
        <f>SUM(E18:E141)</f>
        <v>0</v>
      </c>
      <c r="F142" s="1894">
        <f>SUM(F18:F141)</f>
        <v>20000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261991.61</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24553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7048556</v>
      </c>
      <c r="F19" s="1802"/>
      <c r="G19" s="1804">
        <f>'Expenditures 15-22'!K33-SUM('Expenditures 15-22'!G33,'Expenditures 15-22'!I33)+'Expenditures 15-22'!D229</f>
        <v>7048556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774086</v>
      </c>
      <c r="F21" s="1805"/>
      <c r="G21" s="1808">
        <f>'Expenditures 15-22'!K42-SUM('Expenditures 15-22'!G42,'Expenditures 15-22'!I42)+'Expenditures 15-22'!K120-SUM('Expenditures 15-22'!G120,'Expenditures 15-22'!I120)+'Expenditures 15-22'!K180-SUM('Expenditures 15-22'!G180,'Expenditures 15-22'!I180)+'Expenditures 15-22'!D238</f>
        <v>774086</v>
      </c>
      <c r="H21" s="817"/>
      <c r="I21" s="157"/>
    </row>
    <row r="22" spans="1:9" s="542" customFormat="1" ht="12" customHeight="1" x14ac:dyDescent="0.2">
      <c r="A22" s="824" t="s">
        <v>560</v>
      </c>
      <c r="B22" s="825"/>
      <c r="C22" s="823">
        <v>2200</v>
      </c>
      <c r="D22" s="1805"/>
      <c r="E22" s="1807">
        <f>'Expenditures 15-22'!K47-SUM('Expenditures 15-22'!G47,'Expenditures 15-22'!I47)+'Expenditures 15-22'!D243</f>
        <v>183381</v>
      </c>
      <c r="F22" s="1805"/>
      <c r="G22" s="1808">
        <f>'Expenditures 15-22'!K47-SUM('Expenditures 15-22'!G47,'Expenditures 15-22'!I47)+'Expenditures 15-22'!D243</f>
        <v>183381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475723</v>
      </c>
      <c r="F23" s="1805"/>
      <c r="G23" s="1807">
        <f>'Expenditures 15-22'!K53-SUM('Expenditures 15-22'!G53,'Expenditures 15-22'!I53)+'Expenditures 15-22'!D257+'Expenditures 15-22'!K330-SUM('Expenditures 15-22'!G330,'Expenditures 15-22'!I330)</f>
        <v>475723</v>
      </c>
      <c r="H23" s="817"/>
      <c r="I23" s="157"/>
    </row>
    <row r="24" spans="1:9" s="542" customFormat="1" ht="12" customHeight="1" x14ac:dyDescent="0.2">
      <c r="A24" s="824" t="s">
        <v>562</v>
      </c>
      <c r="B24" s="825"/>
      <c r="C24" s="823">
        <v>2400</v>
      </c>
      <c r="D24" s="1805"/>
      <c r="E24" s="1807">
        <f>'Expenditures 15-22'!K57-SUM('Expenditures 15-22'!G57,'Expenditures 15-22'!I57)+'Expenditures 15-22'!D261</f>
        <v>520242</v>
      </c>
      <c r="F24" s="1805"/>
      <c r="G24" s="1808">
        <f>'Expenditures 15-22'!K57-SUM('Expenditures 15-22'!G57,'Expenditures 15-22'!I57)+'Expenditures 15-22'!D261</f>
        <v>520242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135270</v>
      </c>
      <c r="E27" s="1807">
        <f>E8</f>
        <v>0</v>
      </c>
      <c r="F27" s="1807">
        <f>'Expenditures 15-22'!K60-SUM('Expenditures 15-22'!G60,'Expenditures 15-22'!I60)+'Expenditures 15-22'!D264-E8</f>
        <v>135270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1378755</v>
      </c>
      <c r="F28" s="1809">
        <f>'Expenditures 15-22'!K61-SUM('Expenditures 15-22'!G61,'Expenditures 15-22'!I61)+'Expenditures 15-22'!K124-SUM('Expenditures 15-22'!G124,'Expenditures 15-22'!I124)+'Expenditures 15-22'!D266-E9</f>
        <v>1378755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592982</v>
      </c>
      <c r="F29" s="1805"/>
      <c r="G29" s="1808">
        <f>'Expenditures 15-22'!K62-SUM('Expenditures 15-22'!G62,'Expenditures 15-22'!I62)+'Expenditures 15-22'!K125-SUM('Expenditures 15-22'!G125,'Expenditures 15-22'!I125)+'Expenditures 15-22'!K182-SUM('Expenditures 15-22'!G182,'Expenditures 15-22'!I182)+'Expenditures 15-22'!D267</f>
        <v>592982</v>
      </c>
      <c r="H29" s="815"/>
    </row>
    <row r="30" spans="1:9" ht="12" customHeight="1" x14ac:dyDescent="0.2">
      <c r="A30" s="824" t="s">
        <v>100</v>
      </c>
      <c r="B30" s="827"/>
      <c r="C30" s="823">
        <v>2560</v>
      </c>
      <c r="D30" s="1805"/>
      <c r="E30" s="1807">
        <f>'Expenditures 15-22'!K63-SUM('Expenditures 15-22'!G63,'Expenditures 15-22'!I63)+'Expenditures 15-22'!D268-E10</f>
        <v>330585.39</v>
      </c>
      <c r="F30" s="1805"/>
      <c r="G30" s="1807">
        <f>'Expenditures 15-22'!K63-SUM('Expenditures 15-22'!G63,'Expenditures 15-22'!I63)+'Expenditures 15-22'!D268-E10</f>
        <v>330585.39</v>
      </c>
    </row>
    <row r="31" spans="1:9" ht="12" customHeight="1" x14ac:dyDescent="0.2">
      <c r="A31" s="824" t="s">
        <v>101</v>
      </c>
      <c r="B31" s="827"/>
      <c r="C31" s="823">
        <v>2570</v>
      </c>
      <c r="D31" s="1807">
        <f>'Expenditures 15-22'!K64-SUM('Expenditures 15-22'!G64,'Expenditures 15-22'!I64)+'Expenditures 15-22'!D269-E12</f>
        <v>129392</v>
      </c>
      <c r="E31" s="1807">
        <f>E12</f>
        <v>0</v>
      </c>
      <c r="F31" s="1807">
        <f>'Expenditures 15-22'!K64-SUM('Expenditures 15-22'!G64,'Expenditures 15-22'!I64)+'Expenditures 15-22'!D269-E12</f>
        <v>129392</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-20000</v>
      </c>
      <c r="F40" s="1805"/>
      <c r="G40" s="1809">
        <f>-'Contracts Paid in CY 29'!F142</f>
        <v>-20000</v>
      </c>
    </row>
    <row r="41" spans="1:7" ht="12" customHeight="1" x14ac:dyDescent="0.2">
      <c r="A41" s="828" t="s">
        <v>155</v>
      </c>
      <c r="B41" s="829"/>
      <c r="C41" s="830"/>
      <c r="D41" s="1809">
        <f>SUM(D19:D39)</f>
        <v>264662</v>
      </c>
      <c r="E41" s="1809">
        <f>SUM(E19:E40)</f>
        <v>11284310.390000001</v>
      </c>
      <c r="F41" s="1809">
        <f>SUM(F19:F39)</f>
        <v>1643417</v>
      </c>
      <c r="G41" s="1809">
        <f>SUM(G19:G40)</f>
        <v>9905555.3900000006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264662</v>
      </c>
      <c r="F43" s="1458" t="s">
        <v>470</v>
      </c>
      <c r="G43" s="1810">
        <f>F41</f>
        <v>1643417</v>
      </c>
    </row>
    <row r="44" spans="1:7" ht="12" customHeight="1" x14ac:dyDescent="0.2">
      <c r="A44" s="817"/>
      <c r="B44" s="157"/>
      <c r="C44" s="831"/>
      <c r="D44" s="1458" t="s">
        <v>471</v>
      </c>
      <c r="E44" s="1810">
        <f>E41</f>
        <v>11284310.390000001</v>
      </c>
      <c r="F44" s="1458" t="s">
        <v>471</v>
      </c>
      <c r="G44" s="1810">
        <f>G41</f>
        <v>9905555.3900000006</v>
      </c>
    </row>
    <row r="45" spans="1:7" ht="12" customHeight="1" x14ac:dyDescent="0.2">
      <c r="A45" s="817"/>
      <c r="B45" s="157"/>
      <c r="C45" s="157"/>
      <c r="D45" s="1459" t="s">
        <v>999</v>
      </c>
      <c r="E45" s="1811">
        <f>(E43/E44)</f>
        <v>2.3453980868386941E-2</v>
      </c>
      <c r="F45" s="1459" t="s">
        <v>999</v>
      </c>
      <c r="G45" s="1811">
        <f>(G43/G44)</f>
        <v>0.1659086174672332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County of Woodford School</v>
      </c>
      <c r="D6" s="2404"/>
      <c r="E6" s="2404"/>
      <c r="F6" s="1482"/>
      <c r="G6" s="1507"/>
      <c r="L6" s="1507"/>
      <c r="M6" s="1855"/>
      <c r="N6" s="1855"/>
      <c r="O6" s="1855"/>
    </row>
    <row r="7" spans="1:15" ht="11.25" customHeight="1" thickBot="1" x14ac:dyDescent="0.3">
      <c r="A7" s="1480"/>
      <c r="B7" s="1481"/>
      <c r="C7" s="2405">
        <f>COVER!A13</f>
        <v>53102122017</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2071</v>
      </c>
      <c r="D14" s="1495" t="s">
        <v>2071</v>
      </c>
      <c r="E14" s="1498"/>
      <c r="F14" s="1497" t="s">
        <v>2074</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2071</v>
      </c>
      <c r="D15" s="1495" t="s">
        <v>2071</v>
      </c>
      <c r="E15" s="1498"/>
      <c r="F15" s="1497" t="s">
        <v>2075</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2071</v>
      </c>
      <c r="D16" s="1495" t="s">
        <v>2071</v>
      </c>
      <c r="E16" s="1498"/>
      <c r="F16" s="1497" t="s">
        <v>2076</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2071</v>
      </c>
      <c r="D19" s="1495" t="s">
        <v>2071</v>
      </c>
      <c r="E19" s="1498"/>
      <c r="F19" s="1497" t="s">
        <v>2077</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2071</v>
      </c>
      <c r="D20" s="1495" t="s">
        <v>2071</v>
      </c>
      <c r="E20" s="1498"/>
      <c r="F20" s="1497" t="s">
        <v>2078</v>
      </c>
      <c r="G20" s="1507"/>
      <c r="H20" s="1507">
        <f t="shared" si="0"/>
        <v>5</v>
      </c>
      <c r="I20" s="1507">
        <f t="shared" si="1"/>
        <v>5</v>
      </c>
      <c r="J20" s="1507">
        <f t="shared" si="2"/>
        <v>0</v>
      </c>
      <c r="L20" s="1507"/>
      <c r="M20" s="1855"/>
      <c r="N20" s="1855"/>
      <c r="O20" s="1855"/>
    </row>
    <row r="21" spans="1:15" ht="12" customHeight="1" x14ac:dyDescent="0.2">
      <c r="A21" s="1493" t="s">
        <v>1512</v>
      </c>
      <c r="B21" s="1494"/>
      <c r="C21" s="1495" t="s">
        <v>2071</v>
      </c>
      <c r="D21" s="1495" t="s">
        <v>2071</v>
      </c>
      <c r="E21" s="1498"/>
      <c r="F21" s="1497" t="s">
        <v>2079</v>
      </c>
      <c r="G21" s="1507"/>
      <c r="H21" s="1507">
        <f t="shared" si="0"/>
        <v>5</v>
      </c>
      <c r="I21" s="1507">
        <f t="shared" si="1"/>
        <v>5</v>
      </c>
      <c r="J21" s="1507">
        <f t="shared" si="2"/>
        <v>0</v>
      </c>
      <c r="L21" s="1507"/>
      <c r="M21" s="1855"/>
      <c r="N21" s="1855"/>
      <c r="O21" s="1855"/>
    </row>
    <row r="22" spans="1:15" ht="12" customHeight="1" x14ac:dyDescent="0.2">
      <c r="A22" s="1493" t="s">
        <v>1513</v>
      </c>
      <c r="B22" s="1494"/>
      <c r="C22" s="1495" t="s">
        <v>2071</v>
      </c>
      <c r="D22" s="1495" t="s">
        <v>2071</v>
      </c>
      <c r="E22" s="1498"/>
      <c r="F22" s="1497" t="s">
        <v>2080</v>
      </c>
      <c r="G22" s="1507"/>
      <c r="H22" s="1507">
        <f t="shared" si="0"/>
        <v>5</v>
      </c>
      <c r="I22" s="1507">
        <f t="shared" si="1"/>
        <v>5</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2071</v>
      </c>
      <c r="D26" s="1495" t="s">
        <v>2071</v>
      </c>
      <c r="E26" s="1498"/>
      <c r="F26" s="1497" t="s">
        <v>2081</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2071</v>
      </c>
      <c r="D31" s="1495" t="s">
        <v>2071</v>
      </c>
      <c r="E31" s="1498"/>
      <c r="F31" s="1497" t="s">
        <v>2082</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45</v>
      </c>
      <c r="I34" s="1507">
        <f>SUM(I11:I32)</f>
        <v>45</v>
      </c>
      <c r="J34" s="1507">
        <f>SUM(J11:J32)</f>
        <v>0</v>
      </c>
      <c r="K34" s="1507">
        <f>SUM(H34:J34)</f>
        <v>90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 right="0.2" top="0.68" bottom="0.37" header="0.17" footer="0.17"/>
  <pageSetup scale="70"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6"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County of Woodford School</v>
      </c>
      <c r="K6" s="2420"/>
      <c r="L6" s="2421"/>
      <c r="M6" s="838"/>
      <c r="N6" s="1998"/>
    </row>
    <row r="7" spans="1:14" x14ac:dyDescent="0.2">
      <c r="A7" s="2422" t="s">
        <v>864</v>
      </c>
      <c r="B7" s="2423"/>
      <c r="C7" s="2423"/>
      <c r="D7" s="2423"/>
      <c r="E7" s="2424"/>
      <c r="F7" s="839"/>
      <c r="G7" s="838"/>
      <c r="H7" s="838"/>
      <c r="I7" s="1924" t="s">
        <v>369</v>
      </c>
      <c r="J7" s="2425">
        <f>COVER!A13</f>
        <v>53102122017</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220700</v>
      </c>
      <c r="F12" s="1942"/>
      <c r="G12" s="1968">
        <f>G68</f>
        <v>0</v>
      </c>
      <c r="H12" s="1944">
        <f t="shared" ref="H12:H18" si="0">SUM(E12:G12)</f>
        <v>220700</v>
      </c>
      <c r="I12" s="1943">
        <v>224709</v>
      </c>
      <c r="J12" s="1942"/>
      <c r="K12" s="1943"/>
      <c r="L12" s="1944">
        <f t="shared" ref="L12:L18" si="1">SUM(I12:K12)</f>
        <v>224709</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3260</v>
      </c>
      <c r="F14" s="1942"/>
      <c r="G14" s="1968">
        <f>I68</f>
        <v>0</v>
      </c>
      <c r="H14" s="1944">
        <f t="shared" si="0"/>
        <v>3260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117724</v>
      </c>
      <c r="F16" s="1942"/>
      <c r="G16" s="1968">
        <f>K68</f>
        <v>0</v>
      </c>
      <c r="H16" s="1944">
        <f t="shared" si="0"/>
        <v>117724</v>
      </c>
      <c r="I16" s="1943">
        <v>135200</v>
      </c>
      <c r="J16" s="1942"/>
      <c r="K16" s="1943"/>
      <c r="L16" s="1944">
        <f t="shared" si="1"/>
        <v>135200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341684</v>
      </c>
      <c r="F19" s="1950">
        <f t="shared" si="2"/>
        <v>0</v>
      </c>
      <c r="G19" s="1950">
        <f t="shared" ref="G19" si="3">SUM(G12:G17)-G18</f>
        <v>0</v>
      </c>
      <c r="H19" s="1950">
        <f t="shared" si="2"/>
        <v>341684</v>
      </c>
      <c r="I19" s="1950">
        <f t="shared" si="2"/>
        <v>359909</v>
      </c>
      <c r="J19" s="1950">
        <f t="shared" si="2"/>
        <v>0</v>
      </c>
      <c r="K19" s="1950">
        <f t="shared" si="2"/>
        <v>0</v>
      </c>
      <c r="L19" s="1950">
        <f t="shared" si="2"/>
        <v>359909</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5.3338757448402614E-2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County of Woodford School</v>
      </c>
      <c r="M52" s="2420"/>
      <c r="N52" s="2450"/>
    </row>
    <row r="53" spans="1:14" x14ac:dyDescent="0.2">
      <c r="A53" s="1982"/>
      <c r="B53" s="1983"/>
      <c r="C53" s="1983"/>
      <c r="D53" s="1983"/>
      <c r="E53" s="1983"/>
      <c r="F53" s="1983"/>
      <c r="G53" s="1983"/>
      <c r="H53" s="1983"/>
      <c r="I53" s="1983"/>
      <c r="J53" s="1983"/>
      <c r="K53" s="1924" t="s">
        <v>369</v>
      </c>
      <c r="L53" s="2425">
        <f>J7</f>
        <v>53102122017</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61568</v>
      </c>
      <c r="F58" s="1972"/>
      <c r="G58" s="2031"/>
      <c r="H58" s="2032"/>
      <c r="I58" s="2032"/>
      <c r="J58" s="2032"/>
      <c r="K58" s="2032"/>
      <c r="L58" s="2032"/>
      <c r="M58" s="2032">
        <v>61568</v>
      </c>
      <c r="N58" s="1975">
        <f>IF((SUM(G58:M58))=E58,SUM(G58:M58),"Column N does not agree with Column E")</f>
        <v>61568</v>
      </c>
    </row>
    <row r="59" spans="1:14" ht="24.75" customHeight="1" x14ac:dyDescent="0.2">
      <c r="A59" s="2461" t="s">
        <v>297</v>
      </c>
      <c r="B59" s="2462"/>
      <c r="C59" s="2462"/>
      <c r="D59" s="1967">
        <v>2363</v>
      </c>
      <c r="E59" s="1977">
        <f>'Expenditures 15-22'!K321</f>
        <v>13179</v>
      </c>
      <c r="F59" s="1972"/>
      <c r="G59" s="2031"/>
      <c r="H59" s="2032"/>
      <c r="I59" s="2032"/>
      <c r="J59" s="2032"/>
      <c r="K59" s="2032"/>
      <c r="L59" s="2032"/>
      <c r="M59" s="2032">
        <v>13179</v>
      </c>
      <c r="N59" s="1975">
        <f>IF((SUM(G59:M59))=E59,SUM(G59:M59),"Column N does not agree with Column E")</f>
        <v>13179</v>
      </c>
    </row>
    <row r="60" spans="1:14" ht="24" customHeight="1" x14ac:dyDescent="0.2">
      <c r="A60" s="2461" t="s">
        <v>236</v>
      </c>
      <c r="B60" s="2462"/>
      <c r="C60" s="2462"/>
      <c r="D60" s="1967">
        <v>2364</v>
      </c>
      <c r="E60" s="1977">
        <f>'Expenditures 15-22'!K322</f>
        <v>102744</v>
      </c>
      <c r="F60" s="1972"/>
      <c r="G60" s="2031"/>
      <c r="H60" s="2032"/>
      <c r="I60" s="2032"/>
      <c r="J60" s="2032"/>
      <c r="K60" s="2032"/>
      <c r="L60" s="2032"/>
      <c r="M60" s="2032">
        <v>102744</v>
      </c>
      <c r="N60" s="1975">
        <f t="shared" ref="N60:N67" si="4">IF((SUM(G60:M60))=E60,SUM(G60:M60),"Column N does not agree with Column E")</f>
        <v>102744</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15793</v>
      </c>
      <c r="F65" s="1972"/>
      <c r="G65" s="2031"/>
      <c r="H65" s="2032"/>
      <c r="I65" s="2032"/>
      <c r="J65" s="2032"/>
      <c r="K65" s="2032"/>
      <c r="L65" s="2032"/>
      <c r="M65" s="2032">
        <v>15793</v>
      </c>
      <c r="N65" s="1975">
        <f t="shared" si="4"/>
        <v>15793</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193284</v>
      </c>
      <c r="F68" s="1973"/>
      <c r="G68" s="1974">
        <f t="shared" ref="G68:N68" si="5">SUM(G57:G67)</f>
        <v>0</v>
      </c>
      <c r="H68" s="1974">
        <f t="shared" si="5"/>
        <v>0</v>
      </c>
      <c r="I68" s="1974">
        <f t="shared" si="5"/>
        <v>0</v>
      </c>
      <c r="J68" s="1974">
        <f t="shared" si="5"/>
        <v>0</v>
      </c>
      <c r="K68" s="1974">
        <f t="shared" si="5"/>
        <v>0</v>
      </c>
      <c r="L68" s="1974">
        <f t="shared" si="5"/>
        <v>0</v>
      </c>
      <c r="M68" s="1974">
        <f t="shared" si="5"/>
        <v>193284</v>
      </c>
      <c r="N68" s="1988">
        <f t="shared" si="5"/>
        <v>193284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2083</v>
      </c>
    </row>
    <row r="6" spans="1:2" x14ac:dyDescent="0.2">
      <c r="A6" s="847">
        <v>2</v>
      </c>
      <c r="B6" s="307" t="s">
        <v>2084</v>
      </c>
    </row>
    <row r="7" spans="1:2" x14ac:dyDescent="0.2">
      <c r="A7" s="847">
        <v>3</v>
      </c>
      <c r="B7" s="307" t="s">
        <v>2085</v>
      </c>
    </row>
    <row r="8" spans="1:2" x14ac:dyDescent="0.2">
      <c r="A8" s="847">
        <v>4</v>
      </c>
      <c r="B8" s="307" t="s">
        <v>2088</v>
      </c>
    </row>
    <row r="9" spans="1:2" x14ac:dyDescent="0.2">
      <c r="A9" s="847">
        <v>5</v>
      </c>
      <c r="B9" s="307" t="s">
        <v>2087</v>
      </c>
    </row>
    <row r="10" spans="1:2" x14ac:dyDescent="0.2">
      <c r="A10" s="847">
        <v>6</v>
      </c>
      <c r="B10" s="307" t="s">
        <v>2090</v>
      </c>
    </row>
    <row r="11" spans="1:2" x14ac:dyDescent="0.2">
      <c r="A11" s="847">
        <v>7</v>
      </c>
      <c r="B11" s="307" t="s">
        <v>2089</v>
      </c>
    </row>
    <row r="12" spans="1:2" x14ac:dyDescent="0.2">
      <c r="A12" s="847">
        <v>8</v>
      </c>
      <c r="B12" s="307" t="s">
        <v>2092</v>
      </c>
    </row>
    <row r="13" spans="1:2" x14ac:dyDescent="0.2">
      <c r="A13" s="847">
        <v>9</v>
      </c>
      <c r="B13" s="307" t="s">
        <v>2093</v>
      </c>
    </row>
    <row r="14" spans="1:2" x14ac:dyDescent="0.2">
      <c r="A14" s="847">
        <v>10</v>
      </c>
      <c r="B14" s="307" t="s">
        <v>2086</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County of Woodford School</v>
      </c>
    </row>
    <row r="65" spans="2:2" x14ac:dyDescent="0.2">
      <c r="B65" s="849">
        <f>COVER!A13</f>
        <v>53102122017</v>
      </c>
    </row>
  </sheetData>
  <phoneticPr fontId="16" type="noConversion"/>
  <pageMargins left="0.2" right="0.2" top="1.17" bottom="0.75" header="0.19" footer="0.16"/>
  <pageSetup scale="75"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9" sqref="F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10695820</v>
      </c>
      <c r="C8" s="1813">
        <f>'Acct Summary 7-8'!D8</f>
        <v>1821503</v>
      </c>
      <c r="D8" s="1813">
        <f>'Acct Summary 7-8'!F8</f>
        <v>767130</v>
      </c>
      <c r="E8" s="1813">
        <f>'Acct Summary 7-8'!I8</f>
        <v>201934</v>
      </c>
      <c r="F8" s="1813">
        <f>SUM(B8:E8)</f>
        <v>13486387</v>
      </c>
    </row>
    <row r="9" spans="1:8" s="858" customFormat="1" ht="14.25" customHeight="1" thickBot="1" x14ac:dyDescent="0.25">
      <c r="A9" s="857" t="s">
        <v>1353</v>
      </c>
      <c r="B9" s="1814">
        <f>'Acct Summary 7-8'!C17</f>
        <v>10395699</v>
      </c>
      <c r="C9" s="1814">
        <f>'Acct Summary 7-8'!D17</f>
        <v>1532218</v>
      </c>
      <c r="D9" s="1814">
        <f>'Acct Summary 7-8'!F17</f>
        <v>649138</v>
      </c>
      <c r="E9" s="1813"/>
      <c r="F9" s="1813">
        <f>SUM(B9:E9)</f>
        <v>12577055</v>
      </c>
    </row>
    <row r="10" spans="1:8" s="858" customFormat="1" ht="14.25" thickTop="1" thickBot="1" x14ac:dyDescent="0.25">
      <c r="A10" s="859" t="s">
        <v>1354</v>
      </c>
      <c r="B10" s="1815">
        <f>(B8-B9)</f>
        <v>300121</v>
      </c>
      <c r="C10" s="1815">
        <f>(C8-C9)</f>
        <v>289285</v>
      </c>
      <c r="D10" s="1815">
        <f>(D8-D9)</f>
        <v>117992</v>
      </c>
      <c r="E10" s="1814">
        <f>(E8-E9)</f>
        <v>201934</v>
      </c>
      <c r="F10" s="1816">
        <f>SUM(F8-F9)</f>
        <v>909332</v>
      </c>
    </row>
    <row r="11" spans="1:8" s="858" customFormat="1" ht="14.25" thickTop="1" thickBot="1" x14ac:dyDescent="0.25">
      <c r="A11" s="860" t="s">
        <v>1903</v>
      </c>
      <c r="B11" s="1817">
        <f>'Acct Summary 7-8'!C81</f>
        <v>6469967</v>
      </c>
      <c r="C11" s="1817">
        <f>'Acct Summary 7-8'!D81</f>
        <v>1800754</v>
      </c>
      <c r="D11" s="1817">
        <f>'Acct Summary 7-8'!F81</f>
        <v>459740</v>
      </c>
      <c r="E11" s="1817">
        <f>'Acct Summary 7-8'!I81</f>
        <v>1642446</v>
      </c>
      <c r="F11" s="1818">
        <f>SUM(B11:E11)</f>
        <v>10372907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3"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53102122017</v>
      </c>
      <c r="E2" s="1542">
        <v>2020</v>
      </c>
      <c r="F2" s="1542">
        <v>1</v>
      </c>
      <c r="G2" s="1899">
        <v>101000300</v>
      </c>
    </row>
    <row r="3" spans="1:7" ht="15" x14ac:dyDescent="0.25">
      <c r="A3" t="s">
        <v>950</v>
      </c>
      <c r="B3" s="135" t="str">
        <f>COVER!A15</f>
        <v>Woodford</v>
      </c>
      <c r="E3" s="1830" t="s">
        <v>1971</v>
      </c>
      <c r="F3" s="1830" t="s">
        <v>1970</v>
      </c>
      <c r="G3" s="1899">
        <v>101000400</v>
      </c>
    </row>
    <row r="4" spans="1:7" ht="15" x14ac:dyDescent="0.25">
      <c r="A4" t="s">
        <v>1000</v>
      </c>
      <c r="B4" s="135" t="str">
        <f>COVER!A17</f>
        <v xml:space="preserve">  County of Woodford School</v>
      </c>
      <c r="E4" s="1828">
        <v>44119</v>
      </c>
      <c r="F4" s="1829">
        <v>44151</v>
      </c>
      <c r="G4" s="1899">
        <v>101000600</v>
      </c>
    </row>
    <row r="5" spans="1:7" ht="15" x14ac:dyDescent="0.25">
      <c r="A5" t="s">
        <v>699</v>
      </c>
      <c r="B5" s="135" t="str">
        <f>COVER!A38</f>
        <v>Sean O'Laughlin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3405197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6469967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6469967</v>
      </c>
      <c r="D92" s="2" t="str">
        <f t="shared" si="0"/>
        <v>Error?</v>
      </c>
      <c r="G92" s="1899">
        <v>102640600</v>
      </c>
    </row>
    <row r="93" spans="1:7" ht="15" x14ac:dyDescent="0.25">
      <c r="A93" s="5">
        <v>32</v>
      </c>
      <c r="B93" s="1832">
        <f>'Assets-Liab 5-6'!C41</f>
        <v>6469967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330888</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1800754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1750754</v>
      </c>
      <c r="D123" s="2" t="str">
        <f t="shared" si="0"/>
        <v>Error?</v>
      </c>
      <c r="G123" s="1899">
        <v>203000400</v>
      </c>
    </row>
    <row r="124" spans="1:7" ht="15" x14ac:dyDescent="0.25">
      <c r="A124" s="5">
        <v>63</v>
      </c>
      <c r="B124" s="1832">
        <f>'Assets-Liab 5-6'!D41</f>
        <v>1800754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16987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15974</v>
      </c>
      <c r="C139" s="2" t="s">
        <v>569</v>
      </c>
      <c r="D139" s="2" t="str">
        <f t="shared" si="1"/>
        <v>Error?</v>
      </c>
    </row>
    <row r="140" spans="1:7" x14ac:dyDescent="0.2">
      <c r="A140" s="5">
        <v>79</v>
      </c>
      <c r="B140" s="1832">
        <f>'Assets-Liab 5-6'!E39</f>
        <v>1013</v>
      </c>
      <c r="D140" s="2" t="str">
        <f t="shared" si="1"/>
        <v>Error?</v>
      </c>
    </row>
    <row r="141" spans="1:7" x14ac:dyDescent="0.2">
      <c r="A141" s="5">
        <v>80</v>
      </c>
      <c r="B141" s="1832">
        <f>'Assets-Liab 5-6'!E41</f>
        <v>16987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52027</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459740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459740</v>
      </c>
      <c r="D170" s="2" t="str">
        <f t="shared" si="1"/>
        <v>Error?</v>
      </c>
    </row>
    <row r="171" spans="1:4" x14ac:dyDescent="0.2">
      <c r="A171" s="5">
        <v>110</v>
      </c>
      <c r="B171" s="1832">
        <f>'Assets-Liab 5-6'!F41</f>
        <v>459740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128315</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390753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262894</v>
      </c>
      <c r="D189" s="2" t="str">
        <f t="shared" si="1"/>
        <v>Error?</v>
      </c>
    </row>
    <row r="190" spans="1:4" x14ac:dyDescent="0.2">
      <c r="A190" s="5">
        <v>129</v>
      </c>
      <c r="B190" s="1832">
        <f>'Assets-Liab 5-6'!G41</f>
        <v>390753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803599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328426</v>
      </c>
      <c r="D212" s="2" t="str">
        <f t="shared" si="2"/>
        <v>Error?</v>
      </c>
    </row>
    <row r="213" spans="1:4" x14ac:dyDescent="0.2">
      <c r="A213" s="12">
        <v>152</v>
      </c>
      <c r="B213" s="1832">
        <f>'Assets-Liab 5-6'!H41</f>
        <v>803599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306928</v>
      </c>
      <c r="D273" s="2" t="str">
        <f t="shared" si="3"/>
        <v>Error?</v>
      </c>
    </row>
    <row r="274" spans="1:4" x14ac:dyDescent="0.2">
      <c r="A274" s="5">
        <v>213</v>
      </c>
      <c r="B274" s="1832">
        <f>'Assets-Liab 5-6'!M17</f>
        <v>22469386</v>
      </c>
      <c r="D274" s="2" t="str">
        <f t="shared" si="3"/>
        <v>Error?</v>
      </c>
    </row>
    <row r="275" spans="1:4" x14ac:dyDescent="0.2">
      <c r="A275" s="5">
        <v>214</v>
      </c>
      <c r="B275" s="1832">
        <f>'Assets-Liab 5-6'!M18</f>
        <v>2241336</v>
      </c>
      <c r="D275" s="2" t="str">
        <f t="shared" si="3"/>
        <v>Error?</v>
      </c>
    </row>
    <row r="276" spans="1:4" x14ac:dyDescent="0.2">
      <c r="A276" s="5">
        <v>215</v>
      </c>
      <c r="B276" s="1832">
        <f>'Assets-Liab 5-6'!M19</f>
        <v>3970175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29215484</v>
      </c>
      <c r="C279" s="2" t="s">
        <v>569</v>
      </c>
      <c r="D279" s="2" t="str">
        <f t="shared" si="3"/>
        <v>Error?</v>
      </c>
    </row>
    <row r="280" spans="1:4" x14ac:dyDescent="0.2">
      <c r="A280" s="5">
        <v>219</v>
      </c>
      <c r="B280" s="1832">
        <f>'Assets-Liab 5-6'!M40</f>
        <v>29215484</v>
      </c>
      <c r="D280" s="2" t="str">
        <f t="shared" si="3"/>
        <v>Error?</v>
      </c>
    </row>
    <row r="281" spans="1:4" x14ac:dyDescent="0.2">
      <c r="A281" s="5">
        <v>220</v>
      </c>
      <c r="B281" s="1832">
        <f>'Assets-Liab 5-6'!M41</f>
        <v>29215484</v>
      </c>
      <c r="C281" s="2" t="s">
        <v>569</v>
      </c>
      <c r="D281" s="2" t="str">
        <f t="shared" si="3"/>
        <v>Error?</v>
      </c>
    </row>
    <row r="282" spans="1:4" x14ac:dyDescent="0.2">
      <c r="A282" s="5">
        <v>221</v>
      </c>
      <c r="B282" s="1832">
        <f>'Assets-Liab 5-6'!N21</f>
        <v>1013</v>
      </c>
      <c r="D282" s="2" t="str">
        <f t="shared" si="3"/>
        <v>Error?</v>
      </c>
    </row>
    <row r="283" spans="1:4" x14ac:dyDescent="0.2">
      <c r="A283" s="5">
        <v>222</v>
      </c>
      <c r="B283" s="1832">
        <f>'Assets-Liab 5-6'!N22</f>
        <v>3568987</v>
      </c>
      <c r="D283" s="2" t="str">
        <f t="shared" si="3"/>
        <v>Error?</v>
      </c>
    </row>
    <row r="284" spans="1:4" x14ac:dyDescent="0.2">
      <c r="A284" s="5">
        <v>223</v>
      </c>
      <c r="B284" s="1832">
        <f>'Assets-Liab 5-6'!N23</f>
        <v>3570000</v>
      </c>
      <c r="C284" s="2" t="s">
        <v>569</v>
      </c>
      <c r="D284" s="2" t="str">
        <f t="shared" si="3"/>
        <v>Error?</v>
      </c>
    </row>
    <row r="285" spans="1:4" x14ac:dyDescent="0.2">
      <c r="A285" s="5">
        <v>224</v>
      </c>
      <c r="B285" s="1832">
        <f>'Assets-Liab 5-6'!N36</f>
        <v>3570000</v>
      </c>
      <c r="D285" s="2" t="str">
        <f t="shared" si="3"/>
        <v>Error?</v>
      </c>
    </row>
    <row r="286" spans="1:4" x14ac:dyDescent="0.2">
      <c r="A286" s="10">
        <v>225</v>
      </c>
      <c r="B286" s="1832"/>
      <c r="D286" s="2" t="str">
        <f t="shared" si="3"/>
        <v>OK</v>
      </c>
    </row>
    <row r="287" spans="1:4" x14ac:dyDescent="0.2">
      <c r="A287" s="5">
        <v>226</v>
      </c>
      <c r="B287" s="1832">
        <f>'Assets-Liab 5-6'!N37</f>
        <v>3570000</v>
      </c>
      <c r="C287" s="2" t="s">
        <v>569</v>
      </c>
      <c r="D287" s="2" t="str">
        <f t="shared" si="3"/>
        <v>Error?</v>
      </c>
    </row>
    <row r="288" spans="1:4" x14ac:dyDescent="0.2">
      <c r="A288" s="5">
        <v>227</v>
      </c>
      <c r="B288" s="1832">
        <f>'Assets-Liab 5-6'!N41</f>
        <v>3570000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2979334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628444</v>
      </c>
      <c r="D717" s="2" t="str">
        <f t="shared" si="10"/>
        <v>Error?</v>
      </c>
    </row>
    <row r="718" spans="1:4" x14ac:dyDescent="0.2">
      <c r="A718" s="5">
        <v>657</v>
      </c>
      <c r="B718" s="1832">
        <f>'Expenditures 15-22'!C14</f>
        <v>410203</v>
      </c>
      <c r="D718" s="2" t="str">
        <f t="shared" si="10"/>
        <v>Error?</v>
      </c>
    </row>
    <row r="719" spans="1:4" x14ac:dyDescent="0.2">
      <c r="A719" s="5">
        <v>658</v>
      </c>
      <c r="B719" s="1832">
        <f>'Expenditures 15-22'!C15</f>
        <v>1800</v>
      </c>
      <c r="D719" s="2" t="str">
        <f t="shared" si="10"/>
        <v>Error?</v>
      </c>
    </row>
    <row r="720" spans="1:4" x14ac:dyDescent="0.2">
      <c r="A720" s="5">
        <v>659</v>
      </c>
      <c r="B720" s="1832">
        <f>'Expenditures 15-22'!C33</f>
        <v>4672453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481819</v>
      </c>
      <c r="D722" s="2" t="str">
        <f t="shared" si="10"/>
        <v>Error?</v>
      </c>
    </row>
    <row r="723" spans="1:4" x14ac:dyDescent="0.2">
      <c r="A723" s="5">
        <v>662</v>
      </c>
      <c r="B723" s="1832">
        <f>'Expenditures 15-22'!C38</f>
        <v>27328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33750</v>
      </c>
      <c r="D726" s="2" t="str">
        <f t="shared" si="10"/>
        <v>Error?</v>
      </c>
    </row>
    <row r="727" spans="1:4" x14ac:dyDescent="0.2">
      <c r="A727" s="5">
        <v>666</v>
      </c>
      <c r="B727" s="1832">
        <f>'Expenditures 15-22'!C42</f>
        <v>542897</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111645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111645</v>
      </c>
      <c r="C731" s="2" t="s">
        <v>569</v>
      </c>
      <c r="D731" s="2" t="str">
        <f t="shared" si="10"/>
        <v>Error?</v>
      </c>
    </row>
    <row r="732" spans="1:4" x14ac:dyDescent="0.2">
      <c r="A732" s="5">
        <v>671</v>
      </c>
      <c r="B732" s="1832">
        <f>'Expenditures 15-22'!C49</f>
        <v>1778</v>
      </c>
      <c r="D732" s="2" t="str">
        <f t="shared" si="10"/>
        <v>Error?</v>
      </c>
    </row>
    <row r="733" spans="1:4" x14ac:dyDescent="0.2">
      <c r="A733" s="5">
        <v>672</v>
      </c>
      <c r="B733" s="1832">
        <f>'Expenditures 15-22'!C50</f>
        <v>179514</v>
      </c>
      <c r="D733" s="2" t="str">
        <f t="shared" si="10"/>
        <v>Error?</v>
      </c>
    </row>
    <row r="734" spans="1:4" x14ac:dyDescent="0.2">
      <c r="A734" s="5">
        <v>673</v>
      </c>
      <c r="B734" s="1832">
        <f>'Expenditures 15-22'!C53</f>
        <v>181292</v>
      </c>
      <c r="C734" s="2" t="s">
        <v>569</v>
      </c>
      <c r="D734" s="2" t="str">
        <f t="shared" si="10"/>
        <v>Error?</v>
      </c>
    </row>
    <row r="735" spans="1:4" x14ac:dyDescent="0.2">
      <c r="A735" s="5">
        <v>674</v>
      </c>
      <c r="B735" s="1832">
        <f>'Expenditures 15-22'!C55</f>
        <v>382089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382089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62234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181687</v>
      </c>
      <c r="D742" s="2" t="str">
        <f t="shared" si="10"/>
        <v>Error?</v>
      </c>
    </row>
    <row r="743" spans="1:4" x14ac:dyDescent="0.2">
      <c r="A743" s="5">
        <v>682</v>
      </c>
      <c r="B743" s="1832">
        <f>'Expenditures 15-22'!C64</f>
        <v>87988</v>
      </c>
      <c r="D743" s="2" t="str">
        <f t="shared" si="10"/>
        <v>Error?</v>
      </c>
    </row>
    <row r="744" spans="1:4" x14ac:dyDescent="0.2">
      <c r="A744" s="10">
        <v>683</v>
      </c>
      <c r="B744" s="1832"/>
      <c r="D744" s="2" t="str">
        <f t="shared" si="10"/>
        <v>OK</v>
      </c>
    </row>
    <row r="745" spans="1:4" x14ac:dyDescent="0.2">
      <c r="A745" s="5">
        <v>684</v>
      </c>
      <c r="B745" s="1832">
        <f>'Expenditures 15-22'!C65</f>
        <v>331909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1549832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6222285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859976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197413</v>
      </c>
      <c r="D775" s="2" t="str">
        <f t="shared" si="11"/>
        <v>Error?</v>
      </c>
    </row>
    <row r="776" spans="1:4" x14ac:dyDescent="0.2">
      <c r="A776" s="5">
        <v>715</v>
      </c>
      <c r="B776" s="1832">
        <f>'Expenditures 15-22'!D14</f>
        <v>35896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1255449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105465</v>
      </c>
      <c r="D780" s="2" t="str">
        <f t="shared" si="11"/>
        <v>Error?</v>
      </c>
    </row>
    <row r="781" spans="1:4" x14ac:dyDescent="0.2">
      <c r="A781" s="5">
        <v>720</v>
      </c>
      <c r="B781" s="1832">
        <f>'Expenditures 15-22'!D38</f>
        <v>351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105816</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11314</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11314</v>
      </c>
      <c r="C789" s="2" t="s">
        <v>569</v>
      </c>
      <c r="D789" s="2" t="str">
        <f t="shared" si="11"/>
        <v>Error?</v>
      </c>
    </row>
    <row r="790" spans="1:4" x14ac:dyDescent="0.2">
      <c r="A790" s="5">
        <v>729</v>
      </c>
      <c r="B790" s="1832">
        <f>'Expenditures 15-22'!D49</f>
        <v>7</v>
      </c>
      <c r="D790" s="2" t="str">
        <f t="shared" si="11"/>
        <v>Error?</v>
      </c>
    </row>
    <row r="791" spans="1:4" x14ac:dyDescent="0.2">
      <c r="A791" s="5">
        <v>730</v>
      </c>
      <c r="B791" s="1832">
        <f>'Expenditures 15-22'!D50</f>
        <v>30384</v>
      </c>
      <c r="D791" s="2" t="str">
        <f t="shared" si="11"/>
        <v>Error?</v>
      </c>
    </row>
    <row r="792" spans="1:4" x14ac:dyDescent="0.2">
      <c r="A792" s="5">
        <v>731</v>
      </c>
      <c r="B792" s="1832">
        <f>'Expenditures 15-22'!D53</f>
        <v>30391</v>
      </c>
      <c r="C792" s="2" t="s">
        <v>569</v>
      </c>
      <c r="D792" s="2" t="str">
        <f t="shared" si="11"/>
        <v>Error?</v>
      </c>
    </row>
    <row r="793" spans="1:4" x14ac:dyDescent="0.2">
      <c r="A793" s="5">
        <v>732</v>
      </c>
      <c r="B793" s="1832">
        <f>'Expenditures 15-22'!D55</f>
        <v>107952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107952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16112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97779</v>
      </c>
      <c r="D800" s="2" t="str">
        <f t="shared" si="11"/>
        <v>Error?</v>
      </c>
    </row>
    <row r="801" spans="1:4" x14ac:dyDescent="0.2">
      <c r="A801" s="5">
        <v>740</v>
      </c>
      <c r="B801" s="1832">
        <f>'Expenditures 15-22'!D64</f>
        <v>13830</v>
      </c>
      <c r="D801" s="2" t="str">
        <f t="shared" si="11"/>
        <v>Error?</v>
      </c>
    </row>
    <row r="802" spans="1:4" x14ac:dyDescent="0.2">
      <c r="A802" s="10">
        <v>741</v>
      </c>
      <c r="B802" s="1832"/>
      <c r="D802" s="2" t="str">
        <f t="shared" si="11"/>
        <v>OK</v>
      </c>
    </row>
    <row r="803" spans="1:4" x14ac:dyDescent="0.2">
      <c r="A803" s="5">
        <v>742</v>
      </c>
      <c r="B803" s="1832">
        <f>'Expenditures 15-22'!D65</f>
        <v>127721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383194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1638643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2729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7733</v>
      </c>
      <c r="D833" s="2" t="str">
        <f t="shared" si="12"/>
        <v>Error?</v>
      </c>
    </row>
    <row r="834" spans="1:4" x14ac:dyDescent="0.2">
      <c r="A834" s="5">
        <v>773</v>
      </c>
      <c r="B834" s="1832">
        <f>'Expenditures 15-22'!E14</f>
        <v>42444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65775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12595</v>
      </c>
      <c r="D838" s="2" t="str">
        <f t="shared" si="12"/>
        <v>Error?</v>
      </c>
    </row>
    <row r="839" spans="1:4" x14ac:dyDescent="0.2">
      <c r="A839" s="5">
        <v>778</v>
      </c>
      <c r="B839" s="1832">
        <f>'Expenditures 15-22'!E38</f>
        <v>23313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35908</v>
      </c>
      <c r="C843" s="2" t="s">
        <v>569</v>
      </c>
      <c r="D843" s="2" t="str">
        <f t="shared" si="12"/>
        <v>Error?</v>
      </c>
    </row>
    <row r="844" spans="1:4" x14ac:dyDescent="0.2">
      <c r="A844" s="5">
        <v>783</v>
      </c>
      <c r="B844" s="1832">
        <f>'Expenditures 15-22'!E44</f>
        <v>26439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26439</v>
      </c>
      <c r="C847" s="2" t="s">
        <v>569</v>
      </c>
      <c r="D847" s="2" t="str">
        <f t="shared" si="12"/>
        <v>Error?</v>
      </c>
    </row>
    <row r="848" spans="1:4" x14ac:dyDescent="0.2">
      <c r="A848" s="5">
        <v>787</v>
      </c>
      <c r="B848" s="1832">
        <f>'Expenditures 15-22'!E49</f>
        <v>28816</v>
      </c>
      <c r="D848" s="2" t="str">
        <f t="shared" si="12"/>
        <v>Error?</v>
      </c>
    </row>
    <row r="849" spans="1:4" x14ac:dyDescent="0.2">
      <c r="A849" s="5">
        <v>788</v>
      </c>
      <c r="B849" s="1832">
        <f>'Expenditures 15-22'!E50</f>
        <v>797</v>
      </c>
      <c r="D849" s="2" t="str">
        <f t="shared" si="12"/>
        <v>Error?</v>
      </c>
    </row>
    <row r="850" spans="1:4" x14ac:dyDescent="0.2">
      <c r="A850" s="5">
        <v>789</v>
      </c>
      <c r="B850" s="1832">
        <f>'Expenditures 15-22'!E53</f>
        <v>29613</v>
      </c>
      <c r="C850" s="2" t="s">
        <v>569</v>
      </c>
      <c r="D850" s="2" t="str">
        <f t="shared" si="12"/>
        <v>Error?</v>
      </c>
    </row>
    <row r="851" spans="1:4" x14ac:dyDescent="0.2">
      <c r="A851" s="5">
        <v>790</v>
      </c>
      <c r="B851" s="1832">
        <f>'Expenditures 15-22'!E55</f>
        <v>1532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1532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40455</v>
      </c>
      <c r="D855" s="2" t="str">
        <f t="shared" si="12"/>
        <v>Error?</v>
      </c>
    </row>
    <row r="856" spans="1:4" x14ac:dyDescent="0.2">
      <c r="A856" s="5">
        <v>795</v>
      </c>
      <c r="B856" s="1832">
        <f>'Expenditures 15-22'!E61</f>
        <v>67424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1433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109312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202804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294790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85902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36604</v>
      </c>
      <c r="D891" s="2" t="str">
        <f t="shared" si="12"/>
        <v>Error?</v>
      </c>
    </row>
    <row r="892" spans="1:4" x14ac:dyDescent="0.2">
      <c r="A892" s="5">
        <v>831</v>
      </c>
      <c r="B892" s="1832">
        <f>'Expenditures 15-22'!F14</f>
        <v>103189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238268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3307</v>
      </c>
      <c r="D896" s="2" t="str">
        <f t="shared" si="13"/>
        <v>Error?</v>
      </c>
    </row>
    <row r="897" spans="1:4" x14ac:dyDescent="0.2">
      <c r="A897" s="5">
        <v>836</v>
      </c>
      <c r="B897" s="1832">
        <f>'Expenditures 15-22'!F38</f>
        <v>1160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65489</v>
      </c>
      <c r="D900" s="2" t="str">
        <f t="shared" si="13"/>
        <v>Error?</v>
      </c>
    </row>
    <row r="901" spans="1:4" x14ac:dyDescent="0.2">
      <c r="A901" s="5">
        <v>840</v>
      </c>
      <c r="B901" s="1832">
        <f>'Expenditures 15-22'!F42</f>
        <v>69956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25109</v>
      </c>
      <c r="D903" s="2" t="str">
        <f t="shared" si="13"/>
        <v>Error?</v>
      </c>
    </row>
    <row r="904" spans="1:4" x14ac:dyDescent="0.2">
      <c r="A904" s="5">
        <v>843</v>
      </c>
      <c r="B904" s="1832">
        <f>'Expenditures 15-22'!F46</f>
        <v>3393</v>
      </c>
      <c r="D904" s="2" t="str">
        <f t="shared" si="13"/>
        <v>Error?</v>
      </c>
    </row>
    <row r="905" spans="1:4" x14ac:dyDescent="0.2">
      <c r="A905" s="5">
        <v>844</v>
      </c>
      <c r="B905" s="1832">
        <f>'Expenditures 15-22'!F47</f>
        <v>28502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6042</v>
      </c>
      <c r="D907" s="2" t="str">
        <f t="shared" si="13"/>
        <v>Error?</v>
      </c>
    </row>
    <row r="908" spans="1:4" x14ac:dyDescent="0.2">
      <c r="A908" s="5">
        <v>847</v>
      </c>
      <c r="B908" s="1832">
        <f>'Expenditures 15-22'!F53</f>
        <v>6042</v>
      </c>
      <c r="C908" s="2" t="s">
        <v>569</v>
      </c>
      <c r="D908" s="2" t="str">
        <f t="shared" si="13"/>
        <v>Error?</v>
      </c>
    </row>
    <row r="909" spans="1:4" x14ac:dyDescent="0.2">
      <c r="A909" s="5">
        <v>848</v>
      </c>
      <c r="B909" s="1832">
        <f>'Expenditures 15-22'!F55</f>
        <v>10823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10823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6822</v>
      </c>
      <c r="D913" s="2" t="str">
        <f t="shared" si="13"/>
        <v>Error?</v>
      </c>
    </row>
    <row r="914" spans="1:4" x14ac:dyDescent="0.2">
      <c r="A914" s="5">
        <v>853</v>
      </c>
      <c r="B914" s="1832">
        <f>'Expenditures 15-22'!F61</f>
        <v>1072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261715</v>
      </c>
      <c r="D916" s="2" t="str">
        <f t="shared" si="13"/>
        <v>Error?</v>
      </c>
    </row>
    <row r="917" spans="1:4" x14ac:dyDescent="0.2">
      <c r="A917" s="5">
        <v>856</v>
      </c>
      <c r="B917" s="1832">
        <f>'Expenditures 15-22'!F64</f>
        <v>1141</v>
      </c>
      <c r="D917" s="2" t="str">
        <f t="shared" si="13"/>
        <v>Error?</v>
      </c>
    </row>
    <row r="918" spans="1:4" x14ac:dyDescent="0.2">
      <c r="A918" s="10">
        <v>857</v>
      </c>
      <c r="B918" s="1832"/>
      <c r="D918" s="2" t="str">
        <f t="shared" si="13"/>
        <v>OK</v>
      </c>
    </row>
    <row r="919" spans="1:4" x14ac:dyDescent="0.2">
      <c r="A919" s="5">
        <v>858</v>
      </c>
      <c r="B919" s="1832">
        <f>'Expenditures 15-22'!F65</f>
        <v>270750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386073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624341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110590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696</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111286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2626</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2626</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265</v>
      </c>
      <c r="D965" s="2" t="str">
        <f t="shared" si="14"/>
        <v>Error?</v>
      </c>
    </row>
    <row r="966" spans="1:4" x14ac:dyDescent="0.2">
      <c r="A966" s="5">
        <v>905</v>
      </c>
      <c r="B966" s="1832">
        <f>'Expenditures 15-22'!G53</f>
        <v>265</v>
      </c>
      <c r="C966" s="2" t="s">
        <v>569</v>
      </c>
      <c r="D966" s="2" t="str">
        <f t="shared" si="14"/>
        <v>Error?</v>
      </c>
    </row>
    <row r="967" spans="1:4" x14ac:dyDescent="0.2">
      <c r="A967" s="5">
        <v>906</v>
      </c>
      <c r="B967" s="1832">
        <f>'Expenditures 15-22'!G55</f>
        <v>775</v>
      </c>
      <c r="D967" s="2" t="str">
        <f t="shared" si="14"/>
        <v>Error?</v>
      </c>
    </row>
    <row r="968" spans="1:4" x14ac:dyDescent="0.2">
      <c r="A968" s="5">
        <v>907</v>
      </c>
      <c r="B968" s="1832">
        <f>'Expenditures 15-22'!G56</f>
        <v>3260</v>
      </c>
      <c r="D968" s="2" t="str">
        <f t="shared" si="14"/>
        <v>Error?</v>
      </c>
    </row>
    <row r="969" spans="1:4" x14ac:dyDescent="0.2">
      <c r="A969" s="5">
        <v>908</v>
      </c>
      <c r="B969" s="1832">
        <f>'Expenditures 15-22'!G57</f>
        <v>4035</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2031</v>
      </c>
      <c r="D975" s="2" t="str">
        <f t="shared" si="14"/>
        <v>Error?</v>
      </c>
    </row>
    <row r="976" spans="1:4" x14ac:dyDescent="0.2">
      <c r="A976" s="10">
        <v>915</v>
      </c>
      <c r="B976" s="1832"/>
      <c r="D976" s="2" t="str">
        <f t="shared" si="14"/>
        <v>OK</v>
      </c>
    </row>
    <row r="977" spans="1:4" x14ac:dyDescent="0.2">
      <c r="A977" s="5">
        <v>916</v>
      </c>
      <c r="B977" s="1832">
        <f>'Expenditures 15-22'!G65</f>
        <v>2031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8957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120243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16147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720484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176</v>
      </c>
      <c r="D1020" s="2" t="str">
        <f t="shared" si="14"/>
        <v>Error?</v>
      </c>
    </row>
    <row r="1021" spans="1:4" x14ac:dyDescent="0.2">
      <c r="A1021" s="5">
        <v>960</v>
      </c>
      <c r="B1021" s="1832">
        <f>'Expenditures 15-22'!H47</f>
        <v>176</v>
      </c>
      <c r="C1021" s="2" t="s">
        <v>569</v>
      </c>
      <c r="D1021" s="2" t="str">
        <f t="shared" si="14"/>
        <v>Error?</v>
      </c>
    </row>
    <row r="1022" spans="1:4" x14ac:dyDescent="0.2">
      <c r="A1022" s="5">
        <v>961</v>
      </c>
      <c r="B1022" s="1832">
        <f>'Expenditures 15-22'!H49</f>
        <v>22791</v>
      </c>
      <c r="D1022" s="2" t="str">
        <f t="shared" si="14"/>
        <v>Error?</v>
      </c>
    </row>
    <row r="1023" spans="1:4" x14ac:dyDescent="0.2">
      <c r="A1023" s="5">
        <v>962</v>
      </c>
      <c r="B1023" s="1832">
        <f>'Expenditures 15-22'!H50</f>
        <v>3698</v>
      </c>
      <c r="D1023" s="2" t="str">
        <f t="shared" ref="D1023:D1086" si="15">IF(ISBLANK(B1023),"OK",IF(A1023-B1023=0,"OK","Error?"))</f>
        <v>Error?</v>
      </c>
    </row>
    <row r="1024" spans="1:4" x14ac:dyDescent="0.2">
      <c r="A1024" s="5">
        <v>963</v>
      </c>
      <c r="B1024" s="1832">
        <f>'Expenditures 15-22'!H53</f>
        <v>26489</v>
      </c>
      <c r="C1024" s="2" t="s">
        <v>569</v>
      </c>
      <c r="D1024" s="2" t="str">
        <f t="shared" si="15"/>
        <v>Error?</v>
      </c>
    </row>
    <row r="1025" spans="1:4" x14ac:dyDescent="0.2">
      <c r="A1025" s="5">
        <v>964</v>
      </c>
      <c r="B1025" s="1832">
        <f>'Expenditures 15-22'!H55</f>
        <v>2151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2151</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23387</v>
      </c>
      <c r="D1032" s="2" t="str">
        <f t="shared" si="15"/>
        <v>Error?</v>
      </c>
    </row>
    <row r="1033" spans="1:4" x14ac:dyDescent="0.2">
      <c r="A1033" s="5">
        <v>972</v>
      </c>
      <c r="B1033" s="1832">
        <f>'Expenditures 15-22'!H64</f>
        <v>12734</v>
      </c>
      <c r="D1033" s="2" t="str">
        <f t="shared" si="15"/>
        <v>Error?</v>
      </c>
    </row>
    <row r="1034" spans="1:4" x14ac:dyDescent="0.2">
      <c r="A1034" s="10">
        <v>973</v>
      </c>
      <c r="B1034" s="1832"/>
      <c r="D1034" s="2" t="str">
        <f t="shared" si="15"/>
        <v>OK</v>
      </c>
    </row>
    <row r="1035" spans="1:4" x14ac:dyDescent="0.2">
      <c r="A1035" s="5">
        <v>974</v>
      </c>
      <c r="B1035" s="1832">
        <f>'Expenditures 15-22'!H65</f>
        <v>36121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64937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709976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1495397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4038531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870890</v>
      </c>
      <c r="C1105" s="2" t="s">
        <v>569</v>
      </c>
      <c r="D1105" s="2" t="str">
        <f t="shared" si="16"/>
        <v>Error?</v>
      </c>
    </row>
    <row r="1106" spans="1:4" x14ac:dyDescent="0.2">
      <c r="A1106" s="5">
        <v>1045</v>
      </c>
      <c r="B1106" s="1832">
        <f>'Expenditures 15-22'!K14</f>
        <v>607879</v>
      </c>
      <c r="C1106" s="2" t="s">
        <v>569</v>
      </c>
      <c r="D1106" s="2" t="str">
        <f t="shared" si="16"/>
        <v>Error?</v>
      </c>
    </row>
    <row r="1107" spans="1:4" x14ac:dyDescent="0.2">
      <c r="A1107" s="5">
        <v>1046</v>
      </c>
      <c r="B1107" s="1832">
        <f>'Expenditures 15-22'!K15</f>
        <v>1800</v>
      </c>
      <c r="C1107" s="2" t="s">
        <v>569</v>
      </c>
      <c r="D1107" s="2" t="str">
        <f t="shared" si="16"/>
        <v>Error?</v>
      </c>
    </row>
    <row r="1108" spans="1:4" x14ac:dyDescent="0.2">
      <c r="A1108" s="5">
        <v>1047</v>
      </c>
      <c r="B1108" s="1832">
        <f>'Expenditures 15-22'!K33</f>
        <v>7063715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603186</v>
      </c>
      <c r="C1110" s="2" t="s">
        <v>569</v>
      </c>
      <c r="D1110" s="2" t="str">
        <f t="shared" si="16"/>
        <v>Error?</v>
      </c>
    </row>
    <row r="1111" spans="1:4" x14ac:dyDescent="0.2">
      <c r="A1111" s="5">
        <v>1050</v>
      </c>
      <c r="B1111" s="1832">
        <f>'Expenditures 15-22'!K38</f>
        <v>54778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99239</v>
      </c>
      <c r="C1114" s="2" t="s">
        <v>569</v>
      </c>
      <c r="D1114" s="2" t="str">
        <f t="shared" si="16"/>
        <v>Error?</v>
      </c>
    </row>
    <row r="1115" spans="1:4" x14ac:dyDescent="0.2">
      <c r="A1115" s="5">
        <v>1054</v>
      </c>
      <c r="B1115" s="1832">
        <f>'Expenditures 15-22'!K42</f>
        <v>757203</v>
      </c>
      <c r="C1115" s="2" t="s">
        <v>569</v>
      </c>
      <c r="D1115" s="2" t="str">
        <f t="shared" si="16"/>
        <v>Error?</v>
      </c>
    </row>
    <row r="1116" spans="1:4" x14ac:dyDescent="0.2">
      <c r="A1116" s="5">
        <v>1055</v>
      </c>
      <c r="B1116" s="1832">
        <f>'Expenditures 15-22'!K44</f>
        <v>26439</v>
      </c>
      <c r="C1116" s="2" t="s">
        <v>569</v>
      </c>
      <c r="D1116" s="2" t="str">
        <f t="shared" si="16"/>
        <v>Error?</v>
      </c>
    </row>
    <row r="1117" spans="1:4" x14ac:dyDescent="0.2">
      <c r="A1117" s="5">
        <v>1056</v>
      </c>
      <c r="B1117" s="1832">
        <f>'Expenditures 15-22'!K45</f>
        <v>148068</v>
      </c>
      <c r="C1117" s="2" t="s">
        <v>569</v>
      </c>
      <c r="D1117" s="2" t="str">
        <f t="shared" si="16"/>
        <v>Error?</v>
      </c>
    </row>
    <row r="1118" spans="1:4" x14ac:dyDescent="0.2">
      <c r="A1118" s="5">
        <v>1057</v>
      </c>
      <c r="B1118" s="1832">
        <f>'Expenditures 15-22'!K46</f>
        <v>3569</v>
      </c>
      <c r="C1118" s="2" t="s">
        <v>569</v>
      </c>
      <c r="D1118" s="2" t="str">
        <f t="shared" si="16"/>
        <v>Error?</v>
      </c>
    </row>
    <row r="1119" spans="1:4" x14ac:dyDescent="0.2">
      <c r="A1119" s="5">
        <v>1058</v>
      </c>
      <c r="B1119" s="1832">
        <f>'Expenditures 15-22'!K47</f>
        <v>178076</v>
      </c>
      <c r="C1119" s="2" t="s">
        <v>569</v>
      </c>
      <c r="D1119" s="2" t="str">
        <f t="shared" si="16"/>
        <v>Error?</v>
      </c>
    </row>
    <row r="1120" spans="1:4" x14ac:dyDescent="0.2">
      <c r="A1120" s="5">
        <v>1059</v>
      </c>
      <c r="B1120" s="1832">
        <f>'Expenditures 15-22'!K49</f>
        <v>53392</v>
      </c>
      <c r="C1120" s="2" t="s">
        <v>569</v>
      </c>
      <c r="D1120" s="2" t="str">
        <f t="shared" si="16"/>
        <v>Error?</v>
      </c>
    </row>
    <row r="1121" spans="1:4" x14ac:dyDescent="0.2">
      <c r="A1121" s="5">
        <v>1060</v>
      </c>
      <c r="B1121" s="1832">
        <f>'Expenditures 15-22'!K50</f>
        <v>220700</v>
      </c>
      <c r="C1121" s="2" t="s">
        <v>569</v>
      </c>
      <c r="D1121" s="2" t="str">
        <f t="shared" si="16"/>
        <v>Error?</v>
      </c>
    </row>
    <row r="1122" spans="1:4" x14ac:dyDescent="0.2">
      <c r="A1122" s="5">
        <v>1061</v>
      </c>
      <c r="B1122" s="1832">
        <f>'Expenditures 15-22'!K53</f>
        <v>274092</v>
      </c>
      <c r="C1122" s="2" t="s">
        <v>569</v>
      </c>
      <c r="D1122" s="2" t="str">
        <f t="shared" si="16"/>
        <v>Error?</v>
      </c>
    </row>
    <row r="1123" spans="1:4" x14ac:dyDescent="0.2">
      <c r="A1123" s="5">
        <v>1062</v>
      </c>
      <c r="B1123" s="1832">
        <f>'Expenditures 15-22'!K55</f>
        <v>505322</v>
      </c>
      <c r="C1123" s="2" t="s">
        <v>569</v>
      </c>
      <c r="D1123" s="2" t="str">
        <f t="shared" si="16"/>
        <v>Error?</v>
      </c>
    </row>
    <row r="1124" spans="1:4" x14ac:dyDescent="0.2">
      <c r="A1124" s="5">
        <v>1063</v>
      </c>
      <c r="B1124" s="1832">
        <f>'Expenditures 15-22'!K56</f>
        <v>3260</v>
      </c>
      <c r="C1124" s="2" t="s">
        <v>569</v>
      </c>
      <c r="D1124" s="2" t="str">
        <f t="shared" si="16"/>
        <v>Error?</v>
      </c>
    </row>
    <row r="1125" spans="1:4" x14ac:dyDescent="0.2">
      <c r="A1125" s="5">
        <v>1064</v>
      </c>
      <c r="B1125" s="1832">
        <f>'Expenditures 15-22'!K57</f>
        <v>508582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125623</v>
      </c>
      <c r="C1127" s="2" t="s">
        <v>569</v>
      </c>
      <c r="D1127" s="2" t="str">
        <f t="shared" si="16"/>
        <v>Error?</v>
      </c>
    </row>
    <row r="1128" spans="1:4" x14ac:dyDescent="0.2">
      <c r="A1128" s="5">
        <v>1067</v>
      </c>
      <c r="B1128" s="1832">
        <f>'Expenditures 15-22'!K61</f>
        <v>68496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566001</v>
      </c>
      <c r="C1130" s="2" t="s">
        <v>569</v>
      </c>
      <c r="D1130" s="2" t="str">
        <f t="shared" si="16"/>
        <v>Error?</v>
      </c>
    </row>
    <row r="1131" spans="1:4" x14ac:dyDescent="0.2">
      <c r="A1131" s="5">
        <v>1070</v>
      </c>
      <c r="B1131" s="1832">
        <f>'Expenditures 15-22'!K64</f>
        <v>117724</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877844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2595797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736187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10395699</v>
      </c>
      <c r="C1152" s="2" t="s">
        <v>569</v>
      </c>
      <c r="D1152" s="2" t="str">
        <f t="shared" si="17"/>
        <v>Error?</v>
      </c>
    </row>
    <row r="1153" spans="1:4" x14ac:dyDescent="0.2">
      <c r="A1153" s="5">
        <v>1092</v>
      </c>
      <c r="B1153" s="1832">
        <f>'Expenditures 15-22'!K115</f>
        <v>300121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500829</v>
      </c>
      <c r="D1221" s="2" t="str">
        <f t="shared" si="18"/>
        <v>Error?</v>
      </c>
    </row>
    <row r="1222" spans="1:4" x14ac:dyDescent="0.2">
      <c r="A1222" s="10">
        <v>1161</v>
      </c>
      <c r="B1222" s="1832"/>
      <c r="D1222" s="2" t="str">
        <f t="shared" si="18"/>
        <v>OK</v>
      </c>
    </row>
    <row r="1223" spans="1:4" x14ac:dyDescent="0.2">
      <c r="A1223" s="5">
        <v>1162</v>
      </c>
      <c r="B1223" s="1832">
        <f>'Expenditures 15-22'!C127</f>
        <v>500829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500829</v>
      </c>
      <c r="C1225" s="2" t="s">
        <v>569</v>
      </c>
      <c r="D1225" s="2" t="str">
        <f t="shared" si="18"/>
        <v>Error?</v>
      </c>
    </row>
    <row r="1226" spans="1:4" x14ac:dyDescent="0.2">
      <c r="A1226" s="5">
        <v>1165</v>
      </c>
      <c r="B1226" s="1832">
        <f>'Expenditures 15-22'!C151</f>
        <v>500829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140598</v>
      </c>
      <c r="D1229" s="2" t="str">
        <f t="shared" si="18"/>
        <v>Error?</v>
      </c>
    </row>
    <row r="1230" spans="1:4" x14ac:dyDescent="0.2">
      <c r="A1230" s="10">
        <v>1169</v>
      </c>
      <c r="B1230" s="1832"/>
      <c r="D1230" s="2" t="str">
        <f t="shared" si="18"/>
        <v>OK</v>
      </c>
    </row>
    <row r="1231" spans="1:4" x14ac:dyDescent="0.2">
      <c r="A1231" s="5">
        <v>1170</v>
      </c>
      <c r="B1231" s="1832">
        <f>'Expenditures 15-22'!D127</f>
        <v>140598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140598</v>
      </c>
      <c r="C1233" s="2" t="s">
        <v>569</v>
      </c>
      <c r="D1233" s="2" t="str">
        <f t="shared" si="18"/>
        <v>Error?</v>
      </c>
    </row>
    <row r="1234" spans="1:4" x14ac:dyDescent="0.2">
      <c r="A1234" s="5">
        <v>1173</v>
      </c>
      <c r="B1234" s="1832">
        <f>'Expenditures 15-22'!D151</f>
        <v>140598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167941</v>
      </c>
      <c r="D1237" s="2" t="str">
        <f t="shared" si="18"/>
        <v>Error?</v>
      </c>
    </row>
    <row r="1238" spans="1:4" x14ac:dyDescent="0.2">
      <c r="A1238" s="10">
        <v>1177</v>
      </c>
      <c r="B1238" s="1832"/>
      <c r="D1238" s="2" t="str">
        <f t="shared" si="18"/>
        <v>OK</v>
      </c>
    </row>
    <row r="1239" spans="1:4" x14ac:dyDescent="0.2">
      <c r="A1239" s="5">
        <v>1178</v>
      </c>
      <c r="B1239" s="1832">
        <f>'Expenditures 15-22'!E127</f>
        <v>167941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167941</v>
      </c>
      <c r="C1241" s="2" t="s">
        <v>569</v>
      </c>
      <c r="D1241" s="2" t="str">
        <f t="shared" si="18"/>
        <v>Error?</v>
      </c>
    </row>
    <row r="1242" spans="1:4" x14ac:dyDescent="0.2">
      <c r="A1242" s="5">
        <v>1181</v>
      </c>
      <c r="B1242" s="1832">
        <f>'Expenditures 15-22'!E151</f>
        <v>167941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428336</v>
      </c>
      <c r="D1245" s="2" t="str">
        <f t="shared" si="18"/>
        <v>Error?</v>
      </c>
    </row>
    <row r="1246" spans="1:4" x14ac:dyDescent="0.2">
      <c r="A1246" s="10">
        <v>1185</v>
      </c>
      <c r="B1246" s="1832"/>
      <c r="D1246" s="2" t="str">
        <f t="shared" si="18"/>
        <v>OK</v>
      </c>
    </row>
    <row r="1247" spans="1:4" x14ac:dyDescent="0.2">
      <c r="A1247" s="5">
        <v>1186</v>
      </c>
      <c r="B1247" s="1832">
        <f>'Expenditures 15-22'!F127</f>
        <v>428336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428336</v>
      </c>
      <c r="C1249" s="2" t="s">
        <v>569</v>
      </c>
      <c r="D1249" s="2" t="str">
        <f t="shared" si="18"/>
        <v>Error?</v>
      </c>
    </row>
    <row r="1250" spans="1:4" x14ac:dyDescent="0.2">
      <c r="A1250" s="5">
        <v>1189</v>
      </c>
      <c r="B1250" s="1832">
        <f>'Expenditures 15-22'!F151</f>
        <v>428336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294514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294514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294514</v>
      </c>
      <c r="C1258" s="2" t="s">
        <v>569</v>
      </c>
      <c r="D1258" s="2" t="str">
        <f t="shared" si="18"/>
        <v>Error?</v>
      </c>
    </row>
    <row r="1259" spans="1:4" x14ac:dyDescent="0.2">
      <c r="A1259" s="5">
        <v>1198</v>
      </c>
      <c r="B1259" s="1832">
        <f>'Expenditures 15-22'!G151</f>
        <v>294514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1532218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1532218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1532218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1532218</v>
      </c>
      <c r="C1288" s="2" t="s">
        <v>569</v>
      </c>
      <c r="D1288" s="2" t="str">
        <f t="shared" si="19"/>
        <v>Error?</v>
      </c>
    </row>
    <row r="1289" spans="1:4" x14ac:dyDescent="0.2">
      <c r="A1289" s="5">
        <v>1228</v>
      </c>
      <c r="B1289" s="1832">
        <f>'Expenditures 15-22'!K152</f>
        <v>289285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160025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425000</v>
      </c>
      <c r="D1315" s="2" t="str">
        <f t="shared" si="19"/>
        <v>Error?</v>
      </c>
    </row>
    <row r="1316" spans="1:4" x14ac:dyDescent="0.2">
      <c r="A1316" s="5">
        <v>1255</v>
      </c>
      <c r="B1316" s="1832">
        <f>'Expenditures 15-22'!H171</f>
        <v>400</v>
      </c>
      <c r="D1316" s="2" t="str">
        <f t="shared" si="19"/>
        <v>Error?</v>
      </c>
    </row>
    <row r="1317" spans="1:4" x14ac:dyDescent="0.2">
      <c r="A1317" s="5">
        <v>1256</v>
      </c>
      <c r="B1317" s="1832">
        <f>'Expenditures 15-22'!H172</f>
        <v>585425</v>
      </c>
      <c r="C1317" s="2" t="s">
        <v>569</v>
      </c>
      <c r="D1317" s="2" t="str">
        <f t="shared" si="19"/>
        <v>Error?</v>
      </c>
    </row>
    <row r="1318" spans="1:4" x14ac:dyDescent="0.2">
      <c r="A1318" s="5">
        <v>1257</v>
      </c>
      <c r="B1318" s="1832">
        <f>'Expenditures 15-22'!H174</f>
        <v>585425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160025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425000</v>
      </c>
      <c r="C1329" s="2" t="s">
        <v>569</v>
      </c>
      <c r="D1329" s="2" t="str">
        <f t="shared" si="19"/>
        <v>Error?</v>
      </c>
    </row>
    <row r="1330" spans="1:4" x14ac:dyDescent="0.2">
      <c r="A1330" s="5">
        <v>1269</v>
      </c>
      <c r="B1330" s="1832">
        <f>'Expenditures 15-22'!K171</f>
        <v>400</v>
      </c>
      <c r="C1330" s="2" t="s">
        <v>569</v>
      </c>
      <c r="D1330" s="2" t="str">
        <f t="shared" si="19"/>
        <v>Error?</v>
      </c>
    </row>
    <row r="1331" spans="1:4" x14ac:dyDescent="0.2">
      <c r="A1331" s="5">
        <v>1270</v>
      </c>
      <c r="B1331" s="1832">
        <f>'Expenditures 15-22'!K172</f>
        <v>585425</v>
      </c>
      <c r="C1331" s="2" t="s">
        <v>569</v>
      </c>
      <c r="D1331" s="2" t="str">
        <f t="shared" si="19"/>
        <v>Error?</v>
      </c>
    </row>
    <row r="1332" spans="1:4" x14ac:dyDescent="0.2">
      <c r="A1332" s="5">
        <v>1271</v>
      </c>
      <c r="B1332" s="1832">
        <f>'Expenditures 15-22'!K174</f>
        <v>585425</v>
      </c>
      <c r="C1332" s="2" t="s">
        <v>569</v>
      </c>
      <c r="D1332" s="2" t="str">
        <f t="shared" si="19"/>
        <v>Error?</v>
      </c>
    </row>
    <row r="1333" spans="1:4" x14ac:dyDescent="0.2">
      <c r="A1333" s="5">
        <v>1272</v>
      </c>
      <c r="B1333" s="1832">
        <f>'Expenditures 15-22'!K175</f>
        <v>-623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407899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407899</v>
      </c>
      <c r="C1339" s="2" t="s">
        <v>569</v>
      </c>
      <c r="D1339" s="2" t="str">
        <f t="shared" si="19"/>
        <v>Error?</v>
      </c>
    </row>
    <row r="1340" spans="1:4" x14ac:dyDescent="0.2">
      <c r="A1340" s="5">
        <v>1279</v>
      </c>
      <c r="B1340" s="1832">
        <f>'Expenditures 15-22'!C210</f>
        <v>407899</v>
      </c>
      <c r="C1340" s="2" t="s">
        <v>569</v>
      </c>
      <c r="D1340" s="2" t="str">
        <f t="shared" si="19"/>
        <v>Error?</v>
      </c>
    </row>
    <row r="1341" spans="1:4" x14ac:dyDescent="0.2">
      <c r="A1341" s="5">
        <v>1280</v>
      </c>
      <c r="B1341" s="1832">
        <f>'Expenditures 15-22'!D182</f>
        <v>15914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15914</v>
      </c>
      <c r="C1345" s="2" t="s">
        <v>569</v>
      </c>
      <c r="D1345" s="2" t="str">
        <f t="shared" si="20"/>
        <v>Error?</v>
      </c>
    </row>
    <row r="1346" spans="1:4" x14ac:dyDescent="0.2">
      <c r="A1346" s="5">
        <v>1285</v>
      </c>
      <c r="B1346" s="1832">
        <f>'Expenditures 15-22'!D210</f>
        <v>15914</v>
      </c>
      <c r="C1346" s="2" t="s">
        <v>569</v>
      </c>
      <c r="D1346" s="2" t="str">
        <f t="shared" si="20"/>
        <v>Error?</v>
      </c>
    </row>
    <row r="1347" spans="1:4" x14ac:dyDescent="0.2">
      <c r="A1347" s="5">
        <v>1286</v>
      </c>
      <c r="B1347" s="1832">
        <f>'Expenditures 15-22'!E182</f>
        <v>31849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31849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31849</v>
      </c>
      <c r="C1353" s="2" t="s">
        <v>569</v>
      </c>
      <c r="D1353" s="2" t="str">
        <f t="shared" si="20"/>
        <v>Error?</v>
      </c>
    </row>
    <row r="1354" spans="1:4" x14ac:dyDescent="0.2">
      <c r="A1354" s="5">
        <v>1293</v>
      </c>
      <c r="B1354" s="1832">
        <f>'Expenditures 15-22'!F182</f>
        <v>88933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88933</v>
      </c>
      <c r="C1358" s="2" t="s">
        <v>569</v>
      </c>
      <c r="D1358" s="2" t="str">
        <f t="shared" si="20"/>
        <v>Error?</v>
      </c>
    </row>
    <row r="1359" spans="1:4" x14ac:dyDescent="0.2">
      <c r="A1359" s="5">
        <v>1298</v>
      </c>
      <c r="B1359" s="1832">
        <f>'Expenditures 15-22'!F210</f>
        <v>88933</v>
      </c>
      <c r="C1359" s="2" t="s">
        <v>569</v>
      </c>
      <c r="D1359" s="2" t="str">
        <f t="shared" si="20"/>
        <v>Error?</v>
      </c>
    </row>
    <row r="1360" spans="1:4" x14ac:dyDescent="0.2">
      <c r="A1360" s="5">
        <v>1299</v>
      </c>
      <c r="B1360" s="1832">
        <f>'Expenditures 15-22'!G182</f>
        <v>102400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102400</v>
      </c>
      <c r="C1364" s="2" t="s">
        <v>569</v>
      </c>
      <c r="D1364" s="2" t="str">
        <f t="shared" si="20"/>
        <v>Error?</v>
      </c>
    </row>
    <row r="1365" spans="1:4" x14ac:dyDescent="0.2">
      <c r="A1365" s="5">
        <v>1304</v>
      </c>
      <c r="B1365" s="1832">
        <f>'Expenditures 15-22'!G210</f>
        <v>102400</v>
      </c>
      <c r="C1365" s="2" t="s">
        <v>569</v>
      </c>
      <c r="D1365" s="2" t="str">
        <f t="shared" si="20"/>
        <v>Error?</v>
      </c>
    </row>
    <row r="1366" spans="1:4" x14ac:dyDescent="0.2">
      <c r="A1366" s="5">
        <v>1305</v>
      </c>
      <c r="B1366" s="1832">
        <f>'Expenditures 15-22'!H182</f>
        <v>2143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2143</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2143</v>
      </c>
      <c r="C1376" s="2" t="s">
        <v>569</v>
      </c>
      <c r="D1376" s="2" t="str">
        <f t="shared" si="20"/>
        <v>Error?</v>
      </c>
    </row>
    <row r="1377" spans="1:4" x14ac:dyDescent="0.2">
      <c r="A1377" s="5">
        <v>1316</v>
      </c>
      <c r="B1377" s="1832">
        <f>'Expenditures 15-22'!K182</f>
        <v>649138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649138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649138</v>
      </c>
      <c r="C1388" s="2" t="s">
        <v>569</v>
      </c>
      <c r="D1388" s="2" t="str">
        <f t="shared" si="20"/>
        <v>Error?</v>
      </c>
    </row>
    <row r="1389" spans="1:4" x14ac:dyDescent="0.2">
      <c r="A1389" s="5">
        <v>1328</v>
      </c>
      <c r="B1389" s="1832">
        <f>'Expenditures 15-22'!K211</f>
        <v>117992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8824</v>
      </c>
      <c r="D1407" s="2" t="str">
        <f t="shared" ref="D1407:D1470" si="21">IF(ISBLANK(B1407),"OK",IF(A1407-B1407=0,"OK","Error?"))</f>
        <v>Error?</v>
      </c>
    </row>
    <row r="1408" spans="1:4" x14ac:dyDescent="0.2">
      <c r="A1408" s="5">
        <v>1347</v>
      </c>
      <c r="B1408" s="1832">
        <f>'Expenditures 15-22'!D223</f>
        <v>15663</v>
      </c>
      <c r="D1408" s="2" t="str">
        <f t="shared" si="21"/>
        <v>Error?</v>
      </c>
    </row>
    <row r="1409" spans="1:4" x14ac:dyDescent="0.2">
      <c r="A1409" s="5">
        <v>1348</v>
      </c>
      <c r="B1409" s="1832">
        <f>'Expenditures 15-22'!D224</f>
        <v>26</v>
      </c>
      <c r="D1409" s="2" t="str">
        <f t="shared" si="21"/>
        <v>Error?</v>
      </c>
    </row>
    <row r="1410" spans="1:4" x14ac:dyDescent="0.2">
      <c r="A1410" s="5">
        <v>1349</v>
      </c>
      <c r="B1410" s="1832">
        <f>'Expenditures 15-22'!D229</f>
        <v>96127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15098</v>
      </c>
      <c r="D1412" s="2" t="str">
        <f t="shared" si="21"/>
        <v>Error?</v>
      </c>
    </row>
    <row r="1413" spans="1:4" x14ac:dyDescent="0.2">
      <c r="A1413" s="5">
        <v>1352</v>
      </c>
      <c r="B1413" s="1832">
        <f>'Expenditures 15-22'!D234</f>
        <v>4411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19509</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5305</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5305</v>
      </c>
      <c r="C1421" s="2" t="s">
        <v>569</v>
      </c>
      <c r="D1421" s="2" t="str">
        <f t="shared" si="21"/>
        <v>Error?</v>
      </c>
    </row>
    <row r="1422" spans="1:4" x14ac:dyDescent="0.2">
      <c r="A1422" s="5">
        <v>1361</v>
      </c>
      <c r="B1422" s="1832">
        <f>'Expenditures 15-22'!D245</f>
        <v>74</v>
      </c>
      <c r="D1422" s="2" t="str">
        <f t="shared" si="21"/>
        <v>Error?</v>
      </c>
    </row>
    <row r="1423" spans="1:4" x14ac:dyDescent="0.2">
      <c r="A1423" s="5">
        <v>1362</v>
      </c>
      <c r="B1423" s="1832">
        <f>'Expenditures 15-22'!D246</f>
        <v>8538</v>
      </c>
      <c r="D1423" s="2" t="str">
        <f t="shared" si="21"/>
        <v>Error?</v>
      </c>
    </row>
    <row r="1424" spans="1:4" x14ac:dyDescent="0.2">
      <c r="A1424" s="5">
        <v>1363</v>
      </c>
      <c r="B1424" s="1832">
        <f>'Expenditures 15-22'!D257</f>
        <v>8612</v>
      </c>
      <c r="C1424" s="2" t="s">
        <v>569</v>
      </c>
      <c r="D1424" s="2" t="str">
        <f t="shared" si="21"/>
        <v>Error?</v>
      </c>
    </row>
    <row r="1425" spans="1:4" x14ac:dyDescent="0.2">
      <c r="A1425" s="5">
        <v>1364</v>
      </c>
      <c r="B1425" s="1832">
        <f>'Expenditures 15-22'!D259</f>
        <v>15695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15695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9647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72555</v>
      </c>
      <c r="D1431" s="2" t="str">
        <f t="shared" si="21"/>
        <v>Error?</v>
      </c>
    </row>
    <row r="1432" spans="1:4" x14ac:dyDescent="0.2">
      <c r="A1432" s="5">
        <v>1371</v>
      </c>
      <c r="B1432" s="1832">
        <f>'Expenditures 15-22'!D267</f>
        <v>46244</v>
      </c>
      <c r="D1432" s="2" t="str">
        <f t="shared" si="21"/>
        <v>Error?</v>
      </c>
    </row>
    <row r="1433" spans="1:4" x14ac:dyDescent="0.2">
      <c r="A1433" s="5">
        <v>1372</v>
      </c>
      <c r="B1433" s="1832">
        <f>'Expenditures 15-22'!D268</f>
        <v>26576</v>
      </c>
      <c r="D1433" s="2" t="str">
        <f t="shared" si="21"/>
        <v>Error?</v>
      </c>
    </row>
    <row r="1434" spans="1:4" x14ac:dyDescent="0.2">
      <c r="A1434" s="5">
        <v>1373</v>
      </c>
      <c r="B1434" s="1832">
        <f>'Expenditures 15-22'!D269</f>
        <v>13699</v>
      </c>
      <c r="D1434" s="2" t="str">
        <f t="shared" si="21"/>
        <v>Error?</v>
      </c>
    </row>
    <row r="1435" spans="1:4" x14ac:dyDescent="0.2">
      <c r="A1435" s="10">
        <v>1374</v>
      </c>
      <c r="B1435" s="1832"/>
      <c r="D1435" s="2" t="str">
        <f t="shared" si="21"/>
        <v>OK</v>
      </c>
    </row>
    <row r="1436" spans="1:4" x14ac:dyDescent="0.2">
      <c r="A1436" s="5">
        <v>1375</v>
      </c>
      <c r="B1436" s="1832">
        <f>'Expenditures 15-22'!D270</f>
        <v>168721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217842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313969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8824</v>
      </c>
      <c r="C1471" s="2" t="s">
        <v>569</v>
      </c>
      <c r="D1471" s="2" t="str">
        <f t="shared" ref="D1471:D1534" si="22">IF(ISBLANK(B1471),"OK",IF(A1471-B1471=0,"OK","Error?"))</f>
        <v>Error?</v>
      </c>
    </row>
    <row r="1472" spans="1:4" x14ac:dyDescent="0.2">
      <c r="A1472" s="5">
        <v>1411</v>
      </c>
      <c r="B1472" s="1832">
        <f>'Expenditures 15-22'!K223</f>
        <v>15663</v>
      </c>
      <c r="C1472" s="2" t="s">
        <v>569</v>
      </c>
      <c r="D1472" s="2" t="str">
        <f t="shared" si="22"/>
        <v>Error?</v>
      </c>
    </row>
    <row r="1473" spans="1:4" x14ac:dyDescent="0.2">
      <c r="A1473" s="5">
        <v>1412</v>
      </c>
      <c r="B1473" s="1832">
        <f>'Expenditures 15-22'!K224</f>
        <v>26</v>
      </c>
      <c r="C1473" s="2" t="s">
        <v>569</v>
      </c>
      <c r="D1473" s="2" t="str">
        <f t="shared" si="22"/>
        <v>Error?</v>
      </c>
    </row>
    <row r="1474" spans="1:4" x14ac:dyDescent="0.2">
      <c r="A1474" s="5">
        <v>1413</v>
      </c>
      <c r="B1474" s="1832">
        <f>'Expenditures 15-22'!K229</f>
        <v>96127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15098</v>
      </c>
      <c r="C1476" s="2" t="s">
        <v>569</v>
      </c>
      <c r="D1476" s="2" t="str">
        <f t="shared" si="22"/>
        <v>Error?</v>
      </c>
    </row>
    <row r="1477" spans="1:4" x14ac:dyDescent="0.2">
      <c r="A1477" s="5">
        <v>1416</v>
      </c>
      <c r="B1477" s="1832">
        <f>'Expenditures 15-22'!K234</f>
        <v>4411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19509</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5305</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5305</v>
      </c>
      <c r="C1485" s="2" t="s">
        <v>569</v>
      </c>
      <c r="D1485" s="2" t="str">
        <f t="shared" si="22"/>
        <v>Error?</v>
      </c>
    </row>
    <row r="1486" spans="1:4" x14ac:dyDescent="0.2">
      <c r="A1486" s="5">
        <v>1425</v>
      </c>
      <c r="B1486" s="1832">
        <f>'Expenditures 15-22'!K245</f>
        <v>74</v>
      </c>
      <c r="C1486" s="2" t="s">
        <v>569</v>
      </c>
      <c r="D1486" s="2" t="str">
        <f t="shared" si="22"/>
        <v>Error?</v>
      </c>
    </row>
    <row r="1487" spans="1:4" x14ac:dyDescent="0.2">
      <c r="A1487" s="5">
        <v>1426</v>
      </c>
      <c r="B1487" s="1832">
        <f>'Expenditures 15-22'!K246</f>
        <v>8538</v>
      </c>
      <c r="C1487" s="2" t="s">
        <v>569</v>
      </c>
      <c r="D1487" s="2" t="str">
        <f t="shared" si="22"/>
        <v>Error?</v>
      </c>
    </row>
    <row r="1488" spans="1:4" x14ac:dyDescent="0.2">
      <c r="A1488" s="5">
        <v>1427</v>
      </c>
      <c r="B1488" s="1832">
        <f>'Expenditures 15-22'!K257</f>
        <v>8612</v>
      </c>
      <c r="C1488" s="2" t="s">
        <v>569</v>
      </c>
      <c r="D1488" s="2" t="str">
        <f t="shared" si="22"/>
        <v>Error?</v>
      </c>
    </row>
    <row r="1489" spans="1:4" x14ac:dyDescent="0.2">
      <c r="A1489" s="5">
        <v>1428</v>
      </c>
      <c r="B1489" s="1832">
        <f>'Expenditures 15-22'!K259</f>
        <v>15695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15695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9647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72555</v>
      </c>
      <c r="C1495" s="2" t="s">
        <v>569</v>
      </c>
      <c r="D1495" s="2" t="str">
        <f t="shared" si="22"/>
        <v>Error?</v>
      </c>
    </row>
    <row r="1496" spans="1:4" x14ac:dyDescent="0.2">
      <c r="A1496" s="5">
        <v>1435</v>
      </c>
      <c r="B1496" s="1832">
        <f>'Expenditures 15-22'!K267</f>
        <v>46244</v>
      </c>
      <c r="C1496" s="2" t="s">
        <v>569</v>
      </c>
      <c r="D1496" s="2" t="str">
        <f t="shared" si="22"/>
        <v>Error?</v>
      </c>
    </row>
    <row r="1497" spans="1:4" x14ac:dyDescent="0.2">
      <c r="A1497" s="5">
        <v>1436</v>
      </c>
      <c r="B1497" s="1832">
        <f>'Expenditures 15-22'!K268</f>
        <v>26576</v>
      </c>
      <c r="C1497" s="2" t="s">
        <v>569</v>
      </c>
      <c r="D1497" s="2" t="str">
        <f t="shared" si="22"/>
        <v>Error?</v>
      </c>
    </row>
    <row r="1498" spans="1:4" x14ac:dyDescent="0.2">
      <c r="A1498" s="5">
        <v>1437</v>
      </c>
      <c r="B1498" s="1832">
        <f>'Expenditures 15-22'!K269</f>
        <v>13699</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168721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217842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313969</v>
      </c>
      <c r="C1517" s="2" t="s">
        <v>569</v>
      </c>
      <c r="D1517" s="2" t="str">
        <f t="shared" si="22"/>
        <v>Error?</v>
      </c>
    </row>
    <row r="1518" spans="1:4" x14ac:dyDescent="0.2">
      <c r="A1518" s="5">
        <v>1457</v>
      </c>
      <c r="B1518" s="1832">
        <f>'Expenditures 15-22'!K296</f>
        <v>-46178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3475460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3475460</v>
      </c>
      <c r="C1547" s="2" t="s">
        <v>569</v>
      </c>
      <c r="D1547" s="2" t="str">
        <f t="shared" si="23"/>
        <v>Error?</v>
      </c>
    </row>
    <row r="1548" spans="1:4" x14ac:dyDescent="0.2">
      <c r="A1548" s="5">
        <v>1487</v>
      </c>
      <c r="B1548" s="1832">
        <f>'Expenditures 15-22'!G312</f>
        <v>3475460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3475460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3475460</v>
      </c>
      <c r="C1559" s="2" t="s">
        <v>569</v>
      </c>
      <c r="D1559" s="2" t="str">
        <f t="shared" si="23"/>
        <v>Error?</v>
      </c>
    </row>
    <row r="1560" spans="1:4" x14ac:dyDescent="0.2">
      <c r="A1560" s="5">
        <v>1499</v>
      </c>
      <c r="B1560" s="1832">
        <f>'Expenditures 15-22'!K312</f>
        <v>3475460</v>
      </c>
      <c r="C1560" s="2" t="s">
        <v>569</v>
      </c>
      <c r="D1560" s="2" t="str">
        <f t="shared" si="23"/>
        <v>Error?</v>
      </c>
    </row>
    <row r="1561" spans="1:4" x14ac:dyDescent="0.2">
      <c r="A1561" s="5">
        <v>1500</v>
      </c>
      <c r="B1561" s="1832">
        <f>'Expenditures 15-22'!K313</f>
        <v>-3177034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6169846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6469967</v>
      </c>
      <c r="C1630" s="2" t="s">
        <v>569</v>
      </c>
      <c r="D1630" s="2" t="str">
        <f t="shared" si="24"/>
        <v>Error?</v>
      </c>
    </row>
    <row r="1631" spans="1:4" x14ac:dyDescent="0.2">
      <c r="A1631" s="5">
        <v>1570</v>
      </c>
      <c r="B1631" s="1832">
        <f>'Acct Summary 7-8'!D79</f>
        <v>1511469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1800754</v>
      </c>
      <c r="C1644" s="2" t="s">
        <v>569</v>
      </c>
      <c r="D1644" s="2" t="str">
        <f t="shared" si="24"/>
        <v>Error?</v>
      </c>
    </row>
    <row r="1645" spans="1:4" x14ac:dyDescent="0.2">
      <c r="A1645" s="5">
        <v>1584</v>
      </c>
      <c r="B1645" s="1832">
        <f>'Acct Summary 7-8'!E79</f>
        <v>1636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1013</v>
      </c>
      <c r="C1658" s="2" t="s">
        <v>569</v>
      </c>
      <c r="D1658" s="2" t="str">
        <f t="shared" si="24"/>
        <v>Error?</v>
      </c>
    </row>
    <row r="1659" spans="1:4" x14ac:dyDescent="0.2">
      <c r="A1659" s="5">
        <v>1598</v>
      </c>
      <c r="B1659" s="1832">
        <f>'Acct Summary 7-8'!F79</f>
        <v>341748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459740</v>
      </c>
      <c r="C1672" s="2" t="s">
        <v>569</v>
      </c>
      <c r="D1672" s="2" t="str">
        <f t="shared" si="25"/>
        <v>Error?</v>
      </c>
    </row>
    <row r="1673" spans="1:4" x14ac:dyDescent="0.2">
      <c r="A1673" s="5">
        <v>1612</v>
      </c>
      <c r="B1673" s="1832">
        <f>'Acct Summary 7-8'!G79</f>
        <v>436931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390753</v>
      </c>
      <c r="C1686" s="2" t="s">
        <v>569</v>
      </c>
      <c r="D1686" s="2" t="str">
        <f t="shared" si="25"/>
        <v>Error?</v>
      </c>
    </row>
    <row r="1687" spans="1:4" x14ac:dyDescent="0.2">
      <c r="A1687" s="5">
        <v>1626</v>
      </c>
      <c r="B1687" s="1832">
        <f>'Acct Summary 7-8'!H79</f>
        <v>3980633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803599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7369579</v>
      </c>
      <c r="C1744" s="2" t="s">
        <v>569</v>
      </c>
      <c r="D1744" s="2" t="str">
        <f t="shared" si="26"/>
        <v>Error?</v>
      </c>
    </row>
    <row r="1745" spans="1:5" x14ac:dyDescent="0.2">
      <c r="A1745" s="5">
        <v>1684</v>
      </c>
      <c r="B1745" s="1832">
        <f>'Tax Sched 23'!B5</f>
        <v>964603</v>
      </c>
      <c r="C1745" s="2" t="s">
        <v>569</v>
      </c>
      <c r="D1745" s="2" t="str">
        <f t="shared" si="26"/>
        <v>Error?</v>
      </c>
    </row>
    <row r="1746" spans="1:5" x14ac:dyDescent="0.2">
      <c r="A1746" s="5">
        <v>1685</v>
      </c>
      <c r="B1746" s="1832">
        <f>'Tax Sched 23'!B6</f>
        <v>583304</v>
      </c>
      <c r="C1746" s="2" t="s">
        <v>569</v>
      </c>
      <c r="D1746" s="2" t="str">
        <f t="shared" si="26"/>
        <v>Error?</v>
      </c>
    </row>
    <row r="1747" spans="1:5" x14ac:dyDescent="0.2">
      <c r="A1747" s="5">
        <v>1686</v>
      </c>
      <c r="B1747" s="1832">
        <f>'Tax Sched 23'!B7</f>
        <v>463011</v>
      </c>
      <c r="C1747" s="2" t="s">
        <v>569</v>
      </c>
      <c r="D1747" s="2" t="str">
        <f t="shared" si="26"/>
        <v>Error?</v>
      </c>
    </row>
    <row r="1748" spans="1:5" x14ac:dyDescent="0.2">
      <c r="A1748" s="5">
        <v>1687</v>
      </c>
      <c r="B1748" s="1832">
        <f>'Tax Sched 23'!B8</f>
        <v>110003</v>
      </c>
      <c r="C1748" s="2" t="s">
        <v>569</v>
      </c>
      <c r="D1748" s="2" t="str">
        <f t="shared" si="26"/>
        <v>Error?</v>
      </c>
    </row>
    <row r="1749" spans="1:5" x14ac:dyDescent="0.2">
      <c r="A1749" s="5">
        <v>1688</v>
      </c>
      <c r="B1749" s="1832">
        <f>'Tax Sched 23'!B10</f>
        <v>192921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229582</v>
      </c>
      <c r="C1752" s="2" t="s">
        <v>569</v>
      </c>
      <c r="D1752" s="2" t="str">
        <f t="shared" si="26"/>
        <v>Error?</v>
      </c>
    </row>
    <row r="1753" spans="1:5" x14ac:dyDescent="0.2">
      <c r="A1753" s="5">
        <v>1692</v>
      </c>
      <c r="B1753" s="1832">
        <f>'Tax Sched 23'!B12</f>
        <v>110003</v>
      </c>
      <c r="C1753" s="2" t="s">
        <v>569</v>
      </c>
      <c r="D1753" s="2" t="str">
        <f t="shared" si="26"/>
        <v>Error?</v>
      </c>
    </row>
    <row r="1754" spans="1:5" x14ac:dyDescent="0.2">
      <c r="A1754" s="5">
        <v>1693</v>
      </c>
      <c r="B1754" s="1832">
        <f>'Tax Sched 23'!B14</f>
        <v>77168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10279988</v>
      </c>
      <c r="C1759" s="2" t="s">
        <v>569</v>
      </c>
      <c r="D1759" s="2" t="str">
        <f t="shared" si="26"/>
        <v>Error?</v>
      </c>
    </row>
    <row r="1760" spans="1:5" x14ac:dyDescent="0.2">
      <c r="A1760" s="5">
        <v>1699</v>
      </c>
      <c r="B1760" s="1832">
        <f>'Tax Sched 23'!D4</f>
        <v>7369579</v>
      </c>
      <c r="C1760" s="2" t="s">
        <v>569</v>
      </c>
      <c r="D1760" s="2" t="str">
        <f t="shared" si="26"/>
        <v>Error?</v>
      </c>
    </row>
    <row r="1761" spans="1:7" x14ac:dyDescent="0.2">
      <c r="A1761" s="5">
        <v>1700</v>
      </c>
      <c r="B1761" s="1832">
        <f>'Tax Sched 23'!D5</f>
        <v>964603</v>
      </c>
      <c r="C1761" s="2" t="s">
        <v>569</v>
      </c>
      <c r="D1761" s="2" t="str">
        <f t="shared" si="26"/>
        <v>Error?</v>
      </c>
    </row>
    <row r="1762" spans="1:7" s="8" customFormat="1" x14ac:dyDescent="0.2">
      <c r="A1762" s="5">
        <v>1701</v>
      </c>
      <c r="B1762" s="1832">
        <f>'Tax Sched 23'!D6</f>
        <v>583304</v>
      </c>
      <c r="C1762" s="2" t="s">
        <v>569</v>
      </c>
      <c r="D1762" s="2" t="str">
        <f t="shared" si="26"/>
        <v>Error?</v>
      </c>
      <c r="E1762" s="9"/>
      <c r="G1762"/>
    </row>
    <row r="1763" spans="1:7" x14ac:dyDescent="0.2">
      <c r="A1763" s="5">
        <v>1702</v>
      </c>
      <c r="B1763" s="1832">
        <f>'Tax Sched 23'!D7</f>
        <v>463011</v>
      </c>
      <c r="C1763" s="2" t="s">
        <v>569</v>
      </c>
      <c r="D1763" s="2" t="str">
        <f t="shared" si="26"/>
        <v>Error?</v>
      </c>
    </row>
    <row r="1764" spans="1:7" x14ac:dyDescent="0.2">
      <c r="A1764" s="5">
        <v>1703</v>
      </c>
      <c r="B1764" s="1832">
        <f>'Tax Sched 23'!D8</f>
        <v>110003</v>
      </c>
      <c r="C1764" s="2" t="s">
        <v>569</v>
      </c>
      <c r="D1764" s="2" t="str">
        <f t="shared" si="26"/>
        <v>Error?</v>
      </c>
    </row>
    <row r="1765" spans="1:7" x14ac:dyDescent="0.2">
      <c r="A1765" s="5">
        <v>1704</v>
      </c>
      <c r="B1765" s="1832">
        <f>'Tax Sched 23'!D10</f>
        <v>192921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229582</v>
      </c>
      <c r="C1768" s="2" t="s">
        <v>569</v>
      </c>
      <c r="D1768" s="2" t="str">
        <f t="shared" si="26"/>
        <v>Error?</v>
      </c>
    </row>
    <row r="1769" spans="1:7" x14ac:dyDescent="0.2">
      <c r="A1769" s="5">
        <v>1708</v>
      </c>
      <c r="B1769" s="1832">
        <f>'Tax Sched 23'!D12</f>
        <v>110003</v>
      </c>
      <c r="C1769" s="2" t="s">
        <v>569</v>
      </c>
      <c r="D1769" s="2" t="str">
        <f t="shared" si="26"/>
        <v>Error?</v>
      </c>
    </row>
    <row r="1770" spans="1:7" x14ac:dyDescent="0.2">
      <c r="A1770" s="5">
        <v>1709</v>
      </c>
      <c r="B1770" s="1832">
        <f>'Tax Sched 23'!D14</f>
        <v>77168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10279988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7278205</v>
      </c>
      <c r="C1792" s="2" t="s">
        <v>569</v>
      </c>
      <c r="D1792" s="2" t="str">
        <f t="shared" si="27"/>
        <v>Error?</v>
      </c>
    </row>
    <row r="1793" spans="1:4" x14ac:dyDescent="0.2">
      <c r="A1793" s="5">
        <v>1732</v>
      </c>
      <c r="B1793" s="1832">
        <f>'Tax Sched 23'!F5</f>
        <v>952645</v>
      </c>
      <c r="C1793" s="2" t="s">
        <v>569</v>
      </c>
      <c r="D1793" s="2" t="str">
        <f t="shared" si="27"/>
        <v>Error?</v>
      </c>
    </row>
    <row r="1794" spans="1:4" x14ac:dyDescent="0.2">
      <c r="A1794" s="5">
        <v>1733</v>
      </c>
      <c r="B1794" s="1832">
        <f>'Tax Sched 23'!F6</f>
        <v>590259</v>
      </c>
      <c r="C1794" s="2" t="s">
        <v>569</v>
      </c>
      <c r="D1794" s="2" t="str">
        <f t="shared" si="27"/>
        <v>Error?</v>
      </c>
    </row>
    <row r="1795" spans="1:4" x14ac:dyDescent="0.2">
      <c r="A1795" s="5">
        <v>1734</v>
      </c>
      <c r="B1795" s="1832">
        <f>'Tax Sched 23'!F7</f>
        <v>457269</v>
      </c>
      <c r="C1795" s="2" t="s">
        <v>569</v>
      </c>
      <c r="D1795" s="2" t="str">
        <f t="shared" si="27"/>
        <v>Error?</v>
      </c>
    </row>
    <row r="1796" spans="1:4" x14ac:dyDescent="0.2">
      <c r="A1796" s="5">
        <v>1735</v>
      </c>
      <c r="B1796" s="1832">
        <f>'Tax Sched 23'!F8</f>
        <v>70115</v>
      </c>
      <c r="C1796" s="2" t="s">
        <v>569</v>
      </c>
      <c r="D1796" s="2" t="str">
        <f t="shared" si="27"/>
        <v>Error?</v>
      </c>
    </row>
    <row r="1797" spans="1:4" x14ac:dyDescent="0.2">
      <c r="A1797" s="5">
        <v>1736</v>
      </c>
      <c r="B1797" s="1832">
        <f>'Tax Sched 23'!F10</f>
        <v>190529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230540</v>
      </c>
      <c r="C1800" s="2" t="s">
        <v>569</v>
      </c>
      <c r="D1800" s="2" t="str">
        <f t="shared" si="27"/>
        <v>Error?</v>
      </c>
    </row>
    <row r="1801" spans="1:4" x14ac:dyDescent="0.2">
      <c r="A1801" s="5">
        <v>1740</v>
      </c>
      <c r="B1801" s="1832">
        <f>'Tax Sched 23'!F12</f>
        <v>190529</v>
      </c>
      <c r="C1801" s="2" t="s">
        <v>569</v>
      </c>
      <c r="D1801" s="2" t="str">
        <f t="shared" si="27"/>
        <v>Error?</v>
      </c>
    </row>
    <row r="1802" spans="1:4" x14ac:dyDescent="0.2">
      <c r="A1802" s="5">
        <v>1741</v>
      </c>
      <c r="B1802" s="1832">
        <f>'Tax Sched 23'!F14</f>
        <v>76212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10173865</v>
      </c>
      <c r="C1807" s="2" t="s">
        <v>569</v>
      </c>
      <c r="D1807" s="2" t="str">
        <f t="shared" si="27"/>
        <v>Error?</v>
      </c>
    </row>
    <row r="1808" spans="1:4" x14ac:dyDescent="0.2">
      <c r="A1808" s="5">
        <v>1747</v>
      </c>
      <c r="B1808" s="1832">
        <f>'Tax Sched 23'!E4</f>
        <v>7278205</v>
      </c>
      <c r="D1808" s="2" t="str">
        <f t="shared" si="27"/>
        <v>Error?</v>
      </c>
    </row>
    <row r="1809" spans="1:4" x14ac:dyDescent="0.2">
      <c r="A1809" s="5">
        <v>1748</v>
      </c>
      <c r="B1809" s="1832">
        <f>'Tax Sched 23'!E5</f>
        <v>952645</v>
      </c>
      <c r="D1809" s="2" t="str">
        <f t="shared" si="27"/>
        <v>Error?</v>
      </c>
    </row>
    <row r="1810" spans="1:4" x14ac:dyDescent="0.2">
      <c r="A1810" s="5">
        <v>1749</v>
      </c>
      <c r="B1810" s="1832">
        <f>'Tax Sched 23'!E6</f>
        <v>590259</v>
      </c>
      <c r="D1810" s="2" t="str">
        <f t="shared" si="27"/>
        <v>Error?</v>
      </c>
    </row>
    <row r="1811" spans="1:4" x14ac:dyDescent="0.2">
      <c r="A1811" s="5">
        <v>1750</v>
      </c>
      <c r="B1811" s="1832">
        <f>'Tax Sched 23'!E7</f>
        <v>457269</v>
      </c>
      <c r="D1811" s="2" t="str">
        <f t="shared" si="27"/>
        <v>Error?</v>
      </c>
    </row>
    <row r="1812" spans="1:4" x14ac:dyDescent="0.2">
      <c r="A1812" s="5">
        <v>1751</v>
      </c>
      <c r="B1812" s="1832">
        <f>'Tax Sched 23'!E8</f>
        <v>70115</v>
      </c>
      <c r="D1812" s="2" t="str">
        <f t="shared" si="27"/>
        <v>Error?</v>
      </c>
    </row>
    <row r="1813" spans="1:4" x14ac:dyDescent="0.2">
      <c r="A1813" s="5">
        <v>1752</v>
      </c>
      <c r="B1813" s="1832">
        <f>'Tax Sched 23'!E10</f>
        <v>190529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230540</v>
      </c>
      <c r="D1816" s="2" t="str">
        <f t="shared" si="27"/>
        <v>Error?</v>
      </c>
    </row>
    <row r="1817" spans="1:4" x14ac:dyDescent="0.2">
      <c r="A1817" s="5">
        <v>1756</v>
      </c>
      <c r="B1817" s="1832">
        <f>'Tax Sched 23'!E12</f>
        <v>190529</v>
      </c>
      <c r="D1817" s="2" t="str">
        <f t="shared" si="27"/>
        <v>Error?</v>
      </c>
    </row>
    <row r="1818" spans="1:4" x14ac:dyDescent="0.2">
      <c r="A1818" s="5">
        <v>1757</v>
      </c>
      <c r="B1818" s="1832">
        <f>'Tax Sched 23'!E14</f>
        <v>76212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10173865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3995000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77168</v>
      </c>
      <c r="D1972" s="2" t="str">
        <f t="shared" si="29"/>
        <v>Error?</v>
      </c>
    </row>
    <row r="1973" spans="1:5" x14ac:dyDescent="0.2">
      <c r="A1973" s="5">
        <v>1912</v>
      </c>
      <c r="B1973" s="1832">
        <f>'Rest Tax Levies-Tort Im 25'!H6</f>
        <v>51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77219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77219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306928</v>
      </c>
      <c r="D2008" s="2" t="str">
        <f t="shared" si="30"/>
        <v>Error?</v>
      </c>
    </row>
    <row r="2009" spans="1:4" x14ac:dyDescent="0.2">
      <c r="A2009" s="5">
        <v>1948</v>
      </c>
      <c r="B2009" s="1832">
        <f>'Cap Outlay Deprec 26'!C8</f>
        <v>18985881</v>
      </c>
      <c r="D2009" s="2" t="str">
        <f t="shared" si="30"/>
        <v>Error?</v>
      </c>
    </row>
    <row r="2010" spans="1:4" x14ac:dyDescent="0.2">
      <c r="A2010" s="5">
        <v>1949</v>
      </c>
      <c r="B2010" s="1832">
        <f>'Cap Outlay Deprec 26'!C10</f>
        <v>2241336</v>
      </c>
      <c r="D2010" s="2" t="str">
        <f t="shared" si="30"/>
        <v>Error?</v>
      </c>
    </row>
    <row r="2011" spans="1:4" x14ac:dyDescent="0.2">
      <c r="A2011" s="5">
        <v>1950</v>
      </c>
      <c r="B2011" s="1832">
        <f>'Cap Outlay Deprec 26'!C12</f>
        <v>2445258</v>
      </c>
      <c r="D2011" s="2" t="str">
        <f t="shared" si="30"/>
        <v>Error?</v>
      </c>
    </row>
    <row r="2012" spans="1:4" x14ac:dyDescent="0.2">
      <c r="A2012" s="5">
        <v>1951</v>
      </c>
      <c r="B2012" s="1832">
        <f>'Cap Outlay Deprec 26'!C13</f>
        <v>1253327</v>
      </c>
      <c r="D2012" s="2" t="str">
        <f t="shared" si="30"/>
        <v>Error?</v>
      </c>
    </row>
    <row r="2013" spans="1:4" x14ac:dyDescent="0.2">
      <c r="A2013" s="5">
        <v>1952</v>
      </c>
      <c r="B2013" s="1832">
        <f>'Cap Outlay Deprec 26'!C16</f>
        <v>25489677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3483505</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221529</v>
      </c>
      <c r="D2017" s="2" t="str">
        <f t="shared" si="30"/>
        <v>Error?</v>
      </c>
    </row>
    <row r="2018" spans="1:4" x14ac:dyDescent="0.2">
      <c r="A2018" s="5">
        <v>1957</v>
      </c>
      <c r="B2018" s="1832">
        <f>'Cap Outlay Deprec 26'!D13</f>
        <v>102400</v>
      </c>
      <c r="D2018" s="2" t="str">
        <f t="shared" si="30"/>
        <v>Error?</v>
      </c>
    </row>
    <row r="2019" spans="1:4" x14ac:dyDescent="0.2">
      <c r="A2019" s="5">
        <v>1958</v>
      </c>
      <c r="B2019" s="1832">
        <f>'Cap Outlay Deprec 26'!D16</f>
        <v>4035093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68678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309286</v>
      </c>
      <c r="C2025" s="2" t="s">
        <v>569</v>
      </c>
      <c r="D2025" s="2" t="str">
        <f t="shared" si="30"/>
        <v>Error?</v>
      </c>
    </row>
    <row r="2026" spans="1:4" x14ac:dyDescent="0.2">
      <c r="A2026" s="5">
        <v>1965</v>
      </c>
      <c r="B2026" s="1832">
        <f>'Cap Outlay Deprec 26'!F5</f>
        <v>306928</v>
      </c>
      <c r="C2026" s="2" t="s">
        <v>569</v>
      </c>
      <c r="D2026" s="2" t="str">
        <f t="shared" si="30"/>
        <v>Error?</v>
      </c>
    </row>
    <row r="2027" spans="1:4" x14ac:dyDescent="0.2">
      <c r="A2027" s="5">
        <v>1966</v>
      </c>
      <c r="B2027" s="1832">
        <f>'Cap Outlay Deprec 26'!F8</f>
        <v>22469386</v>
      </c>
      <c r="C2027" s="2" t="s">
        <v>569</v>
      </c>
      <c r="D2027" s="2" t="str">
        <f t="shared" si="30"/>
        <v>Error?</v>
      </c>
    </row>
    <row r="2028" spans="1:4" x14ac:dyDescent="0.2">
      <c r="A2028" s="5">
        <v>1967</v>
      </c>
      <c r="B2028" s="1832">
        <f>'Cap Outlay Deprec 26'!F10</f>
        <v>2241336</v>
      </c>
      <c r="C2028" s="2" t="s">
        <v>569</v>
      </c>
      <c r="D2028" s="2" t="str">
        <f t="shared" si="30"/>
        <v>Error?</v>
      </c>
    </row>
    <row r="2029" spans="1:4" x14ac:dyDescent="0.2">
      <c r="A2029" s="5">
        <v>1968</v>
      </c>
      <c r="B2029" s="1832">
        <f>'Cap Outlay Deprec 26'!F12</f>
        <v>2598109</v>
      </c>
      <c r="C2029" s="2" t="s">
        <v>569</v>
      </c>
      <c r="D2029" s="2" t="str">
        <f t="shared" si="30"/>
        <v>Error?</v>
      </c>
    </row>
    <row r="2030" spans="1:4" x14ac:dyDescent="0.2">
      <c r="A2030" s="5">
        <v>1969</v>
      </c>
      <c r="B2030" s="1832">
        <f>'Cap Outlay Deprec 26'!F13</f>
        <v>1355727</v>
      </c>
      <c r="C2030" s="2" t="s">
        <v>569</v>
      </c>
      <c r="D2030" s="2" t="str">
        <f t="shared" si="30"/>
        <v>Error?</v>
      </c>
    </row>
    <row r="2031" spans="1:4" x14ac:dyDescent="0.2">
      <c r="A2031" s="5">
        <v>1970</v>
      </c>
      <c r="B2031" s="1832">
        <f>'Cap Outlay Deprec 26'!F16</f>
        <v>29215484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8950780</v>
      </c>
      <c r="D2033" s="2" t="str">
        <f t="shared" si="30"/>
        <v>Error?</v>
      </c>
    </row>
    <row r="2034" spans="1:4" x14ac:dyDescent="0.2">
      <c r="A2034" s="5">
        <v>1973</v>
      </c>
      <c r="B2034" s="1832">
        <f>'Cap Outlay Deprec 26'!H10</f>
        <v>1115747</v>
      </c>
      <c r="D2034" s="2" t="str">
        <f t="shared" si="30"/>
        <v>Error?</v>
      </c>
    </row>
    <row r="2035" spans="1:4" x14ac:dyDescent="0.2">
      <c r="A2035" s="5">
        <v>1974</v>
      </c>
      <c r="B2035" s="1832">
        <f>'Cap Outlay Deprec 26'!H12</f>
        <v>1462230</v>
      </c>
      <c r="D2035" s="2" t="str">
        <f t="shared" si="30"/>
        <v>Error?</v>
      </c>
    </row>
    <row r="2036" spans="1:4" x14ac:dyDescent="0.2">
      <c r="A2036" s="5">
        <v>1975</v>
      </c>
      <c r="B2036" s="1832">
        <f>'Cap Outlay Deprec 26'!H13</f>
        <v>998171</v>
      </c>
      <c r="D2036" s="2" t="str">
        <f t="shared" si="30"/>
        <v>Error?</v>
      </c>
    </row>
    <row r="2037" spans="1:4" x14ac:dyDescent="0.2">
      <c r="A2037" s="5">
        <v>1976</v>
      </c>
      <c r="B2037" s="1832">
        <f>'Cap Outlay Deprec 26'!H16</f>
        <v>12541705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432557</v>
      </c>
      <c r="D2039" s="2" t="str">
        <f t="shared" si="30"/>
        <v>Error?</v>
      </c>
    </row>
    <row r="2040" spans="1:4" x14ac:dyDescent="0.2">
      <c r="A2040" s="5">
        <v>1979</v>
      </c>
      <c r="B2040" s="1832">
        <f>'Cap Outlay Deprec 26'!I10</f>
        <v>106731</v>
      </c>
      <c r="D2040" s="2" t="str">
        <f t="shared" si="30"/>
        <v>Error?</v>
      </c>
    </row>
    <row r="2041" spans="1:4" x14ac:dyDescent="0.2">
      <c r="A2041" s="5">
        <v>1980</v>
      </c>
      <c r="B2041" s="1832">
        <f>'Cap Outlay Deprec 26'!I12</f>
        <v>259814</v>
      </c>
      <c r="D2041" s="2" t="str">
        <f t="shared" si="30"/>
        <v>Error?</v>
      </c>
    </row>
    <row r="2042" spans="1:4" x14ac:dyDescent="0.2">
      <c r="A2042" s="5">
        <v>1981</v>
      </c>
      <c r="B2042" s="1832">
        <f>'Cap Outlay Deprec 26'!I13</f>
        <v>107649</v>
      </c>
      <c r="D2042" s="2" t="str">
        <f t="shared" si="30"/>
        <v>Error?</v>
      </c>
    </row>
    <row r="2043" spans="1:4" x14ac:dyDescent="0.2">
      <c r="A2043" s="5">
        <v>1982</v>
      </c>
      <c r="B2043" s="1832">
        <f>'Cap Outlay Deprec 26'!I16</f>
        <v>907533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68678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68678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9383337</v>
      </c>
      <c r="C2051" s="2" t="s">
        <v>569</v>
      </c>
      <c r="D2051" s="2" t="str">
        <f t="shared" si="31"/>
        <v>Error?</v>
      </c>
    </row>
    <row r="2052" spans="1:4" x14ac:dyDescent="0.2">
      <c r="A2052" s="5">
        <v>1991</v>
      </c>
      <c r="B2052" s="1832">
        <f>'Cap Outlay Deprec 26'!K10</f>
        <v>1222478</v>
      </c>
      <c r="C2052" s="2" t="s">
        <v>569</v>
      </c>
      <c r="D2052" s="2" t="str">
        <f t="shared" si="31"/>
        <v>Error?</v>
      </c>
    </row>
    <row r="2053" spans="1:4" x14ac:dyDescent="0.2">
      <c r="A2053" s="5">
        <v>1992</v>
      </c>
      <c r="B2053" s="1832">
        <f>'Cap Outlay Deprec 26'!K12</f>
        <v>1653366</v>
      </c>
      <c r="C2053" s="2" t="s">
        <v>569</v>
      </c>
      <c r="D2053" s="2" t="str">
        <f t="shared" si="31"/>
        <v>Error?</v>
      </c>
    </row>
    <row r="2054" spans="1:4" x14ac:dyDescent="0.2">
      <c r="A2054" s="5">
        <v>1993</v>
      </c>
      <c r="B2054" s="1832">
        <f>'Cap Outlay Deprec 26'!K13</f>
        <v>1105820</v>
      </c>
      <c r="C2054" s="2" t="s">
        <v>569</v>
      </c>
      <c r="D2054" s="2" t="str">
        <f t="shared" si="31"/>
        <v>Error?</v>
      </c>
    </row>
    <row r="2055" spans="1:4" x14ac:dyDescent="0.2">
      <c r="A2055" s="5">
        <v>1994</v>
      </c>
      <c r="B2055" s="1832">
        <f>'Cap Outlay Deprec 26'!K16</f>
        <v>13380560</v>
      </c>
      <c r="C2055" s="2" t="s">
        <v>569</v>
      </c>
      <c r="D2055" s="2" t="str">
        <f t="shared" si="31"/>
        <v>Error?</v>
      </c>
    </row>
    <row r="2056" spans="1:4" x14ac:dyDescent="0.2">
      <c r="A2056" s="5">
        <v>1995</v>
      </c>
      <c r="B2056" s="1832">
        <f>'Cap Outlay Deprec 26'!L5</f>
        <v>306928</v>
      </c>
      <c r="C2056" s="2" t="s">
        <v>569</v>
      </c>
      <c r="D2056" s="2" t="str">
        <f t="shared" si="31"/>
        <v>Error?</v>
      </c>
    </row>
    <row r="2057" spans="1:4" x14ac:dyDescent="0.2">
      <c r="A2057" s="5">
        <v>1996</v>
      </c>
      <c r="B2057" s="1832">
        <f>'Cap Outlay Deprec 26'!L8</f>
        <v>13086049</v>
      </c>
      <c r="C2057" s="2" t="s">
        <v>569</v>
      </c>
      <c r="D2057" s="2" t="str">
        <f t="shared" si="31"/>
        <v>Error?</v>
      </c>
    </row>
    <row r="2058" spans="1:4" x14ac:dyDescent="0.2">
      <c r="A2058" s="5">
        <v>1997</v>
      </c>
      <c r="B2058" s="1832">
        <f>'Cap Outlay Deprec 26'!L10</f>
        <v>1018858</v>
      </c>
      <c r="C2058" s="2" t="s">
        <v>569</v>
      </c>
      <c r="D2058" s="2" t="str">
        <f t="shared" si="31"/>
        <v>Error?</v>
      </c>
    </row>
    <row r="2059" spans="1:4" x14ac:dyDescent="0.2">
      <c r="A2059" s="5">
        <v>1998</v>
      </c>
      <c r="B2059" s="1832">
        <f>'Cap Outlay Deprec 26'!L12</f>
        <v>944743</v>
      </c>
      <c r="C2059" s="2" t="s">
        <v>569</v>
      </c>
      <c r="D2059" s="2" t="str">
        <f t="shared" si="31"/>
        <v>Error?</v>
      </c>
    </row>
    <row r="2060" spans="1:4" x14ac:dyDescent="0.2">
      <c r="A2060" s="5">
        <v>1999</v>
      </c>
      <c r="B2060" s="1832">
        <f>'Cap Outlay Deprec 26'!L13</f>
        <v>249907</v>
      </c>
      <c r="C2060" s="2" t="s">
        <v>569</v>
      </c>
      <c r="D2060" s="2" t="str">
        <f t="shared" si="31"/>
        <v>Error?</v>
      </c>
    </row>
    <row r="2061" spans="1:4" x14ac:dyDescent="0.2">
      <c r="A2061" s="5">
        <v>2000</v>
      </c>
      <c r="B2061" s="1832">
        <f>'Cap Outlay Deprec 26'!L16</f>
        <v>15834924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709976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736187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127859</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475173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8327176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1721707</v>
      </c>
      <c r="C2553" s="2" t="s">
        <v>569</v>
      </c>
      <c r="D2553" s="2" t="str">
        <f t="shared" si="38"/>
        <v>Error?</v>
      </c>
    </row>
    <row r="2554" spans="1:4" x14ac:dyDescent="0.2">
      <c r="A2554" s="5">
        <v>2493</v>
      </c>
      <c r="B2554" s="1832">
        <f>'Acct Summary 7-8'!C7</f>
        <v>646937</v>
      </c>
      <c r="C2554" s="2" t="s">
        <v>569</v>
      </c>
      <c r="D2554" s="2" t="str">
        <f t="shared" si="38"/>
        <v>Error?</v>
      </c>
    </row>
    <row r="2555" spans="1:4" x14ac:dyDescent="0.2">
      <c r="A2555" s="5">
        <v>2494</v>
      </c>
      <c r="B2555" s="1832">
        <f>'Acct Summary 7-8'!C8</f>
        <v>10695820</v>
      </c>
      <c r="C2555" s="2" t="s">
        <v>569</v>
      </c>
      <c r="D2555" s="2" t="str">
        <f t="shared" si="38"/>
        <v>Error?</v>
      </c>
    </row>
    <row r="2556" spans="1:4" x14ac:dyDescent="0.2">
      <c r="A2556" s="5">
        <v>2495</v>
      </c>
      <c r="B2556" s="1832">
        <f>'Acct Summary 7-8'!C12</f>
        <v>7063715</v>
      </c>
      <c r="C2556" s="2" t="s">
        <v>569</v>
      </c>
      <c r="D2556" s="2" t="str">
        <f t="shared" si="38"/>
        <v>Error?</v>
      </c>
    </row>
    <row r="2557" spans="1:4" x14ac:dyDescent="0.2">
      <c r="A2557" s="5">
        <v>2496</v>
      </c>
      <c r="B2557" s="1832">
        <f>'Acct Summary 7-8'!C13</f>
        <v>2595797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736187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10395699</v>
      </c>
      <c r="C2561" s="2" t="s">
        <v>569</v>
      </c>
      <c r="D2561" s="2" t="str">
        <f t="shared" si="39"/>
        <v>Error?</v>
      </c>
    </row>
    <row r="2562" spans="1:4" x14ac:dyDescent="0.2">
      <c r="A2562" s="5">
        <v>2501</v>
      </c>
      <c r="B2562" s="1832">
        <f>'Acct Summary 7-8'!C20</f>
        <v>300121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996557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824946</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1821503</v>
      </c>
      <c r="C2568" s="2" t="s">
        <v>569</v>
      </c>
      <c r="D2568" s="2" t="str">
        <f t="shared" si="39"/>
        <v>Error?</v>
      </c>
    </row>
    <row r="2569" spans="1:4" x14ac:dyDescent="0.2">
      <c r="A2569" s="5">
        <v>2508</v>
      </c>
      <c r="B2569" s="1832">
        <f>'Acct Summary 7-8'!D13</f>
        <v>1532218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1532218</v>
      </c>
      <c r="C2573" s="2" t="s">
        <v>569</v>
      </c>
      <c r="D2573" s="2" t="str">
        <f t="shared" si="39"/>
        <v>Error?</v>
      </c>
    </row>
    <row r="2574" spans="1:4" x14ac:dyDescent="0.2">
      <c r="A2574" s="5">
        <v>2513</v>
      </c>
      <c r="B2574" s="1832">
        <f>'Acct Summary 7-8'!D20</f>
        <v>289285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467770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299360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767130</v>
      </c>
      <c r="C2595" s="2" t="s">
        <v>569</v>
      </c>
      <c r="D2595" s="2" t="str">
        <f t="shared" si="39"/>
        <v>Error?</v>
      </c>
    </row>
    <row r="2596" spans="1:4" x14ac:dyDescent="0.2">
      <c r="A2596" s="5">
        <v>2535</v>
      </c>
      <c r="B2596" s="1832">
        <f>'Acct Summary 7-8'!F13</f>
        <v>649138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649138</v>
      </c>
      <c r="C2600" s="2" t="s">
        <v>569</v>
      </c>
      <c r="D2600" s="2" t="str">
        <f t="shared" si="39"/>
        <v>Error?</v>
      </c>
    </row>
    <row r="2601" spans="1:4" x14ac:dyDescent="0.2">
      <c r="A2601" s="5">
        <v>2540</v>
      </c>
      <c r="B2601" s="1832">
        <f>'Acct Summary 7-8'!F20</f>
        <v>117992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267791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267791</v>
      </c>
      <c r="C2606" s="2" t="s">
        <v>569</v>
      </c>
      <c r="D2606" s="2" t="str">
        <f t="shared" si="39"/>
        <v>Error?</v>
      </c>
    </row>
    <row r="2607" spans="1:4" x14ac:dyDescent="0.2">
      <c r="A2607" s="5">
        <v>2546</v>
      </c>
      <c r="B2607" s="1832">
        <f>'Acct Summary 7-8'!G12</f>
        <v>96127</v>
      </c>
      <c r="C2607" s="2" t="s">
        <v>569</v>
      </c>
      <c r="D2607" s="2" t="str">
        <f t="shared" si="39"/>
        <v>Error?</v>
      </c>
    </row>
    <row r="2608" spans="1:4" x14ac:dyDescent="0.2">
      <c r="A2608" s="5">
        <v>2547</v>
      </c>
      <c r="B2608" s="1832">
        <f>'Acct Summary 7-8'!G13</f>
        <v>217842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313969</v>
      </c>
      <c r="C2612" s="2" t="s">
        <v>569</v>
      </c>
      <c r="D2612" s="2" t="str">
        <f t="shared" si="39"/>
        <v>Error?</v>
      </c>
    </row>
    <row r="2613" spans="1:4" x14ac:dyDescent="0.2">
      <c r="A2613" s="5">
        <v>2552</v>
      </c>
      <c r="B2613" s="1832">
        <f>'Acct Summary 7-8'!G20</f>
        <v>-46178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584802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584802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585425</v>
      </c>
      <c r="C2634" s="2" t="s">
        <v>569</v>
      </c>
      <c r="D2634" s="2" t="str">
        <f t="shared" si="40"/>
        <v>Error?</v>
      </c>
    </row>
    <row r="2635" spans="1:4" x14ac:dyDescent="0.2">
      <c r="A2635" s="5">
        <v>2574</v>
      </c>
      <c r="B2635" s="1832">
        <f>'Acct Summary 7-8'!E17</f>
        <v>585425</v>
      </c>
      <c r="C2635" s="2" t="s">
        <v>569</v>
      </c>
      <c r="D2635" s="2" t="str">
        <f t="shared" si="40"/>
        <v>Error?</v>
      </c>
    </row>
    <row r="2636" spans="1:4" x14ac:dyDescent="0.2">
      <c r="A2636" s="5">
        <v>2575</v>
      </c>
      <c r="B2636" s="1832">
        <f>'Acct Summary 7-8'!E20</f>
        <v>-623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298426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298426</v>
      </c>
      <c r="C2658" s="2" t="s">
        <v>569</v>
      </c>
      <c r="D2658" s="2" t="str">
        <f t="shared" si="40"/>
        <v>Error?</v>
      </c>
    </row>
    <row r="2659" spans="1:4" x14ac:dyDescent="0.2">
      <c r="A2659" s="5">
        <v>2598</v>
      </c>
      <c r="B2659" s="1832">
        <f>'Acct Summary 7-8'!H13</f>
        <v>3475460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3475460</v>
      </c>
      <c r="C2661" s="2" t="s">
        <v>569</v>
      </c>
      <c r="D2661" s="2" t="str">
        <f t="shared" si="40"/>
        <v>Error?</v>
      </c>
    </row>
    <row r="2662" spans="1:4" x14ac:dyDescent="0.2">
      <c r="A2662" s="5">
        <v>2601</v>
      </c>
      <c r="B2662" s="1832">
        <f>'Acct Summary 7-8'!H20</f>
        <v>-3177034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26211</v>
      </c>
      <c r="C2789" s="2" t="s">
        <v>569</v>
      </c>
      <c r="D2789" s="2" t="str">
        <f t="shared" si="42"/>
        <v>Error?</v>
      </c>
    </row>
    <row r="2790" spans="1:4" x14ac:dyDescent="0.2">
      <c r="A2790" s="5">
        <v>2729</v>
      </c>
      <c r="B2790" s="1832">
        <f>'Expenditures 15-22'!E102</f>
        <v>26211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227659</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283116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1642446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870801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1642446</v>
      </c>
      <c r="D2912" s="2" t="str">
        <f t="shared" si="44"/>
        <v>Error?</v>
      </c>
    </row>
    <row r="2913" spans="1:4" x14ac:dyDescent="0.2">
      <c r="A2913" s="5">
        <v>2852</v>
      </c>
      <c r="B2913" s="1832">
        <f>'Assets-Liab 5-6'!I41</f>
        <v>1642446</v>
      </c>
      <c r="C2913" s="2" t="s">
        <v>569</v>
      </c>
      <c r="D2913" s="2" t="str">
        <f t="shared" si="44"/>
        <v>Error?</v>
      </c>
    </row>
    <row r="2914" spans="1:4" x14ac:dyDescent="0.2">
      <c r="A2914" s="5">
        <v>2853</v>
      </c>
      <c r="B2914" s="1832">
        <f>'Assets-Liab 5-6'!L33</f>
        <v>228276</v>
      </c>
      <c r="D2914" s="2" t="str">
        <f t="shared" si="44"/>
        <v>Error?</v>
      </c>
    </row>
    <row r="2915" spans="1:4" x14ac:dyDescent="0.2">
      <c r="A2915" s="10">
        <v>2854</v>
      </c>
      <c r="B2915" s="1832"/>
      <c r="D2915" s="2" t="str">
        <f t="shared" si="44"/>
        <v>OK</v>
      </c>
    </row>
    <row r="2916" spans="1:4" x14ac:dyDescent="0.2">
      <c r="A2916" s="5">
        <v>2855</v>
      </c>
      <c r="B2916" s="1832">
        <f>'Assets-Liab 5-6'!L34</f>
        <v>228276</v>
      </c>
      <c r="C2916" s="2" t="s">
        <v>569</v>
      </c>
      <c r="D2916" s="2" t="str">
        <f t="shared" si="44"/>
        <v>Error?</v>
      </c>
    </row>
    <row r="2917" spans="1:4" x14ac:dyDescent="0.2">
      <c r="A2917" s="5">
        <v>2856</v>
      </c>
      <c r="B2917" s="1832">
        <f>'Assets-Liab 5-6'!L41</f>
        <v>870801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26211</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1200</v>
      </c>
      <c r="D2955" s="2" t="str">
        <f t="shared" si="45"/>
        <v>Error?</v>
      </c>
    </row>
    <row r="2956" spans="1:4" x14ac:dyDescent="0.2">
      <c r="A2956" s="5">
        <v>2895</v>
      </c>
      <c r="B2956" s="1832">
        <f>'Expenditures 15-22'!H79</f>
        <v>708776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1200</v>
      </c>
      <c r="C2973" s="2" t="s">
        <v>569</v>
      </c>
      <c r="D2973" s="2" t="str">
        <f t="shared" si="45"/>
        <v>Error?</v>
      </c>
    </row>
    <row r="2974" spans="1:4" x14ac:dyDescent="0.2">
      <c r="A2974" s="5">
        <v>2913</v>
      </c>
      <c r="B2974" s="1832">
        <f>'Expenditures 15-22'!K79</f>
        <v>708776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26211</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81323</v>
      </c>
      <c r="D3055" s="2" t="str">
        <f t="shared" si="46"/>
        <v>Error?</v>
      </c>
    </row>
    <row r="3056" spans="1:4" x14ac:dyDescent="0.2">
      <c r="A3056" s="5">
        <v>2995</v>
      </c>
      <c r="B3056" s="1832">
        <f>'Expenditures 15-22'!D10</f>
        <v>10167</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91490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1179</v>
      </c>
      <c r="D3064" s="2" t="str">
        <f t="shared" si="46"/>
        <v>Error?</v>
      </c>
    </row>
    <row r="3065" spans="1:4" x14ac:dyDescent="0.2">
      <c r="A3065" s="5">
        <v>3004</v>
      </c>
      <c r="B3065" s="1832">
        <f>'Expenditures 15-22'!K219</f>
        <v>1179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642525</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201934</v>
      </c>
      <c r="C3225" s="2" t="s">
        <v>569</v>
      </c>
      <c r="D3225" s="2" t="str">
        <f t="shared" si="49"/>
        <v>Error?</v>
      </c>
    </row>
    <row r="3226" spans="1:4" x14ac:dyDescent="0.2">
      <c r="A3226" s="5">
        <v>3165</v>
      </c>
      <c r="B3226" s="1832">
        <f>'Acct Summary 7-8'!I8</f>
        <v>201934</v>
      </c>
      <c r="C3226" s="2" t="s">
        <v>569</v>
      </c>
      <c r="D3226" s="2" t="str">
        <f t="shared" si="49"/>
        <v>Error?</v>
      </c>
    </row>
    <row r="3227" spans="1:4" x14ac:dyDescent="0.2">
      <c r="A3227" s="5">
        <v>3166</v>
      </c>
      <c r="B3227" s="1832">
        <f>'Acct Summary 7-8'!I20</f>
        <v>201934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300121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289285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117992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-46178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-623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-3177034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201934</v>
      </c>
      <c r="C3320" s="2" t="s">
        <v>569</v>
      </c>
      <c r="D3320" s="2" t="str">
        <f t="shared" si="50"/>
        <v>Error?</v>
      </c>
    </row>
    <row r="3321" spans="1:4" x14ac:dyDescent="0.2">
      <c r="A3321" s="5">
        <v>3260</v>
      </c>
      <c r="B3321" s="1832">
        <f>'Acct Summary 7-8'!I79</f>
        <v>1440512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1642446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464457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126912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2523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593892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55500</v>
      </c>
      <c r="D3387" s="2" t="str">
        <f t="shared" si="51"/>
        <v>Error?</v>
      </c>
    </row>
    <row r="3388" spans="1:4" x14ac:dyDescent="0.2">
      <c r="A3388" s="5">
        <v>3327</v>
      </c>
      <c r="B3388" s="1832">
        <f>'Expenditures 15-22'!D217</f>
        <v>13407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55500</v>
      </c>
      <c r="C3390" s="2" t="s">
        <v>569</v>
      </c>
      <c r="D3390" s="2" t="str">
        <f t="shared" si="51"/>
        <v>Error?</v>
      </c>
    </row>
    <row r="3391" spans="1:4" x14ac:dyDescent="0.2">
      <c r="A3391" s="5">
        <v>3330</v>
      </c>
      <c r="B3391" s="1832">
        <f>'Expenditures 15-22'!K217</f>
        <v>13407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3064770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1469866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16987</v>
      </c>
      <c r="D3417" s="2" t="str">
        <f t="shared" si="52"/>
        <v>Error?</v>
      </c>
    </row>
    <row r="3418" spans="1:4" x14ac:dyDescent="0.2">
      <c r="A3418" s="10">
        <v>3357</v>
      </c>
      <c r="B3418" s="1832"/>
      <c r="D3418" s="2" t="str">
        <f t="shared" si="52"/>
        <v>OK</v>
      </c>
    </row>
    <row r="3419" spans="1:4" x14ac:dyDescent="0.2">
      <c r="A3419" s="5">
        <v>3358</v>
      </c>
      <c r="B3419" s="1832">
        <f>'Assets-Liab 5-6'!F4</f>
        <v>407713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262438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803599</v>
      </c>
      <c r="D3425" s="2" t="str">
        <f t="shared" si="52"/>
        <v>Error?</v>
      </c>
    </row>
    <row r="3426" spans="1:4" x14ac:dyDescent="0.2">
      <c r="A3426" s="10">
        <v>3365</v>
      </c>
      <c r="B3426" s="1832"/>
      <c r="D3426" s="2" t="str">
        <f t="shared" si="52"/>
        <v>OK</v>
      </c>
    </row>
    <row r="3427" spans="1:4" x14ac:dyDescent="0.2">
      <c r="A3427" s="5">
        <v>3366</v>
      </c>
      <c r="B3427" s="1832">
        <f>'Assets-Liab 5-6'!I4</f>
        <v>1343356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870801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133920</v>
      </c>
      <c r="C3446" s="2" t="s">
        <v>569</v>
      </c>
      <c r="D3446" s="2" t="str">
        <f t="shared" si="52"/>
        <v>Error?</v>
      </c>
    </row>
    <row r="3447" spans="1:4" x14ac:dyDescent="0.2">
      <c r="A3447" s="5">
        <v>3386</v>
      </c>
      <c r="B3447" s="1832">
        <f>'Tax Sched 23'!D16</f>
        <v>133920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90311</v>
      </c>
      <c r="C3449" s="2" t="s">
        <v>569</v>
      </c>
      <c r="D3449" s="2" t="str">
        <f t="shared" si="52"/>
        <v>Error?</v>
      </c>
    </row>
    <row r="3450" spans="1:4" x14ac:dyDescent="0.2">
      <c r="A3450" s="5">
        <v>3389</v>
      </c>
      <c r="B3450" s="1832">
        <f>'Tax Sched 23'!E16</f>
        <v>90311</v>
      </c>
      <c r="D3450" s="2" t="str">
        <f t="shared" si="52"/>
        <v>Error?</v>
      </c>
    </row>
    <row r="3451" spans="1:4" x14ac:dyDescent="0.2">
      <c r="A3451" s="5">
        <v>3390</v>
      </c>
      <c r="B3451" s="1832">
        <f>'Cap Outlay Deprec 26'!C15</f>
        <v>240608</v>
      </c>
      <c r="D3451" s="2" t="str">
        <f t="shared" si="52"/>
        <v>Error?</v>
      </c>
    </row>
    <row r="3452" spans="1:4" x14ac:dyDescent="0.2">
      <c r="A3452" s="5">
        <v>3391</v>
      </c>
      <c r="B3452" s="1832">
        <f>'Cap Outlay Deprec 26'!D15</f>
        <v>227659</v>
      </c>
      <c r="D3452" s="2" t="str">
        <f t="shared" si="52"/>
        <v>Error?</v>
      </c>
    </row>
    <row r="3453" spans="1:4" x14ac:dyDescent="0.2">
      <c r="A3453" s="5">
        <v>3392</v>
      </c>
      <c r="B3453" s="1832">
        <f>'Cap Outlay Deprec 26'!E15</f>
        <v>240608</v>
      </c>
      <c r="D3453" s="2" t="str">
        <f t="shared" si="52"/>
        <v>Error?</v>
      </c>
    </row>
    <row r="3454" spans="1:4" x14ac:dyDescent="0.2">
      <c r="A3454" s="5">
        <v>3393</v>
      </c>
      <c r="B3454" s="1832">
        <f>'Cap Outlay Deprec 26'!F15</f>
        <v>227659</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227659</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116018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83269</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199287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199287</v>
      </c>
      <c r="D3567" s="2" t="str">
        <f t="shared" si="54"/>
        <v>Error?</v>
      </c>
    </row>
    <row r="3568" spans="1:4" x14ac:dyDescent="0.2">
      <c r="A3568" s="5">
        <v>3507</v>
      </c>
      <c r="B3568" s="1832">
        <f>'Assets-Liab 5-6'!K41</f>
        <v>199287</v>
      </c>
      <c r="C3568" s="2" t="s">
        <v>569</v>
      </c>
      <c r="D3568" s="2" t="str">
        <f t="shared" si="54"/>
        <v>Error?</v>
      </c>
    </row>
    <row r="3569" spans="1:4" x14ac:dyDescent="0.2">
      <c r="A3569" s="5">
        <v>3508</v>
      </c>
      <c r="B3569" s="1832">
        <f>'Acct Summary 7-8'!K4</f>
        <v>112008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112008</v>
      </c>
      <c r="C3571" s="2" t="s">
        <v>569</v>
      </c>
      <c r="D3571" s="2" t="str">
        <f t="shared" si="54"/>
        <v>Error?</v>
      </c>
    </row>
    <row r="3572" spans="1:4" x14ac:dyDescent="0.2">
      <c r="A3572" s="5">
        <v>3511</v>
      </c>
      <c r="B3572" s="1832">
        <f>'Acct Summary 7-8'!K13</f>
        <v>42476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42476</v>
      </c>
      <c r="C3575" s="2" t="s">
        <v>569</v>
      </c>
      <c r="D3575" s="2" t="str">
        <f t="shared" si="54"/>
        <v>Error?</v>
      </c>
    </row>
    <row r="3576" spans="1:4" x14ac:dyDescent="0.2">
      <c r="A3576" s="5">
        <v>3515</v>
      </c>
      <c r="B3576" s="1832">
        <f>'Acct Summary 7-8'!K20</f>
        <v>69532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69532</v>
      </c>
      <c r="C3588" s="2" t="s">
        <v>569</v>
      </c>
      <c r="D3588" s="2" t="str">
        <f t="shared" si="55"/>
        <v>Error?</v>
      </c>
    </row>
    <row r="3589" spans="1:4" x14ac:dyDescent="0.2">
      <c r="A3589" s="5">
        <v>3528</v>
      </c>
      <c r="B3589" s="1832">
        <f>'Acct Summary 7-8'!K79</f>
        <v>129755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199287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42476</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42476</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42476</v>
      </c>
      <c r="C3649" s="2" t="s">
        <v>569</v>
      </c>
      <c r="D3649" s="2" t="str">
        <f t="shared" si="56"/>
        <v>Error?</v>
      </c>
    </row>
    <row r="3650" spans="1:4" x14ac:dyDescent="0.2">
      <c r="A3650" s="5">
        <v>3589</v>
      </c>
      <c r="B3650" s="1832">
        <f>'Expenditures 15-22'!G367</f>
        <v>42476</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42476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42476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42476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42476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69532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45894</v>
      </c>
      <c r="C3725" s="2" t="s">
        <v>569</v>
      </c>
      <c r="D3725" s="2" t="str">
        <f t="shared" si="57"/>
        <v>Error?</v>
      </c>
    </row>
    <row r="3726" spans="1:4" x14ac:dyDescent="0.2">
      <c r="A3726" s="5">
        <v>3665</v>
      </c>
      <c r="B3726" s="1832">
        <f>'Tax Sched 23'!D13</f>
        <v>45894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47251</v>
      </c>
      <c r="C3728" s="2" t="s">
        <v>569</v>
      </c>
      <c r="D3728" s="2" t="str">
        <f t="shared" si="57"/>
        <v>Error?</v>
      </c>
    </row>
    <row r="3729" spans="1:4" x14ac:dyDescent="0.2">
      <c r="A3729" s="5">
        <v>3668</v>
      </c>
      <c r="B3729" s="1832">
        <f>'Tax Sched 23'!E13</f>
        <v>47251</v>
      </c>
      <c r="D3729" s="2" t="str">
        <f t="shared" si="57"/>
        <v>Error?</v>
      </c>
    </row>
    <row r="3730" spans="1:4" x14ac:dyDescent="0.2">
      <c r="A3730" s="5">
        <v>3669</v>
      </c>
      <c r="B3730" s="1832">
        <f>'ICR Computation 30'!E10</f>
        <v>261991.61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4315307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15011127</v>
      </c>
      <c r="C4122" s="2" t="s">
        <v>569</v>
      </c>
      <c r="D4122" s="2" t="str">
        <f t="shared" si="63"/>
        <v>Error?</v>
      </c>
    </row>
    <row r="4123" spans="1:4" x14ac:dyDescent="0.2">
      <c r="A4123" s="5">
        <v>4062</v>
      </c>
      <c r="B4123" s="1832">
        <f>'Acct Summary 7-8'!D10</f>
        <v>1821503</v>
      </c>
      <c r="C4123" s="2" t="s">
        <v>569</v>
      </c>
      <c r="D4123" s="2" t="str">
        <f t="shared" si="63"/>
        <v>Error?</v>
      </c>
    </row>
    <row r="4124" spans="1:4" x14ac:dyDescent="0.2">
      <c r="A4124" s="5">
        <v>4063</v>
      </c>
      <c r="B4124" s="1832">
        <f>'Acct Summary 7-8'!E10</f>
        <v>584802</v>
      </c>
      <c r="C4124" s="2" t="s">
        <v>569</v>
      </c>
      <c r="D4124" s="2" t="str">
        <f t="shared" si="63"/>
        <v>Error?</v>
      </c>
    </row>
    <row r="4125" spans="1:4" x14ac:dyDescent="0.2">
      <c r="A4125" s="5">
        <v>4064</v>
      </c>
      <c r="B4125" s="1832">
        <f>'Acct Summary 7-8'!F10</f>
        <v>767130</v>
      </c>
      <c r="C4125" s="2" t="s">
        <v>569</v>
      </c>
      <c r="D4125" s="2" t="str">
        <f t="shared" si="63"/>
        <v>Error?</v>
      </c>
    </row>
    <row r="4126" spans="1:4" x14ac:dyDescent="0.2">
      <c r="A4126" s="5">
        <v>4065</v>
      </c>
      <c r="B4126" s="1832">
        <f>'Acct Summary 7-8'!G10</f>
        <v>267791</v>
      </c>
      <c r="C4126" s="2" t="s">
        <v>569</v>
      </c>
      <c r="D4126" s="2" t="str">
        <f t="shared" si="63"/>
        <v>Error?</v>
      </c>
    </row>
    <row r="4127" spans="1:4" x14ac:dyDescent="0.2">
      <c r="A4127" s="5">
        <v>4066</v>
      </c>
      <c r="B4127" s="1832">
        <f>'Acct Summary 7-8'!H10</f>
        <v>298426</v>
      </c>
      <c r="C4127" s="2" t="s">
        <v>569</v>
      </c>
      <c r="D4127" s="2" t="str">
        <f t="shared" si="63"/>
        <v>Error?</v>
      </c>
    </row>
    <row r="4128" spans="1:4" x14ac:dyDescent="0.2">
      <c r="A4128" s="5">
        <v>4067</v>
      </c>
      <c r="B4128" s="1832">
        <f>'Acct Summary 7-8'!I10</f>
        <v>201934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112008</v>
      </c>
      <c r="C4130" s="2" t="s">
        <v>569</v>
      </c>
      <c r="D4130" s="2" t="str">
        <f t="shared" si="63"/>
        <v>Error?</v>
      </c>
    </row>
    <row r="4131" spans="1:4" x14ac:dyDescent="0.2">
      <c r="A4131" s="5">
        <v>4070</v>
      </c>
      <c r="B4131" s="1832">
        <f>'Acct Summary 7-8'!C18</f>
        <v>4315307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14711006</v>
      </c>
      <c r="C4136" s="2" t="s">
        <v>569</v>
      </c>
      <c r="D4136" s="2" t="str">
        <f t="shared" si="63"/>
        <v>Error?</v>
      </c>
    </row>
    <row r="4137" spans="1:4" x14ac:dyDescent="0.2">
      <c r="A4137" s="5">
        <v>4076</v>
      </c>
      <c r="B4137" s="1832">
        <f>'Acct Summary 7-8'!D19</f>
        <v>1532218</v>
      </c>
      <c r="C4137" s="2" t="s">
        <v>569</v>
      </c>
      <c r="D4137" s="2" t="str">
        <f t="shared" si="63"/>
        <v>Error?</v>
      </c>
    </row>
    <row r="4138" spans="1:4" x14ac:dyDescent="0.2">
      <c r="A4138" s="5">
        <v>4077</v>
      </c>
      <c r="B4138" s="1832">
        <f>'Acct Summary 7-8'!E19</f>
        <v>585425</v>
      </c>
      <c r="C4138" s="2" t="s">
        <v>569</v>
      </c>
      <c r="D4138" s="2" t="str">
        <f t="shared" si="63"/>
        <v>Error?</v>
      </c>
    </row>
    <row r="4139" spans="1:4" x14ac:dyDescent="0.2">
      <c r="A4139" s="5">
        <v>4078</v>
      </c>
      <c r="B4139" s="1832">
        <f>'Acct Summary 7-8'!F19</f>
        <v>649138</v>
      </c>
      <c r="C4139" s="2" t="s">
        <v>569</v>
      </c>
      <c r="D4139" s="2" t="str">
        <f t="shared" si="63"/>
        <v>Error?</v>
      </c>
    </row>
    <row r="4140" spans="1:4" x14ac:dyDescent="0.2">
      <c r="A4140" s="5">
        <v>4079</v>
      </c>
      <c r="B4140" s="1832">
        <f>'Acct Summary 7-8'!G19</f>
        <v>313969</v>
      </c>
      <c r="C4140" s="2" t="s">
        <v>569</v>
      </c>
      <c r="D4140" s="2" t="str">
        <f t="shared" si="63"/>
        <v>Error?</v>
      </c>
    </row>
    <row r="4141" spans="1:4" x14ac:dyDescent="0.2">
      <c r="A4141" s="5">
        <v>4080</v>
      </c>
      <c r="B4141" s="1832">
        <f>'Acct Summary 7-8'!H19</f>
        <v>3475460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42476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3570000</v>
      </c>
      <c r="C4171" s="2" t="s">
        <v>569</v>
      </c>
      <c r="D4171" s="2" t="str">
        <f t="shared" si="64"/>
        <v>Error?</v>
      </c>
    </row>
    <row r="4172" spans="1:4" x14ac:dyDescent="0.2">
      <c r="A4172" s="5">
        <v>4111</v>
      </c>
      <c r="B4172" s="1832">
        <f>'Short-Term Long-Term Debt 24'!J49</f>
        <v>3568987</v>
      </c>
      <c r="C4172" s="2" t="s">
        <v>569</v>
      </c>
      <c r="D4172" s="2" t="str">
        <f t="shared" si="64"/>
        <v>Error?</v>
      </c>
    </row>
    <row r="4173" spans="1:4" x14ac:dyDescent="0.2">
      <c r="A4173" s="5">
        <v>4112</v>
      </c>
      <c r="B4173" s="1832">
        <f>'Short-Term Long-Term Debt 24'!H49</f>
        <v>425000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1910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2280</v>
      </c>
      <c r="C4268" s="2" t="s">
        <v>569</v>
      </c>
      <c r="D4268" s="2" t="str">
        <f t="shared" si="65"/>
        <v>Error?</v>
      </c>
    </row>
    <row r="4269" spans="1:5" x14ac:dyDescent="0.2">
      <c r="A4269" s="12">
        <v>4208</v>
      </c>
      <c r="B4269" s="1832">
        <f>'FP Info 3'!J16</f>
        <v>10372907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4938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3941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381057874</v>
      </c>
      <c r="D4995" s="2" t="str">
        <f t="shared" si="77"/>
        <v>Error?</v>
      </c>
    </row>
    <row r="4996" spans="1:4" x14ac:dyDescent="0.2">
      <c r="A4996" s="12">
        <v>4935</v>
      </c>
      <c r="B4996" s="1832">
        <f>'FP Info 3'!H31</f>
        <v>26292993.306000002</v>
      </c>
      <c r="D4996" s="2" t="str">
        <f t="shared" si="77"/>
        <v>Error?</v>
      </c>
    </row>
    <row r="4997" spans="1:4" x14ac:dyDescent="0.2">
      <c r="A4997" s="12">
        <v>4936</v>
      </c>
      <c r="B4997" s="1832">
        <f>'FP Info 3'!H37</f>
        <v>3570000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45894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7369579</v>
      </c>
      <c r="D5061" s="2" t="str">
        <f t="shared" si="78"/>
        <v>Error?</v>
      </c>
    </row>
    <row r="5062" spans="1:4" x14ac:dyDescent="0.2">
      <c r="A5062" s="10">
        <v>5001</v>
      </c>
      <c r="B5062" s="1832"/>
      <c r="D5062" s="2" t="str">
        <f t="shared" si="78"/>
        <v>OK</v>
      </c>
    </row>
    <row r="5063" spans="1:4" x14ac:dyDescent="0.2">
      <c r="A5063" s="5">
        <v>5002</v>
      </c>
      <c r="B5063" s="1832">
        <f>'Revenues 9-14'!C7</f>
        <v>77168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7492641</v>
      </c>
      <c r="C5066" s="2" t="s">
        <v>569</v>
      </c>
      <c r="D5066" s="2" t="str">
        <f t="shared" si="78"/>
        <v>Error?</v>
      </c>
    </row>
    <row r="5067" spans="1:4" x14ac:dyDescent="0.2">
      <c r="A5067" s="5">
        <v>5006</v>
      </c>
      <c r="B5067" s="1832">
        <f>'Revenues 9-14'!C14</f>
        <v>2600</v>
      </c>
      <c r="D5067" s="2" t="str">
        <f t="shared" si="78"/>
        <v>Error?</v>
      </c>
    </row>
    <row r="5068" spans="1:4" x14ac:dyDescent="0.2">
      <c r="A5068" s="5">
        <v>5007</v>
      </c>
      <c r="B5068" s="1832">
        <f>'Revenues 9-14'!C15</f>
        <v>763</v>
      </c>
      <c r="D5068" s="2" t="str">
        <f t="shared" si="78"/>
        <v>Error?</v>
      </c>
    </row>
    <row r="5069" spans="1:4" x14ac:dyDescent="0.2">
      <c r="A5069" s="5">
        <v>5008</v>
      </c>
      <c r="B5069" s="1832">
        <f>'Revenues 9-14'!C16</f>
        <v>104901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108264</v>
      </c>
      <c r="C5071" s="2" t="s">
        <v>569</v>
      </c>
      <c r="D5071" s="2" t="str">
        <f t="shared" si="78"/>
        <v>Error?</v>
      </c>
    </row>
    <row r="5072" spans="1:4" x14ac:dyDescent="0.2">
      <c r="A5072" s="5">
        <v>5011</v>
      </c>
      <c r="B5072" s="1832">
        <f>'Revenues 9-14'!C20</f>
        <v>4415</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11531</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15946</v>
      </c>
      <c r="C5087" s="2" t="s">
        <v>569</v>
      </c>
      <c r="D5087" s="2" t="str">
        <f t="shared" si="78"/>
        <v>Error?</v>
      </c>
    </row>
    <row r="5088" spans="1:4" x14ac:dyDescent="0.2">
      <c r="A5088" s="5">
        <v>5027</v>
      </c>
      <c r="B5088" s="1832">
        <f>'Revenues 9-14'!C65</f>
        <v>90858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90858</v>
      </c>
      <c r="C5090" s="2" t="s">
        <v>569</v>
      </c>
      <c r="D5090" s="2" t="str">
        <f t="shared" si="78"/>
        <v>Error?</v>
      </c>
    </row>
    <row r="5091" spans="1:4" x14ac:dyDescent="0.2">
      <c r="A5091" s="5">
        <v>5030</v>
      </c>
      <c r="B5091" s="1832">
        <f>'Revenues 9-14'!C70</f>
        <v>9027</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17056</v>
      </c>
      <c r="D5094" s="2" t="str">
        <f t="shared" si="78"/>
        <v>Error?</v>
      </c>
    </row>
    <row r="5095" spans="1:4" x14ac:dyDescent="0.2">
      <c r="A5095" s="5">
        <v>5034</v>
      </c>
      <c r="B5095" s="1832">
        <f>'Revenues 9-14'!C74</f>
        <v>4457</v>
      </c>
      <c r="D5095" s="2" t="str">
        <f t="shared" si="78"/>
        <v>Error?</v>
      </c>
    </row>
    <row r="5096" spans="1:4" x14ac:dyDescent="0.2">
      <c r="A5096" s="5">
        <v>5035</v>
      </c>
      <c r="B5096" s="1832">
        <f>'Revenues 9-14'!C75</f>
        <v>306844</v>
      </c>
      <c r="C5096" s="2" t="s">
        <v>569</v>
      </c>
      <c r="D5096" s="2" t="str">
        <f t="shared" si="78"/>
        <v>Error?</v>
      </c>
    </row>
    <row r="5097" spans="1:4" x14ac:dyDescent="0.2">
      <c r="A5097" s="5">
        <v>5036</v>
      </c>
      <c r="B5097" s="1832">
        <f>'Revenues 9-14'!C77</f>
        <v>31753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5178</v>
      </c>
      <c r="D5099" s="2" t="str">
        <f t="shared" si="78"/>
        <v>Error?</v>
      </c>
    </row>
    <row r="5100" spans="1:4" x14ac:dyDescent="0.2">
      <c r="A5100" s="5">
        <v>5039</v>
      </c>
      <c r="B5100" s="1832">
        <f>'Revenues 9-14'!C80</f>
        <v>9245</v>
      </c>
      <c r="D5100" s="2" t="str">
        <f t="shared" si="78"/>
        <v>Error?</v>
      </c>
    </row>
    <row r="5101" spans="1:4" x14ac:dyDescent="0.2">
      <c r="A5101" s="5">
        <v>5040</v>
      </c>
      <c r="B5101" s="1832">
        <f>'Revenues 9-14'!C81</f>
        <v>21893</v>
      </c>
      <c r="D5101" s="2" t="str">
        <f t="shared" si="78"/>
        <v>Error?</v>
      </c>
    </row>
    <row r="5102" spans="1:4" x14ac:dyDescent="0.2">
      <c r="A5102" s="5">
        <v>5041</v>
      </c>
      <c r="B5102" s="1832">
        <f>'Revenues 9-14'!C82</f>
        <v>68069</v>
      </c>
      <c r="C5102" s="2" t="s">
        <v>569</v>
      </c>
      <c r="D5102" s="2" t="str">
        <f t="shared" si="78"/>
        <v>Error?</v>
      </c>
    </row>
    <row r="5103" spans="1:4" x14ac:dyDescent="0.2">
      <c r="A5103" s="5">
        <v>5042</v>
      </c>
      <c r="B5103" s="1832">
        <f>'Revenues 9-14'!C84</f>
        <v>137382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536</v>
      </c>
      <c r="D5111" s="2" t="str">
        <f t="shared" si="78"/>
        <v>Error?</v>
      </c>
    </row>
    <row r="5112" spans="1:4" x14ac:dyDescent="0.2">
      <c r="A5112" s="5">
        <v>5051</v>
      </c>
      <c r="B5112" s="1832">
        <f>'Revenues 9-14'!C93</f>
        <v>137918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27428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53849</v>
      </c>
      <c r="D5119" s="2" t="str">
        <f t="shared" ref="D5119:D5182" si="79">IF(ISBLANK(B5119),"OK",IF(A5119-B5119=0,"OK","Error?"))</f>
        <v>Error?</v>
      </c>
    </row>
    <row r="5120" spans="1:4" x14ac:dyDescent="0.2">
      <c r="A5120" s="5">
        <v>5059</v>
      </c>
      <c r="B5120" s="1832">
        <f>'Revenues 9-14'!C108</f>
        <v>106636</v>
      </c>
      <c r="C5120" s="2" t="s">
        <v>569</v>
      </c>
      <c r="D5120" s="2" t="str">
        <f t="shared" si="79"/>
        <v>Error?</v>
      </c>
    </row>
    <row r="5121" spans="1:4" x14ac:dyDescent="0.2">
      <c r="A5121" s="5">
        <v>5060</v>
      </c>
      <c r="B5121" s="1832">
        <f>'Revenues 9-14'!C109</f>
        <v>8327176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1372079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1372079</v>
      </c>
      <c r="C5132" s="2" t="s">
        <v>569</v>
      </c>
      <c r="D5132" s="2" t="str">
        <f t="shared" si="79"/>
        <v>Error?</v>
      </c>
    </row>
    <row r="5133" spans="1:4" x14ac:dyDescent="0.2">
      <c r="A5133" s="5">
        <v>5072</v>
      </c>
      <c r="B5133" s="1832">
        <f>'Revenues 9-14'!C125</f>
        <v>155631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55463</v>
      </c>
      <c r="D5135" s="2" t="str">
        <f t="shared" si="79"/>
        <v>Error?</v>
      </c>
    </row>
    <row r="5136" spans="1:4" x14ac:dyDescent="0.2">
      <c r="A5136" s="10">
        <v>5075</v>
      </c>
      <c r="B5136" s="1832"/>
      <c r="D5136" s="2" t="str">
        <f t="shared" si="79"/>
        <v>OK</v>
      </c>
    </row>
    <row r="5137" spans="1:4" x14ac:dyDescent="0.2">
      <c r="A5137" s="5">
        <v>5076</v>
      </c>
      <c r="B5137" s="1832">
        <f>'Revenues 9-14'!C128</f>
        <v>43020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254114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60484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64174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1051</v>
      </c>
      <c r="D5167" s="2" t="str">
        <f t="shared" si="79"/>
        <v>Error?</v>
      </c>
    </row>
    <row r="5168" spans="1:4" x14ac:dyDescent="0.2">
      <c r="A5168" s="5">
        <v>5107</v>
      </c>
      <c r="B5168" s="1832">
        <f>'Revenues 9-14'!C148</f>
        <v>30289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349628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1721707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67183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14572</v>
      </c>
      <c r="D5241" s="2" t="str">
        <f t="shared" si="80"/>
        <v>Error?</v>
      </c>
    </row>
    <row r="5242" spans="1:4" x14ac:dyDescent="0.2">
      <c r="A5242" s="5">
        <v>5181</v>
      </c>
      <c r="B5242" s="1832">
        <f>'Revenues 9-14'!C194</f>
        <v>2298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84053</v>
      </c>
      <c r="C5246" s="2" t="s">
        <v>569</v>
      </c>
      <c r="D5246" s="2" t="str">
        <f t="shared" si="80"/>
        <v>Error?</v>
      </c>
    </row>
    <row r="5247" spans="1:4" x14ac:dyDescent="0.2">
      <c r="A5247" s="5">
        <v>5186</v>
      </c>
      <c r="B5247" s="1832">
        <f>'Revenues 9-14'!C200</f>
        <v>37416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37416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323641</v>
      </c>
      <c r="D5278" s="2" t="str">
        <f t="shared" si="81"/>
        <v>Error?</v>
      </c>
    </row>
    <row r="5279" spans="1:4" x14ac:dyDescent="0.2">
      <c r="A5279" s="5">
        <v>5218</v>
      </c>
      <c r="B5279" s="1832">
        <f>'Revenues 9-14'!C214</f>
        <v>182948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506589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646937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646937</v>
      </c>
      <c r="C5326" s="2" t="s">
        <v>569</v>
      </c>
      <c r="D5326" s="2" t="str">
        <f t="shared" si="82"/>
        <v>Error?</v>
      </c>
    </row>
    <row r="5327" spans="1:5" x14ac:dyDescent="0.2">
      <c r="A5327" s="5">
        <v>5266</v>
      </c>
      <c r="B5327" s="1832">
        <f>'Revenues 9-14'!C268</f>
        <v>10695820</v>
      </c>
      <c r="C5327" s="2" t="s">
        <v>569</v>
      </c>
      <c r="D5327" s="2" t="str">
        <f t="shared" si="82"/>
        <v>Error?</v>
      </c>
    </row>
    <row r="5328" spans="1:5" x14ac:dyDescent="0.2">
      <c r="A5328" s="5">
        <v>5267</v>
      </c>
      <c r="B5328" s="1832">
        <f>'Revenues 9-14'!D5</f>
        <v>964603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964603</v>
      </c>
      <c r="C5334" s="2" t="s">
        <v>569</v>
      </c>
      <c r="D5334" s="2" t="str">
        <f t="shared" si="82"/>
        <v>Error?</v>
      </c>
    </row>
    <row r="5335" spans="1:4" x14ac:dyDescent="0.2">
      <c r="A5335" s="5">
        <v>5274</v>
      </c>
      <c r="B5335" s="1832">
        <f>'Revenues 9-14'!D14</f>
        <v>335</v>
      </c>
      <c r="D5335" s="2" t="str">
        <f t="shared" si="82"/>
        <v>Error?</v>
      </c>
    </row>
    <row r="5336" spans="1:4" x14ac:dyDescent="0.2">
      <c r="A5336" s="5">
        <v>5275</v>
      </c>
      <c r="B5336" s="1832">
        <f>'Revenues 9-14'!D15</f>
        <v>98</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433</v>
      </c>
      <c r="C5339" s="2" t="s">
        <v>569</v>
      </c>
      <c r="D5339" s="2" t="str">
        <f t="shared" si="82"/>
        <v>Error?</v>
      </c>
    </row>
    <row r="5340" spans="1:4" x14ac:dyDescent="0.2">
      <c r="A5340" s="5">
        <v>5279</v>
      </c>
      <c r="B5340" s="1832">
        <f>'Revenues 9-14'!D65</f>
        <v>11224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11224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11167</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770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8360</v>
      </c>
      <c r="D5354" s="2" t="str">
        <f t="shared" si="82"/>
        <v>Error?</v>
      </c>
    </row>
    <row r="5355" spans="1:4" x14ac:dyDescent="0.2">
      <c r="A5355" s="5">
        <v>5294</v>
      </c>
      <c r="B5355" s="1832">
        <f>'Revenues 9-14'!D108</f>
        <v>20297</v>
      </c>
      <c r="C5355" s="2" t="s">
        <v>569</v>
      </c>
      <c r="D5355" s="2" t="str">
        <f t="shared" si="82"/>
        <v>Error?</v>
      </c>
    </row>
    <row r="5356" spans="1:4" x14ac:dyDescent="0.2">
      <c r="A5356" s="5">
        <v>5295</v>
      </c>
      <c r="B5356" s="1832">
        <f>'Revenues 9-14'!D109</f>
        <v>996557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774946</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774946</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824946</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1821503</v>
      </c>
      <c r="C5508" s="2" t="s">
        <v>569</v>
      </c>
      <c r="D5508" s="2" t="str">
        <f t="shared" si="85"/>
        <v>Error?</v>
      </c>
    </row>
    <row r="5509" spans="1:4" x14ac:dyDescent="0.2">
      <c r="A5509" s="5">
        <v>5448</v>
      </c>
      <c r="B5509" s="1832">
        <f>'Revenues 9-14'!E5</f>
        <v>583304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583304</v>
      </c>
      <c r="C5513" s="2" t="s">
        <v>569</v>
      </c>
      <c r="D5513" s="2" t="str">
        <f t="shared" si="85"/>
        <v>Error?</v>
      </c>
    </row>
    <row r="5514" spans="1:4" x14ac:dyDescent="0.2">
      <c r="A5514" s="5">
        <v>5453</v>
      </c>
      <c r="B5514" s="1832">
        <f>'Revenues 9-14'!E14</f>
        <v>202</v>
      </c>
      <c r="D5514" s="2" t="str">
        <f t="shared" si="85"/>
        <v>Error?</v>
      </c>
    </row>
    <row r="5515" spans="1:4" x14ac:dyDescent="0.2">
      <c r="A5515" s="5">
        <v>5454</v>
      </c>
      <c r="B5515" s="1832">
        <f>'Revenues 9-14'!E15</f>
        <v>59</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261</v>
      </c>
      <c r="C5518" s="2" t="s">
        <v>569</v>
      </c>
      <c r="D5518" s="2" t="str">
        <f t="shared" si="85"/>
        <v>Error?</v>
      </c>
    </row>
    <row r="5519" spans="1:4" x14ac:dyDescent="0.2">
      <c r="A5519" s="5">
        <v>5458</v>
      </c>
      <c r="B5519" s="1832">
        <f>'Revenues 9-14'!E65</f>
        <v>1237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1237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584802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584802</v>
      </c>
      <c r="C5552" s="2" t="s">
        <v>569</v>
      </c>
      <c r="D5552" s="2" t="str">
        <f t="shared" si="85"/>
        <v>Error?</v>
      </c>
    </row>
    <row r="5553" spans="1:4" x14ac:dyDescent="0.2">
      <c r="A5553" s="5">
        <v>5492</v>
      </c>
      <c r="B5553" s="1832">
        <f>'Revenues 9-14'!F5</f>
        <v>463011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463011</v>
      </c>
      <c r="C5557" s="2" t="s">
        <v>569</v>
      </c>
      <c r="D5557" s="2" t="str">
        <f t="shared" si="85"/>
        <v>Error?</v>
      </c>
    </row>
    <row r="5558" spans="1:4" x14ac:dyDescent="0.2">
      <c r="A5558" s="5">
        <v>5497</v>
      </c>
      <c r="B5558" s="1832">
        <f>'Revenues 9-14'!F14</f>
        <v>161</v>
      </c>
      <c r="D5558" s="2" t="str">
        <f t="shared" si="85"/>
        <v>Error?</v>
      </c>
    </row>
    <row r="5559" spans="1:4" x14ac:dyDescent="0.2">
      <c r="A5559" s="5">
        <v>5498</v>
      </c>
      <c r="B5559" s="1832">
        <f>'Revenues 9-14'!F15</f>
        <v>47</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208</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729</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729</v>
      </c>
      <c r="C5579" s="2" t="s">
        <v>569</v>
      </c>
      <c r="D5579" s="2" t="str">
        <f t="shared" si="86"/>
        <v>Error?</v>
      </c>
    </row>
    <row r="5580" spans="1:4" x14ac:dyDescent="0.2">
      <c r="A5580" s="5">
        <v>5519</v>
      </c>
      <c r="B5580" s="1832">
        <f>'Revenues 9-14'!F65</f>
        <v>2601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2601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66</v>
      </c>
      <c r="D5585" s="2" t="str">
        <f t="shared" si="86"/>
        <v>Error?</v>
      </c>
    </row>
    <row r="5586" spans="1:4" x14ac:dyDescent="0.2">
      <c r="A5586" s="5">
        <v>5525</v>
      </c>
      <c r="B5586" s="1832">
        <f>'Revenues 9-14'!F107</f>
        <v>1155</v>
      </c>
      <c r="D5586" s="2" t="str">
        <f t="shared" si="86"/>
        <v>Error?</v>
      </c>
    </row>
    <row r="5587" spans="1:4" x14ac:dyDescent="0.2">
      <c r="A5587" s="5">
        <v>5526</v>
      </c>
      <c r="B5587" s="1832">
        <f>'Revenues 9-14'!F108</f>
        <v>1221</v>
      </c>
      <c r="C5587" s="2" t="s">
        <v>569</v>
      </c>
      <c r="D5587" s="2" t="str">
        <f t="shared" si="86"/>
        <v>Error?</v>
      </c>
    </row>
    <row r="5588" spans="1:4" x14ac:dyDescent="0.2">
      <c r="A5588" s="5">
        <v>5527</v>
      </c>
      <c r="B5588" s="1832">
        <f>'Revenues 9-14'!F109</f>
        <v>467770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98604</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98604</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102678</v>
      </c>
      <c r="D5615" s="2" t="str">
        <f t="shared" si="86"/>
        <v>Error?</v>
      </c>
    </row>
    <row r="5616" spans="1:4" x14ac:dyDescent="0.2">
      <c r="A5616" s="10">
        <v>5555</v>
      </c>
      <c r="B5616" s="1832"/>
      <c r="D5616" s="2" t="str">
        <f t="shared" si="86"/>
        <v>OK</v>
      </c>
    </row>
    <row r="5617" spans="1:5" x14ac:dyDescent="0.2">
      <c r="A5617" s="5">
        <v>5556</v>
      </c>
      <c r="B5617" s="1832">
        <f>'Revenues 9-14'!F153</f>
        <v>98078</v>
      </c>
      <c r="D5617" s="2" t="str">
        <f t="shared" si="86"/>
        <v>Error?</v>
      </c>
    </row>
    <row r="5618" spans="1:5" x14ac:dyDescent="0.2">
      <c r="A5618" s="5">
        <v>5557</v>
      </c>
      <c r="B5618" s="1832">
        <f>'Revenues 9-14'!F155</f>
        <v>200756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200756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299360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767130</v>
      </c>
      <c r="C5720" s="2" t="s">
        <v>569</v>
      </c>
      <c r="D5720" s="2" t="str">
        <f t="shared" si="88"/>
        <v>Error?</v>
      </c>
    </row>
    <row r="5721" spans="1:4" x14ac:dyDescent="0.2">
      <c r="A5721" s="5">
        <v>5660</v>
      </c>
      <c r="B5721" s="1832">
        <f>'Revenues 9-14'!G5</f>
        <v>110003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133920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243923</v>
      </c>
      <c r="C5725" s="2" t="s">
        <v>569</v>
      </c>
      <c r="D5725" s="2" t="str">
        <f t="shared" si="88"/>
        <v>Error?</v>
      </c>
    </row>
    <row r="5726" spans="1:4" x14ac:dyDescent="0.2">
      <c r="A5726" s="5">
        <v>5665</v>
      </c>
      <c r="B5726" s="1832">
        <f>'Revenues 9-14'!G14</f>
        <v>85</v>
      </c>
      <c r="D5726" s="2" t="str">
        <f t="shared" si="88"/>
        <v>Error?</v>
      </c>
    </row>
    <row r="5727" spans="1:4" x14ac:dyDescent="0.2">
      <c r="A5727" s="5">
        <v>5666</v>
      </c>
      <c r="B5727" s="1832">
        <f>'Revenues 9-14'!G15</f>
        <v>25</v>
      </c>
      <c r="D5727" s="2" t="str">
        <f t="shared" si="88"/>
        <v>Error?</v>
      </c>
    </row>
    <row r="5728" spans="1:4" x14ac:dyDescent="0.2">
      <c r="A5728" s="5">
        <v>5667</v>
      </c>
      <c r="B5728" s="1832">
        <f>'Revenues 9-14'!G16</f>
        <v>20000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20110</v>
      </c>
      <c r="C5730" s="2" t="s">
        <v>569</v>
      </c>
      <c r="D5730" s="2" t="str">
        <f t="shared" si="88"/>
        <v>Error?</v>
      </c>
    </row>
    <row r="5731" spans="1:4" x14ac:dyDescent="0.2">
      <c r="A5731" s="5">
        <v>5670</v>
      </c>
      <c r="B5731" s="1832">
        <f>'Revenues 9-14'!G65</f>
        <v>3758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3758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267791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9069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9069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289357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298426</v>
      </c>
      <c r="C5915" s="2" t="s">
        <v>569</v>
      </c>
      <c r="D5915" s="2" t="str">
        <f t="shared" si="91"/>
        <v>Error?</v>
      </c>
    </row>
    <row r="5916" spans="1:4" x14ac:dyDescent="0.2">
      <c r="A5916" s="5">
        <v>5855</v>
      </c>
      <c r="B5916" s="1832">
        <f>'Revenues 9-14'!I5</f>
        <v>192921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192921</v>
      </c>
      <c r="C5918" s="2" t="s">
        <v>569</v>
      </c>
      <c r="D5918" s="2" t="str">
        <f t="shared" si="91"/>
        <v>Error?</v>
      </c>
    </row>
    <row r="5919" spans="1:4" x14ac:dyDescent="0.2">
      <c r="A5919" s="5">
        <v>5858</v>
      </c>
      <c r="B5919" s="1832">
        <f>'Revenues 9-14'!I14</f>
        <v>67</v>
      </c>
      <c r="D5919" s="2" t="str">
        <f t="shared" si="91"/>
        <v>Error?</v>
      </c>
    </row>
    <row r="5920" spans="1:4" x14ac:dyDescent="0.2">
      <c r="A5920" s="5">
        <v>5859</v>
      </c>
      <c r="B5920" s="1832">
        <f>'Revenues 9-14'!I15</f>
        <v>20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87</v>
      </c>
      <c r="C5923" s="2" t="s">
        <v>569</v>
      </c>
      <c r="D5923" s="2" t="str">
        <f t="shared" si="91"/>
        <v>Error?</v>
      </c>
    </row>
    <row r="5924" spans="1:4" x14ac:dyDescent="0.2">
      <c r="A5924" s="5">
        <v>5863</v>
      </c>
      <c r="B5924" s="1832">
        <f>'Revenues 9-14'!I65</f>
        <v>8926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8926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201934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110003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110003</v>
      </c>
      <c r="C5987" s="2" t="s">
        <v>569</v>
      </c>
      <c r="D5987" s="2" t="str">
        <f t="shared" si="92"/>
        <v>Error?</v>
      </c>
    </row>
    <row r="5988" spans="1:4" x14ac:dyDescent="0.2">
      <c r="A5988" s="5">
        <v>5927</v>
      </c>
      <c r="B5988" s="1832">
        <f>'Revenues 9-14'!K14</f>
        <v>38</v>
      </c>
      <c r="D5988" s="2" t="str">
        <f t="shared" si="92"/>
        <v>Error?</v>
      </c>
    </row>
    <row r="5989" spans="1:4" x14ac:dyDescent="0.2">
      <c r="A5989" s="5">
        <v>5928</v>
      </c>
      <c r="B5989" s="1832">
        <f>'Revenues 9-14'!K15</f>
        <v>11</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49</v>
      </c>
      <c r="C5992" s="2" t="s">
        <v>569</v>
      </c>
      <c r="D5992" s="2" t="str">
        <f t="shared" si="92"/>
        <v>Error?</v>
      </c>
    </row>
    <row r="5993" spans="1:4" x14ac:dyDescent="0.2">
      <c r="A5993" s="5">
        <v>5932</v>
      </c>
      <c r="B5993" s="1832">
        <f>'Revenues 9-14'!K65</f>
        <v>1956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1956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112008</v>
      </c>
      <c r="C6023" s="2" t="s">
        <v>569</v>
      </c>
      <c r="D6023" s="2" t="str">
        <f t="shared" si="93"/>
        <v>Error?</v>
      </c>
    </row>
    <row r="6024" spans="1:5" x14ac:dyDescent="0.2">
      <c r="A6024" s="5">
        <v>5963</v>
      </c>
      <c r="B6024" s="1832">
        <f>'Revenues 9-14'!G109</f>
        <v>267791</v>
      </c>
      <c r="C6024" s="2" t="s">
        <v>569</v>
      </c>
      <c r="D6024" s="2" t="str">
        <f t="shared" si="93"/>
        <v>Error?</v>
      </c>
    </row>
    <row r="6025" spans="1:5" x14ac:dyDescent="0.2">
      <c r="A6025" s="5">
        <v>5964</v>
      </c>
      <c r="B6025" s="1832">
        <f>'Revenues 9-14'!H109</f>
        <v>298426</v>
      </c>
      <c r="C6025" s="2" t="s">
        <v>569</v>
      </c>
      <c r="D6025" s="2" t="str">
        <f t="shared" si="93"/>
        <v>Error?</v>
      </c>
    </row>
    <row r="6026" spans="1:5" x14ac:dyDescent="0.2">
      <c r="A6026" s="5">
        <v>5965</v>
      </c>
      <c r="B6026" s="1832">
        <f>'Revenues 9-14'!I109</f>
        <v>201934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112008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276304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24553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887.7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15974</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215155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15974</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215155</v>
      </c>
      <c r="D6215" s="2" t="str">
        <f t="shared" si="96"/>
        <v>Error?</v>
      </c>
      <c r="E6215" s="2" t="s">
        <v>189</v>
      </c>
    </row>
    <row r="6216" spans="1:5" x14ac:dyDescent="0.2">
      <c r="A6216">
        <v>6155</v>
      </c>
      <c r="B6216" s="1832">
        <f>'Assets-Liab 5-6'!J41</f>
        <v>215155</v>
      </c>
      <c r="D6216" s="2" t="str">
        <f t="shared" si="96"/>
        <v>Error?</v>
      </c>
      <c r="E6216" s="2" t="s">
        <v>189</v>
      </c>
    </row>
    <row r="6217" spans="1:5" x14ac:dyDescent="0.2">
      <c r="A6217">
        <v>6156</v>
      </c>
      <c r="B6217" s="1832">
        <f>'Assets-Liab 5-6'!J4</f>
        <v>215155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231735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231735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231735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193284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193284</v>
      </c>
      <c r="D6229" s="2" t="str">
        <f t="shared" si="96"/>
        <v>Error?</v>
      </c>
      <c r="E6229" s="2" t="s">
        <v>189</v>
      </c>
    </row>
    <row r="6230" spans="1:5" x14ac:dyDescent="0.2">
      <c r="A6230">
        <v>6169</v>
      </c>
      <c r="B6230" s="1832">
        <f>'Acct Summary 7-8'!J20</f>
        <v>38451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38451</v>
      </c>
      <c r="D6263" s="2" t="str">
        <f t="shared" si="96"/>
        <v>Error?</v>
      </c>
      <c r="E6263" s="2" t="s">
        <v>189</v>
      </c>
    </row>
    <row r="6264" spans="1:5" x14ac:dyDescent="0.2">
      <c r="A6264">
        <v>6203</v>
      </c>
      <c r="B6264" s="1832">
        <f>'Acct Summary 7-8'!J79</f>
        <v>176704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215155</v>
      </c>
      <c r="D6266" s="2" t="str">
        <f t="shared" si="96"/>
        <v>Error?</v>
      </c>
      <c r="E6266" s="2" t="s">
        <v>189</v>
      </c>
    </row>
    <row r="6267" spans="1:5" x14ac:dyDescent="0.2">
      <c r="A6267">
        <v>6206</v>
      </c>
      <c r="B6267" s="1832">
        <f>'Acct Summary 7-8'!C82</f>
        <v>300121</v>
      </c>
      <c r="D6267" s="2" t="str">
        <f t="shared" si="96"/>
        <v>Error?</v>
      </c>
      <c r="E6267" s="2" t="s">
        <v>189</v>
      </c>
    </row>
    <row r="6268" spans="1:5" x14ac:dyDescent="0.2">
      <c r="A6268">
        <v>6207</v>
      </c>
      <c r="B6268" s="1832">
        <f>'Acct Summary 7-8'!D82</f>
        <v>289285</v>
      </c>
      <c r="D6268" s="2" t="str">
        <f t="shared" si="96"/>
        <v>Error?</v>
      </c>
      <c r="E6268" s="2" t="s">
        <v>189</v>
      </c>
    </row>
    <row r="6269" spans="1:5" x14ac:dyDescent="0.2">
      <c r="A6269">
        <v>6208</v>
      </c>
      <c r="B6269" s="1832">
        <f>'Acct Summary 7-8'!E82</f>
        <v>-623</v>
      </c>
      <c r="D6269" s="2" t="str">
        <f t="shared" si="96"/>
        <v>Error?</v>
      </c>
      <c r="E6269" s="2" t="s">
        <v>189</v>
      </c>
    </row>
    <row r="6270" spans="1:5" x14ac:dyDescent="0.2">
      <c r="A6270">
        <v>6209</v>
      </c>
      <c r="B6270" s="1832">
        <f>'Acct Summary 7-8'!F82</f>
        <v>117992</v>
      </c>
      <c r="D6270" s="2" t="str">
        <f t="shared" si="96"/>
        <v>Error?</v>
      </c>
      <c r="E6270" s="2" t="s">
        <v>189</v>
      </c>
    </row>
    <row r="6271" spans="1:5" x14ac:dyDescent="0.2">
      <c r="A6271">
        <v>6210</v>
      </c>
      <c r="B6271" s="1832">
        <f>'Acct Summary 7-8'!G82</f>
        <v>-46178</v>
      </c>
      <c r="D6271" s="2" t="str">
        <f t="shared" ref="D6271:D6334" si="97">IF(ISBLANK(B6271),"OK",IF(A6271-B6271=0,"OK","Error?"))</f>
        <v>Error?</v>
      </c>
      <c r="E6271" s="2" t="s">
        <v>189</v>
      </c>
    </row>
    <row r="6272" spans="1:5" x14ac:dyDescent="0.2">
      <c r="A6272">
        <v>6211</v>
      </c>
      <c r="B6272" s="1832">
        <f>'Acct Summary 7-8'!H82</f>
        <v>-3177034</v>
      </c>
      <c r="D6272" s="2" t="str">
        <f t="shared" si="97"/>
        <v>Error?</v>
      </c>
      <c r="E6272" s="2" t="s">
        <v>189</v>
      </c>
    </row>
    <row r="6273" spans="1:5" x14ac:dyDescent="0.2">
      <c r="A6273">
        <v>6212</v>
      </c>
      <c r="B6273" s="1832">
        <f>'Acct Summary 7-8'!I82</f>
        <v>201934</v>
      </c>
      <c r="D6273" s="2" t="str">
        <f t="shared" si="97"/>
        <v>Error?</v>
      </c>
      <c r="E6273" s="2" t="s">
        <v>189</v>
      </c>
    </row>
    <row r="6274" spans="1:5" x14ac:dyDescent="0.2">
      <c r="A6274">
        <v>6213</v>
      </c>
      <c r="B6274" s="1832">
        <f>'Acct Summary 7-8'!J82</f>
        <v>38451</v>
      </c>
      <c r="D6274" s="2" t="str">
        <f t="shared" si="97"/>
        <v>Error?</v>
      </c>
      <c r="E6274" s="2" t="s">
        <v>189</v>
      </c>
    </row>
    <row r="6275" spans="1:5" x14ac:dyDescent="0.2">
      <c r="A6275">
        <v>6214</v>
      </c>
      <c r="B6275" s="1832">
        <f>'Acct Summary 7-8'!K82</f>
        <v>69532</v>
      </c>
      <c r="D6275" s="2" t="str">
        <f t="shared" si="97"/>
        <v>Error?</v>
      </c>
      <c r="E6275" s="2" t="s">
        <v>189</v>
      </c>
    </row>
    <row r="6276" spans="1:5" x14ac:dyDescent="0.2">
      <c r="A6276">
        <v>6215</v>
      </c>
      <c r="B6276" s="1832">
        <f>'Acct Summary 7-8'!C83</f>
        <v>4.63867899171665E-2</v>
      </c>
      <c r="D6276" s="2" t="str">
        <f t="shared" si="97"/>
        <v>Error?</v>
      </c>
      <c r="E6276" s="2" t="s">
        <v>189</v>
      </c>
    </row>
    <row r="6277" spans="1:5" x14ac:dyDescent="0.2">
      <c r="A6277">
        <v>6216</v>
      </c>
      <c r="B6277" s="1832">
        <f>'Acct Summary 7-8'!D83</f>
        <v>0.16064659581486421</v>
      </c>
      <c r="D6277" s="2" t="str">
        <f t="shared" si="97"/>
        <v>Error?</v>
      </c>
      <c r="E6277" s="2" t="s">
        <v>189</v>
      </c>
    </row>
    <row r="6278" spans="1:5" x14ac:dyDescent="0.2">
      <c r="A6278">
        <v>6217</v>
      </c>
      <c r="B6278" s="1832">
        <f>'Acct Summary 7-8'!E83</f>
        <v>-0.61500493583415594</v>
      </c>
      <c r="D6278" s="2" t="str">
        <f t="shared" si="97"/>
        <v>Error?</v>
      </c>
      <c r="E6278" s="2" t="s">
        <v>189</v>
      </c>
    </row>
    <row r="6279" spans="1:5" x14ac:dyDescent="0.2">
      <c r="A6279">
        <v>6218</v>
      </c>
      <c r="B6279" s="1832">
        <f>'Acct Summary 7-8'!F83</f>
        <v>0.25664941053639012</v>
      </c>
      <c r="D6279" s="2" t="str">
        <f t="shared" si="97"/>
        <v>Error?</v>
      </c>
      <c r="E6279" s="2" t="s">
        <v>189</v>
      </c>
    </row>
    <row r="6280" spans="1:5" x14ac:dyDescent="0.2">
      <c r="A6280">
        <v>6219</v>
      </c>
      <c r="B6280" s="1832">
        <f>'Acct Summary 7-8'!G83</f>
        <v>-0.1181769557751316</v>
      </c>
      <c r="D6280" s="2" t="str">
        <f t="shared" si="97"/>
        <v>Error?</v>
      </c>
      <c r="E6280" s="2" t="s">
        <v>189</v>
      </c>
    </row>
    <row r="6281" spans="1:5" x14ac:dyDescent="0.2">
      <c r="A6281">
        <v>6220</v>
      </c>
      <c r="B6281" s="1832">
        <f>'Acct Summary 7-8'!H83</f>
        <v>-3.9535066619047559</v>
      </c>
      <c r="D6281" s="2" t="str">
        <f t="shared" si="97"/>
        <v>Error?</v>
      </c>
      <c r="E6281" s="2" t="s">
        <v>189</v>
      </c>
    </row>
    <row r="6282" spans="1:5" x14ac:dyDescent="0.2">
      <c r="A6282">
        <v>6221</v>
      </c>
      <c r="B6282" s="1832">
        <f>'Acct Summary 7-8'!I83</f>
        <v>0.12294711667841743</v>
      </c>
      <c r="D6282" s="2" t="str">
        <f t="shared" si="97"/>
        <v>Error?</v>
      </c>
      <c r="E6282" s="2" t="s">
        <v>189</v>
      </c>
    </row>
    <row r="6283" spans="1:5" x14ac:dyDescent="0.2">
      <c r="A6283">
        <v>6222</v>
      </c>
      <c r="B6283" s="1832">
        <f>'Acct Summary 7-8'!J83</f>
        <v>0.178713020845437</v>
      </c>
      <c r="D6283" s="2" t="str">
        <f t="shared" si="97"/>
        <v>Error?</v>
      </c>
      <c r="E6283" s="2" t="s">
        <v>189</v>
      </c>
    </row>
    <row r="6284" spans="1:5" x14ac:dyDescent="0.2">
      <c r="A6284">
        <v>6223</v>
      </c>
      <c r="B6284" s="1832">
        <f>'Acct Summary 7-8'!K83</f>
        <v>0.34890384219743387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229582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229582</v>
      </c>
      <c r="D6301" s="2" t="str">
        <f t="shared" si="97"/>
        <v>Error?</v>
      </c>
      <c r="E6301" s="2" t="s">
        <v>189</v>
      </c>
    </row>
    <row r="6302" spans="1:5" x14ac:dyDescent="0.2">
      <c r="A6302">
        <v>6241</v>
      </c>
      <c r="B6302" s="1832">
        <f>'Revenues 9-14'!J14</f>
        <v>80</v>
      </c>
      <c r="D6302" s="2" t="str">
        <f t="shared" si="97"/>
        <v>Error?</v>
      </c>
      <c r="E6302" s="2" t="s">
        <v>189</v>
      </c>
    </row>
    <row r="6303" spans="1:5" x14ac:dyDescent="0.2">
      <c r="A6303">
        <v>6242</v>
      </c>
      <c r="B6303" s="1832">
        <f>'Revenues 9-14'!J15</f>
        <v>23</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103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824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824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1226</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25359</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1226</v>
      </c>
      <c r="D6351" s="2" t="str">
        <f t="shared" si="98"/>
        <v>Error?</v>
      </c>
      <c r="E6351" s="2" t="s">
        <v>189</v>
      </c>
    </row>
    <row r="6352" spans="1:5" x14ac:dyDescent="0.2">
      <c r="A6352">
        <v>6291</v>
      </c>
      <c r="B6352" s="1832">
        <f>'Revenues 9-14'!J109</f>
        <v>231735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3690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155836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703397</v>
      </c>
      <c r="D6880" s="2" t="str">
        <f t="shared" si="106"/>
        <v>Error?</v>
      </c>
    </row>
    <row r="6881" spans="1:4" x14ac:dyDescent="0.2">
      <c r="A6881">
        <v>6820</v>
      </c>
      <c r="B6881" s="1832">
        <f>'Expenditures 15-22'!K22</f>
        <v>703397</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193284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231735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1528</v>
      </c>
      <c r="D7079" s="2" t="str">
        <f t="shared" si="109"/>
        <v>Error?</v>
      </c>
    </row>
    <row r="7080" spans="1:4" x14ac:dyDescent="0.2">
      <c r="A7080">
        <v>7019</v>
      </c>
      <c r="B7080" s="1832">
        <f>'Expenditures 15-22'!K226</f>
        <v>1528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61568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61568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13179</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13179</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102744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102744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15793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15793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193284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193284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193284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193284</v>
      </c>
      <c r="D7224" s="2" t="str">
        <f t="shared" si="111"/>
        <v>Error?</v>
      </c>
    </row>
    <row r="7225" spans="1:4" x14ac:dyDescent="0.2">
      <c r="A7225">
        <v>7164</v>
      </c>
      <c r="B7225" s="1832">
        <f>'Expenditures 15-22'!K343</f>
        <v>38451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106892</v>
      </c>
      <c r="D7263" s="2" t="str">
        <f t="shared" si="112"/>
        <v>Error?</v>
      </c>
    </row>
    <row r="7264" spans="1:4" x14ac:dyDescent="0.2">
      <c r="A7264">
        <f t="shared" si="113"/>
        <v>7203</v>
      </c>
      <c r="B7264" s="1832">
        <f>'Expenditures 15-22'!D17</f>
        <v>25085</v>
      </c>
      <c r="D7264" s="2" t="str">
        <f t="shared" si="112"/>
        <v>Error?</v>
      </c>
    </row>
    <row r="7265" spans="1:5" x14ac:dyDescent="0.2">
      <c r="A7265">
        <f t="shared" si="113"/>
        <v>7204</v>
      </c>
      <c r="B7265" s="1832">
        <f>'Expenditures 15-22'!E17</f>
        <v>12869</v>
      </c>
      <c r="D7265" s="2" t="str">
        <f t="shared" si="112"/>
        <v>Error?</v>
      </c>
    </row>
    <row r="7266" spans="1:5" x14ac:dyDescent="0.2">
      <c r="A7266">
        <f t="shared" si="113"/>
        <v>7205</v>
      </c>
      <c r="B7266" s="1832">
        <f>'Expenditures 15-22'!F17</f>
        <v>10050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940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16339</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16339</v>
      </c>
      <c r="D7618" s="2" t="str">
        <f t="shared" si="124"/>
        <v>Error?</v>
      </c>
      <c r="E7618" s="2" t="s">
        <v>19</v>
      </c>
    </row>
    <row r="7619" spans="1:5" x14ac:dyDescent="0.2">
      <c r="A7619">
        <f t="shared" si="123"/>
        <v>7558</v>
      </c>
      <c r="B7619" s="1832">
        <f>'Cap Outlay Deprec 26'!H14</f>
        <v>14777</v>
      </c>
      <c r="D7619" s="2" t="str">
        <f t="shared" si="124"/>
        <v>Error?</v>
      </c>
      <c r="E7619" s="2" t="s">
        <v>19</v>
      </c>
    </row>
    <row r="7620" spans="1:5" x14ac:dyDescent="0.2">
      <c r="A7620">
        <f t="shared" si="123"/>
        <v>7559</v>
      </c>
      <c r="B7620" s="1832">
        <f>'Cap Outlay Deprec 26'!I14</f>
        <v>782</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15559</v>
      </c>
      <c r="D7622" s="2" t="str">
        <f t="shared" si="124"/>
        <v>Error?</v>
      </c>
      <c r="E7622" s="2" t="s">
        <v>19</v>
      </c>
    </row>
    <row r="7623" spans="1:5" x14ac:dyDescent="0.2">
      <c r="A7623">
        <f t="shared" si="123"/>
        <v>7562</v>
      </c>
      <c r="B7623" s="1832">
        <f>'Cap Outlay Deprec 26'!L14</f>
        <v>780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907533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197292</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119</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25359</v>
      </c>
      <c r="D7712" s="2" t="str">
        <f t="shared" si="126"/>
        <v>Error?</v>
      </c>
      <c r="E7712" s="2" t="s">
        <v>822</v>
      </c>
    </row>
    <row r="7713" spans="1:6" x14ac:dyDescent="0.2">
      <c r="A7713">
        <v>7652</v>
      </c>
      <c r="B7713" s="1832">
        <f>'Rest Tax Levies-Tort Im 25'!J8</f>
        <v>289357</v>
      </c>
      <c r="D7713" s="2" t="str">
        <f t="shared" si="126"/>
        <v>Error?</v>
      </c>
      <c r="E7713" s="2" t="s">
        <v>822</v>
      </c>
    </row>
    <row r="7714" spans="1:6" x14ac:dyDescent="0.2">
      <c r="A7714">
        <v>7653</v>
      </c>
      <c r="B7714" s="1832">
        <f>'Rest Tax Levies-Tort Im 25'!K9</f>
        <v>30289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289476</v>
      </c>
      <c r="D7718" s="2" t="str">
        <f t="shared" si="126"/>
        <v>Error?</v>
      </c>
      <c r="E7718" s="2" t="s">
        <v>822</v>
      </c>
    </row>
    <row r="7719" spans="1:6" x14ac:dyDescent="0.2">
      <c r="A7719">
        <v>7658</v>
      </c>
      <c r="B7719" s="1832">
        <f>'Rest Tax Levies-Tort Im 25'!K12</f>
        <v>55648</v>
      </c>
      <c r="D7719" s="2" t="str">
        <f t="shared" si="126"/>
        <v>Error?</v>
      </c>
      <c r="E7719" s="2" t="s">
        <v>822</v>
      </c>
    </row>
    <row r="7720" spans="1:6" x14ac:dyDescent="0.2">
      <c r="A7720">
        <v>7659</v>
      </c>
      <c r="B7720" s="1832">
        <f>'Rest Tax Levies-Tort Im 25'!H14</f>
        <v>77219</v>
      </c>
      <c r="D7720" s="2" t="str">
        <f t="shared" si="126"/>
        <v>Error?</v>
      </c>
      <c r="E7720" s="2" t="s">
        <v>822</v>
      </c>
    </row>
    <row r="7721" spans="1:6" x14ac:dyDescent="0.2">
      <c r="A7721">
        <v>7660</v>
      </c>
      <c r="B7721" s="1832">
        <f>'Rest Tax Levies-Tort Im 25'!K14</f>
        <v>55648</v>
      </c>
      <c r="D7721" s="2" t="str">
        <f t="shared" si="126"/>
        <v>Error?</v>
      </c>
      <c r="E7721" s="2" t="s">
        <v>822</v>
      </c>
    </row>
    <row r="7722" spans="1:6" x14ac:dyDescent="0.2">
      <c r="A7722">
        <v>7661</v>
      </c>
      <c r="B7722" s="1832">
        <f>'Rest Tax Levies-Tort Im 25'!J15</f>
        <v>11595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11595</v>
      </c>
      <c r="D7730" s="2" t="str">
        <f t="shared" si="126"/>
        <v>Error?</v>
      </c>
      <c r="E7730" s="2" t="s">
        <v>822</v>
      </c>
    </row>
    <row r="7731" spans="1:6" x14ac:dyDescent="0.2">
      <c r="A7731">
        <v>7670</v>
      </c>
      <c r="B7731" s="1832">
        <f>'Revenues 9-14'!H103</f>
        <v>289357</v>
      </c>
      <c r="D7731" s="2" t="str">
        <f t="shared" si="126"/>
        <v>Error?</v>
      </c>
      <c r="E7731" s="2" t="s">
        <v>822</v>
      </c>
    </row>
    <row r="7732" spans="1:6" x14ac:dyDescent="0.2">
      <c r="A7732">
        <v>7671</v>
      </c>
      <c r="B7732" s="1832">
        <f>'Rest Tax Levies-Tort Im 25'!J24</f>
        <v>475173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475173</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55648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3995000</v>
      </c>
      <c r="D7817" s="2" t="str">
        <f t="shared" si="128"/>
        <v>Error?</v>
      </c>
      <c r="E7817" s="4" t="s">
        <v>1966</v>
      </c>
    </row>
    <row r="7818" spans="1:5" x14ac:dyDescent="0.2">
      <c r="A7818">
        <v>7757</v>
      </c>
      <c r="B7818" s="1832">
        <f>'PCTC-OEPP 27-28'!F172</f>
        <v>189567.35</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-20000</v>
      </c>
      <c r="D7820" s="2" t="str">
        <f t="shared" si="128"/>
        <v>Error?</v>
      </c>
    </row>
    <row r="7821" spans="1:5" x14ac:dyDescent="0.2">
      <c r="A7821">
        <v>7760</v>
      </c>
      <c r="B7821" s="1832">
        <f>'ICR Computation 30'!G40</f>
        <v>-20000</v>
      </c>
      <c r="D7821" s="2" t="str">
        <f t="shared" si="128"/>
        <v>Error?</v>
      </c>
    </row>
    <row r="7822" spans="1:5" x14ac:dyDescent="0.2">
      <c r="A7822" s="1">
        <v>7761</v>
      </c>
      <c r="B7822" s="1832">
        <f>'PCTC-OEPP 27-28'!F14</f>
        <v>13669733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1800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2384296</v>
      </c>
      <c r="D7834" s="2" t="str">
        <f t="shared" si="129"/>
        <v>Error?</v>
      </c>
      <c r="E7834" s="4" t="s">
        <v>1998</v>
      </c>
    </row>
    <row r="7835" spans="1:5" x14ac:dyDescent="0.2">
      <c r="A7835">
        <v>7774</v>
      </c>
      <c r="B7835" s="1832">
        <f>'PCTC-OEPP 27-28'!F78</f>
        <v>11285437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12713.120423566519</v>
      </c>
      <c r="D7837" s="2" t="str">
        <f t="shared" si="129"/>
        <v>Error?</v>
      </c>
      <c r="E7837" s="4" t="s">
        <v>1998</v>
      </c>
    </row>
    <row r="7838" spans="1:5" x14ac:dyDescent="0.2">
      <c r="A7838">
        <v>7777</v>
      </c>
      <c r="B7838" s="1832">
        <f>'PCTC-OEPP 27-28'!F96</f>
        <v>68069</v>
      </c>
      <c r="D7838" s="2" t="str">
        <f t="shared" si="129"/>
        <v>Error?</v>
      </c>
      <c r="E7838" s="4" t="s">
        <v>1998</v>
      </c>
    </row>
    <row r="7839" spans="1:5" x14ac:dyDescent="0.2">
      <c r="A7839">
        <v>7778</v>
      </c>
      <c r="B7839" s="1832">
        <f>'PCTC-OEPP 27-28'!F102</f>
        <v>11167</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254114</v>
      </c>
      <c r="D7842" s="2" t="str">
        <f t="shared" si="129"/>
        <v>Error?</v>
      </c>
      <c r="E7842" s="4" t="s">
        <v>1998</v>
      </c>
    </row>
    <row r="7843" spans="1:5" x14ac:dyDescent="0.2">
      <c r="A7843">
        <v>7782</v>
      </c>
      <c r="B7843" s="1832">
        <f>'PCTC-OEPP 27-28'!F107</f>
        <v>64174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30289</v>
      </c>
      <c r="D7846" s="2" t="str">
        <f t="shared" si="129"/>
        <v>Error?</v>
      </c>
      <c r="E7846" s="4" t="s">
        <v>1998</v>
      </c>
    </row>
    <row r="7847" spans="1:5" x14ac:dyDescent="0.2">
      <c r="A7847">
        <v>7786</v>
      </c>
      <c r="B7847" s="1832">
        <f>'PCTC-OEPP 27-28'!F112</f>
        <v>200756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84053</v>
      </c>
      <c r="D7858" s="2" t="str">
        <f t="shared" si="129"/>
        <v>Error?</v>
      </c>
      <c r="E7858" s="4" t="s">
        <v>1998</v>
      </c>
    </row>
    <row r="7859" spans="1:5" x14ac:dyDescent="0.2">
      <c r="A7859">
        <v>7798</v>
      </c>
      <c r="B7859" s="1832">
        <f>'PCTC-OEPP 27-28'!F127</f>
        <v>37416</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323641</v>
      </c>
      <c r="D7861" s="2" t="str">
        <f t="shared" si="129"/>
        <v>Error?</v>
      </c>
      <c r="E7861" s="4" t="s">
        <v>1998</v>
      </c>
    </row>
    <row r="7862" spans="1:5" x14ac:dyDescent="0.2">
      <c r="A7862">
        <v>7801</v>
      </c>
      <c r="B7862" s="1832">
        <f>'PCTC-OEPP 27-28'!F130</f>
        <v>182948</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3941</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4938</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1960886.35</v>
      </c>
      <c r="D7877" s="2" t="str">
        <f t="shared" si="129"/>
        <v>Error?</v>
      </c>
      <c r="E7877" s="4" t="s">
        <v>1998</v>
      </c>
    </row>
    <row r="7878" spans="1:5" x14ac:dyDescent="0.2">
      <c r="A7878">
        <v>7817</v>
      </c>
      <c r="B7878" s="1832">
        <f>'PCTC-OEPP 27-28'!F176</f>
        <v>9324550.6500000004</v>
      </c>
      <c r="D7878" s="2" t="str">
        <f t="shared" si="129"/>
        <v>Error?</v>
      </c>
      <c r="E7878" s="4" t="s">
        <v>1998</v>
      </c>
    </row>
    <row r="7879" spans="1:5" x14ac:dyDescent="0.2">
      <c r="A7879">
        <v>7818</v>
      </c>
      <c r="B7879" s="1832">
        <f>'PCTC-OEPP 27-28'!F178</f>
        <v>10232083.65</v>
      </c>
      <c r="D7879" s="2" t="str">
        <f t="shared" si="129"/>
        <v>Error?</v>
      </c>
      <c r="E7879" s="4" t="s">
        <v>1998</v>
      </c>
    </row>
    <row r="7880" spans="1:5" x14ac:dyDescent="0.2">
      <c r="A7880">
        <v>7819</v>
      </c>
      <c r="B7880" s="1832">
        <f>'PCTC-OEPP 27-28'!F180</f>
        <v>11526.510814464345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County of Woodford School</v>
      </c>
      <c r="B7" s="2536"/>
      <c r="C7" s="2536"/>
      <c r="D7" s="2537"/>
      <c r="E7" s="2538">
        <f>COVER!A13</f>
        <v>53102122017</v>
      </c>
      <c r="F7" s="2539"/>
      <c r="G7" s="2545" t="str">
        <f>COVER!T23</f>
        <v>066-005027</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Gorenz and Associates, Ltd.</v>
      </c>
      <c r="H9" s="2551"/>
      <c r="I9" s="2551"/>
      <c r="J9" s="2551"/>
      <c r="K9" s="2551"/>
      <c r="L9" s="2552"/>
    </row>
    <row r="10" spans="1:29" ht="13.5" customHeight="1" x14ac:dyDescent="0.2">
      <c r="A10" s="2524" t="str">
        <f>COVER!A38</f>
        <v>Sean O'Laughlin</v>
      </c>
      <c r="B10" s="2525"/>
      <c r="C10" s="2525"/>
      <c r="D10" s="2525"/>
      <c r="E10" s="2525"/>
      <c r="F10" s="2526"/>
      <c r="G10" s="2518" t="str">
        <f>COVER!T17</f>
        <v>4200 N Knoxville Ave.</v>
      </c>
      <c r="H10" s="2519"/>
      <c r="I10" s="2519"/>
      <c r="J10" s="2519"/>
      <c r="K10" s="2519"/>
      <c r="L10" s="2520"/>
    </row>
    <row r="11" spans="1:29" ht="13.5" customHeight="1" x14ac:dyDescent="0.2">
      <c r="A11" s="963" t="s">
        <v>1502</v>
      </c>
      <c r="B11" s="964"/>
      <c r="C11" s="965"/>
      <c r="D11" s="970"/>
      <c r="E11" s="965"/>
      <c r="F11" s="969"/>
      <c r="G11" s="2518" t="str">
        <f>COVER!T19</f>
        <v>Peoria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tpeffer@gorenzcpa.com</v>
      </c>
      <c r="J13" s="2531"/>
      <c r="K13" s="2531"/>
      <c r="L13" s="2532"/>
    </row>
    <row r="14" spans="1:29" ht="13.5" customHeight="1" x14ac:dyDescent="0.2">
      <c r="A14" s="2518" t="str">
        <f>COVER!A19</f>
        <v>101 W. Madison St</v>
      </c>
      <c r="B14" s="2519"/>
      <c r="C14" s="2519"/>
      <c r="D14" s="2519"/>
      <c r="E14" s="2519"/>
      <c r="F14" s="2520"/>
      <c r="G14" s="974" t="s">
        <v>1175</v>
      </c>
      <c r="H14" s="972"/>
      <c r="I14" s="972"/>
      <c r="J14" s="972"/>
      <c r="K14" s="972"/>
      <c r="L14" s="973"/>
    </row>
    <row r="15" spans="1:29" ht="13.5" customHeight="1" x14ac:dyDescent="0.2">
      <c r="A15" s="2518" t="str">
        <f>COVER!A21</f>
        <v>Metamora</v>
      </c>
      <c r="B15" s="2519"/>
      <c r="C15" s="2519"/>
      <c r="D15" s="2519"/>
      <c r="E15" s="2519"/>
      <c r="F15" s="2520"/>
      <c r="G15" s="2515" t="str">
        <f>COVER!T15</f>
        <v>Thomas R. Peffer, CPA</v>
      </c>
      <c r="H15" s="2516"/>
      <c r="I15" s="2516"/>
      <c r="J15" s="2516"/>
      <c r="K15" s="2516"/>
      <c r="L15" s="2517"/>
    </row>
    <row r="16" spans="1:29" ht="12.2" customHeight="1" x14ac:dyDescent="0.2">
      <c r="A16" s="2541">
        <f>COVER!A25</f>
        <v>61548</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309-685-7621</v>
      </c>
      <c r="H18" s="2536"/>
      <c r="I18" s="2536"/>
      <c r="J18" s="2536"/>
      <c r="K18" s="2535" t="str">
        <f>COVER!X21</f>
        <v>309-685-4758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County of Woodford School</v>
      </c>
      <c r="B1" s="2558"/>
      <c r="C1" s="2558"/>
      <c r="D1" s="2558"/>
    </row>
    <row r="2" spans="1:11" s="991" customFormat="1" ht="12.75" x14ac:dyDescent="0.2">
      <c r="A2" s="2559">
        <f>'Single Audit Cover'!E7</f>
        <v>53102122017</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County of Woodford School</v>
      </c>
      <c r="B1" s="2562"/>
      <c r="C1" s="2562"/>
      <c r="D1" s="2562"/>
      <c r="E1" s="2562"/>
    </row>
    <row r="2" spans="1:5" x14ac:dyDescent="0.2">
      <c r="A2" s="2563">
        <f>'Single Audit Cover'!E7</f>
        <v>53102122017</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646937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24553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671490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671490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671490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County of Woodford School</v>
      </c>
      <c r="C1" s="2566"/>
      <c r="D1" s="2566"/>
      <c r="E1" s="2566"/>
      <c r="F1" s="2566"/>
      <c r="G1" s="2566"/>
      <c r="H1" s="2566"/>
      <c r="I1" s="2566"/>
      <c r="J1" s="2566"/>
      <c r="K1" s="2566"/>
      <c r="L1" s="2566"/>
      <c r="M1" s="2566"/>
    </row>
    <row r="2" spans="2:14" ht="15" x14ac:dyDescent="0.2">
      <c r="B2" s="2567">
        <f>'Single Audit Cover'!E7</f>
        <v>53102122017</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County of Woodford School</v>
      </c>
      <c r="B1" s="2579"/>
      <c r="C1" s="2579"/>
      <c r="D1" s="2579"/>
      <c r="E1" s="2579"/>
      <c r="F1" s="2579"/>
    </row>
    <row r="2" spans="1:7" ht="13.5" customHeight="1" x14ac:dyDescent="0.2">
      <c r="A2" s="2567">
        <f>'Single Audit Cover'!E7</f>
        <v>53102122017</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2094</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County of Woodford School</v>
      </c>
      <c r="C1" s="2594"/>
      <c r="D1" s="2594"/>
      <c r="E1" s="2594"/>
      <c r="F1" s="2594"/>
      <c r="G1" s="2594"/>
      <c r="H1" s="2594"/>
      <c r="I1" s="2594"/>
      <c r="J1" s="1178"/>
    </row>
    <row r="2" spans="2:10" s="295" customFormat="1" ht="12.75" customHeight="1" x14ac:dyDescent="0.2">
      <c r="B2" s="2595">
        <f>'Single Audit Cover'!E7</f>
        <v>53102122017</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County of Woodford School</v>
      </c>
      <c r="C1" s="2593"/>
      <c r="D1" s="2593"/>
      <c r="E1" s="2593"/>
      <c r="F1" s="2593"/>
      <c r="G1" s="2593"/>
      <c r="H1" s="2593"/>
      <c r="I1" s="2593"/>
      <c r="J1" s="2593"/>
      <c r="K1" s="2593"/>
      <c r="L1" s="1144"/>
      <c r="M1" s="1144"/>
    </row>
    <row r="2" spans="1:13" ht="12" customHeight="1" x14ac:dyDescent="0.2">
      <c r="B2" s="2595">
        <f>'Single Audit Cover'!E7</f>
        <v>53102122017</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County of Woodford School</v>
      </c>
      <c r="C1" s="2616"/>
      <c r="D1" s="2616"/>
      <c r="E1" s="2616"/>
      <c r="F1" s="2616"/>
      <c r="G1" s="2616"/>
      <c r="H1" s="2616"/>
      <c r="I1" s="2616"/>
      <c r="J1" s="2616"/>
      <c r="K1" s="2616"/>
      <c r="L1" s="1221"/>
    </row>
    <row r="2" spans="1:12" ht="12.75" customHeight="1" x14ac:dyDescent="0.2">
      <c r="B2" s="2617">
        <f>'Single Audit Cover'!E7</f>
        <v>53102122017</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County of Woodford School</v>
      </c>
      <c r="C1" s="2593"/>
      <c r="D1" s="2593"/>
      <c r="E1" s="1240"/>
    </row>
    <row r="2" spans="2:5" s="1058" customFormat="1" ht="12.75" customHeight="1" x14ac:dyDescent="0.2">
      <c r="B2" s="2595">
        <f>'Single Audit Cover'!E7</f>
        <v>53102122017</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2069</v>
      </c>
      <c r="C7" s="302"/>
      <c r="D7" s="302" t="s">
        <v>2070</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381057874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1.9099999999999999E-2</v>
      </c>
      <c r="E10" s="333" t="s">
        <v>998</v>
      </c>
      <c r="F10" s="332">
        <v>2.5000000000000001E-3</v>
      </c>
      <c r="G10" s="333" t="s">
        <v>998</v>
      </c>
      <c r="H10" s="332">
        <v>1.1999999999999999E-3</v>
      </c>
      <c r="I10" s="333" t="s">
        <v>999</v>
      </c>
      <c r="J10" s="1424">
        <f>ROUND(D10+F10+H10,5)</f>
        <v>2.2800000000000001E-2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13486387</v>
      </c>
      <c r="E16" s="1547"/>
      <c r="F16" s="1546">
        <f>SUM('Acct Summary 7-8'!C17,'Acct Summary 7-8'!D17,'Acct Summary 7-8'!F17)</f>
        <v>12577055</v>
      </c>
      <c r="G16" s="1547"/>
      <c r="H16" s="1546">
        <f>SUM(D16-F16)</f>
        <v>909332</v>
      </c>
      <c r="I16" s="1548"/>
      <c r="J16" s="1546">
        <f>SUM('Acct Summary 7-8'!C81,'Acct Summary 7-8'!D81,'Acct Summary 7-8'!F81,'Acct Summary 7-8'!I81)</f>
        <v>10372907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2071</v>
      </c>
      <c r="C31" s="344" t="s">
        <v>582</v>
      </c>
      <c r="D31" s="232" t="s">
        <v>1063</v>
      </c>
      <c r="E31" s="217"/>
      <c r="F31" s="217"/>
      <c r="G31" s="340"/>
      <c r="H31" s="1425">
        <f>IF(B31="X",(J7*0.069),IF(B32="X",(J7*0.138),"Enter x in a.or b."))</f>
        <v>26292993.306000002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3570000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County of Woodford School</v>
      </c>
      <c r="E7" s="368"/>
      <c r="G7" s="247"/>
      <c r="H7" s="364"/>
      <c r="I7" s="364"/>
      <c r="J7" s="364"/>
      <c r="K7" s="364"/>
      <c r="L7" s="307"/>
      <c r="M7" s="307"/>
      <c r="N7" s="307"/>
      <c r="O7" s="307"/>
      <c r="P7" s="307"/>
    </row>
    <row r="8" spans="1:18" ht="12.75" x14ac:dyDescent="0.2">
      <c r="A8" s="307"/>
      <c r="B8" s="307"/>
      <c r="C8" s="366" t="s">
        <v>1115</v>
      </c>
      <c r="D8" s="369">
        <f>COVER!A13</f>
        <v>53102122017</v>
      </c>
      <c r="E8" s="370"/>
      <c r="G8" s="307"/>
      <c r="H8" s="307"/>
      <c r="I8" s="307"/>
      <c r="J8" s="307"/>
      <c r="K8" s="307"/>
      <c r="L8" s="307"/>
      <c r="M8" s="307"/>
      <c r="N8" s="307"/>
      <c r="O8" s="307"/>
      <c r="P8" s="307"/>
    </row>
    <row r="9" spans="1:18" ht="12.75" x14ac:dyDescent="0.2">
      <c r="A9" s="307"/>
      <c r="B9" s="307"/>
      <c r="C9" s="366" t="s">
        <v>708</v>
      </c>
      <c r="D9" s="371" t="str">
        <f>COVER!A15</f>
        <v>Woodford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10372907</v>
      </c>
      <c r="I12" s="380"/>
      <c r="J12" s="380"/>
      <c r="K12" s="1559">
        <f>TRUNC((H12/H13*100000),5)/100000</f>
        <v>0.76913905849999997</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13486387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12577055</v>
      </c>
      <c r="I17" s="380"/>
      <c r="J17" s="389"/>
      <c r="K17" s="1559">
        <f>TRUNC((H17/H18*100000),5)/100000</f>
        <v>0.93257408370000006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13486387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10356933</v>
      </c>
      <c r="I24" s="394"/>
      <c r="J24" s="394"/>
      <c r="K24" s="1555">
        <f>TRUNC(((H24/H25*100000)/100000),2)</f>
        <v>296.45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34936.263890000002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7384901.5981200002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3570000</v>
      </c>
      <c r="I32" s="392"/>
      <c r="J32" s="392"/>
      <c r="K32" s="1555">
        <f>TRUNC(100-((((H32/H33*100))*100)/100),2)</f>
        <v>86.42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26292993.306000002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zoomScaleSheetLayoutView="85" workbookViewId="0">
      <pane ySplit="2" topLeftCell="A3" activePane="bottomLeft" state="frozen"/>
      <selection activeCell="AD19" sqref="AD19"/>
      <selection pane="bottomLeft" activeCell="E25" sqref="E2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3064770</v>
      </c>
      <c r="D4" s="1573">
        <v>1469866</v>
      </c>
      <c r="E4" s="1573">
        <v>16987</v>
      </c>
      <c r="F4" s="1573">
        <v>407713</v>
      </c>
      <c r="G4" s="1573">
        <v>262438</v>
      </c>
      <c r="H4" s="1573">
        <v>803599</v>
      </c>
      <c r="I4" s="1573">
        <v>1343356</v>
      </c>
      <c r="J4" s="1574">
        <v>215155</v>
      </c>
      <c r="K4" s="1573">
        <v>116018</v>
      </c>
      <c r="L4" s="1573">
        <v>870801</v>
      </c>
      <c r="M4" s="1575"/>
      <c r="N4" s="1576"/>
    </row>
    <row r="5" spans="1:14" x14ac:dyDescent="0.2">
      <c r="A5" s="427" t="s">
        <v>985</v>
      </c>
      <c r="B5" s="429">
        <v>120</v>
      </c>
      <c r="C5" s="1572">
        <v>3405197</v>
      </c>
      <c r="D5" s="1573">
        <v>330888</v>
      </c>
      <c r="E5" s="1573">
        <v>0</v>
      </c>
      <c r="F5" s="1573">
        <v>52027</v>
      </c>
      <c r="G5" s="1573">
        <v>128315</v>
      </c>
      <c r="H5" s="1573">
        <v>0</v>
      </c>
      <c r="I5" s="1573">
        <v>283116</v>
      </c>
      <c r="J5" s="1574">
        <v>0</v>
      </c>
      <c r="K5" s="1577">
        <v>83269</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15974</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6469967</v>
      </c>
      <c r="D13" s="1587">
        <f t="shared" ref="D13:L13" si="0">SUM(D4:D12)</f>
        <v>1800754</v>
      </c>
      <c r="E13" s="1587">
        <f t="shared" si="0"/>
        <v>16987</v>
      </c>
      <c r="F13" s="1587">
        <f t="shared" si="0"/>
        <v>459740</v>
      </c>
      <c r="G13" s="1587">
        <f t="shared" si="0"/>
        <v>390753</v>
      </c>
      <c r="H13" s="1587">
        <f t="shared" si="0"/>
        <v>803599</v>
      </c>
      <c r="I13" s="1587">
        <f t="shared" si="0"/>
        <v>1642446</v>
      </c>
      <c r="J13" s="1587">
        <f t="shared" si="0"/>
        <v>215155</v>
      </c>
      <c r="K13" s="1587">
        <f t="shared" si="0"/>
        <v>199287</v>
      </c>
      <c r="L13" s="1587">
        <f t="shared" si="0"/>
        <v>870801</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306928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22469386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2241336</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3970175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227659</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1013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3568987</v>
      </c>
    </row>
    <row r="23" spans="1:14" ht="13.5" customHeight="1" thickBot="1" x14ac:dyDescent="0.25">
      <c r="A23" s="1426" t="s">
        <v>638</v>
      </c>
      <c r="B23" s="1429"/>
      <c r="C23" s="1575"/>
      <c r="D23" s="1575"/>
      <c r="E23" s="1575"/>
      <c r="F23" s="1575"/>
      <c r="G23" s="1575"/>
      <c r="H23" s="1575"/>
      <c r="I23" s="1575"/>
      <c r="J23" s="1575"/>
      <c r="K23" s="1575"/>
      <c r="L23" s="1575"/>
      <c r="M23" s="1594">
        <f>SUM(M15:M22)</f>
        <v>29215484</v>
      </c>
      <c r="N23" s="1594">
        <f>SUM(N21:N22)</f>
        <v>3570000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15974</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228276</v>
      </c>
      <c r="M33" s="1575"/>
      <c r="N33" s="1576"/>
    </row>
    <row r="34" spans="1:14" ht="13.5" customHeight="1" thickBot="1" x14ac:dyDescent="0.25">
      <c r="A34" s="1427" t="s">
        <v>649</v>
      </c>
      <c r="B34" s="1428"/>
      <c r="C34" s="1600">
        <f>SUM(C25:C33)</f>
        <v>0</v>
      </c>
      <c r="D34" s="1600">
        <f t="shared" ref="D34:K34" si="1">SUM(D25:D33)</f>
        <v>0</v>
      </c>
      <c r="E34" s="1600">
        <f t="shared" si="1"/>
        <v>15974</v>
      </c>
      <c r="F34" s="1600">
        <f t="shared" si="1"/>
        <v>0</v>
      </c>
      <c r="G34" s="1600">
        <f t="shared" si="1"/>
        <v>0</v>
      </c>
      <c r="H34" s="1600">
        <f t="shared" si="1"/>
        <v>0</v>
      </c>
      <c r="I34" s="1600">
        <f t="shared" si="1"/>
        <v>0</v>
      </c>
      <c r="J34" s="1600">
        <f t="shared" si="1"/>
        <v>0</v>
      </c>
      <c r="K34" s="1600">
        <f t="shared" si="1"/>
        <v>0</v>
      </c>
      <c r="L34" s="1601">
        <f>SUM(L33)</f>
        <v>228276</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3570000</v>
      </c>
    </row>
    <row r="37" spans="1:14" ht="13.5" thickBot="1" x14ac:dyDescent="0.25">
      <c r="A37" s="1426" t="s">
        <v>648</v>
      </c>
      <c r="B37" s="1429"/>
      <c r="C37" s="1582"/>
      <c r="D37" s="1582"/>
      <c r="E37" s="1582"/>
      <c r="F37" s="1582"/>
      <c r="G37" s="1582"/>
      <c r="H37" s="1582"/>
      <c r="I37" s="1582"/>
      <c r="J37" s="1582"/>
      <c r="K37" s="1582"/>
      <c r="L37" s="1585"/>
      <c r="M37" s="1575"/>
      <c r="N37" s="1594">
        <f>SUM(N36:N36)</f>
        <v>3570000</v>
      </c>
    </row>
    <row r="38" spans="1:14" s="307" customFormat="1" ht="13.5" customHeight="1" thickTop="1" x14ac:dyDescent="0.2">
      <c r="A38" s="438" t="s">
        <v>417</v>
      </c>
      <c r="B38" s="432">
        <v>714</v>
      </c>
      <c r="C38" s="1573">
        <v>0</v>
      </c>
      <c r="D38" s="1573">
        <v>50000</v>
      </c>
      <c r="E38" s="1573">
        <v>0</v>
      </c>
      <c r="F38" s="1573">
        <v>0</v>
      </c>
      <c r="G38" s="1573">
        <v>127859</v>
      </c>
      <c r="H38" s="1573">
        <v>475173</v>
      </c>
      <c r="I38" s="1573">
        <v>0</v>
      </c>
      <c r="J38" s="1574">
        <v>0</v>
      </c>
      <c r="K38" s="1573">
        <v>0</v>
      </c>
      <c r="L38" s="1586">
        <v>642525</v>
      </c>
      <c r="M38" s="1604"/>
      <c r="N38" s="1604"/>
    </row>
    <row r="39" spans="1:14" s="307" customFormat="1" ht="13.5" customHeight="1" x14ac:dyDescent="0.2">
      <c r="A39" s="438" t="s">
        <v>339</v>
      </c>
      <c r="B39" s="432">
        <v>730</v>
      </c>
      <c r="C39" s="1573">
        <v>6469967</v>
      </c>
      <c r="D39" s="1573">
        <v>1750754</v>
      </c>
      <c r="E39" s="1573">
        <v>1013</v>
      </c>
      <c r="F39" s="1573">
        <v>459740</v>
      </c>
      <c r="G39" s="1573">
        <v>262894</v>
      </c>
      <c r="H39" s="1573">
        <v>328426</v>
      </c>
      <c r="I39" s="1573">
        <v>1642446</v>
      </c>
      <c r="J39" s="1574">
        <v>215155</v>
      </c>
      <c r="K39" s="1573">
        <v>199287</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29215484</v>
      </c>
      <c r="N40" s="1604"/>
    </row>
    <row r="41" spans="1:14" ht="13.5" customHeight="1" thickBot="1" x14ac:dyDescent="0.25">
      <c r="A41" s="1426" t="s">
        <v>650</v>
      </c>
      <c r="B41" s="1405"/>
      <c r="C41" s="1594">
        <f>(SUM(C34,C37,C38,C39))</f>
        <v>6469967</v>
      </c>
      <c r="D41" s="1594">
        <f t="shared" ref="D41:L41" si="2">SUM(D34,D37,D38:D39)</f>
        <v>1800754</v>
      </c>
      <c r="E41" s="1594">
        <f t="shared" si="2"/>
        <v>16987</v>
      </c>
      <c r="F41" s="1594">
        <f t="shared" si="2"/>
        <v>459740</v>
      </c>
      <c r="G41" s="1594">
        <f t="shared" si="2"/>
        <v>390753</v>
      </c>
      <c r="H41" s="1594">
        <f t="shared" si="2"/>
        <v>803599</v>
      </c>
      <c r="I41" s="1594">
        <f t="shared" si="2"/>
        <v>1642446</v>
      </c>
      <c r="J41" s="1594">
        <f t="shared" si="2"/>
        <v>215155</v>
      </c>
      <c r="K41" s="1594">
        <f t="shared" si="2"/>
        <v>199287</v>
      </c>
      <c r="L41" s="1594">
        <f t="shared" si="2"/>
        <v>870801</v>
      </c>
      <c r="M41" s="1594">
        <f>SUM(M40)</f>
        <v>29215484</v>
      </c>
      <c r="N41" s="1594">
        <f>SUM(N37)</f>
        <v>3570000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AD19" sqref="AD19"/>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8327176</v>
      </c>
      <c r="D4" s="1606">
        <f>'Revenues 9-14'!D109</f>
        <v>996557</v>
      </c>
      <c r="E4" s="1606">
        <f>'Revenues 9-14'!E109</f>
        <v>584802</v>
      </c>
      <c r="F4" s="1606">
        <f>'Revenues 9-14'!F109</f>
        <v>467770</v>
      </c>
      <c r="G4" s="1606">
        <f>'Revenues 9-14'!G109</f>
        <v>267791</v>
      </c>
      <c r="H4" s="1606">
        <f>'Revenues 9-14'!H109</f>
        <v>298426</v>
      </c>
      <c r="I4" s="1606">
        <f>'Revenues 9-14'!I109</f>
        <v>201934</v>
      </c>
      <c r="J4" s="1606">
        <f>'Revenues 9-14'!J109</f>
        <v>231735</v>
      </c>
      <c r="K4" s="1606">
        <f>'Revenues 9-14'!K109</f>
        <v>112008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1721707</v>
      </c>
      <c r="D6" s="1607">
        <f>'Revenues 9-14'!D170</f>
        <v>824946</v>
      </c>
      <c r="E6" s="1607">
        <f>'Revenues 9-14'!E170</f>
        <v>0</v>
      </c>
      <c r="F6" s="1607">
        <f>'Revenues 9-14'!F170</f>
        <v>299360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646937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10695820</v>
      </c>
      <c r="D8" s="1594">
        <f t="shared" ref="D8:K8" si="0">SUM(D4:D7)</f>
        <v>1821503</v>
      </c>
      <c r="E8" s="1594">
        <f t="shared" si="0"/>
        <v>584802</v>
      </c>
      <c r="F8" s="1594">
        <f t="shared" si="0"/>
        <v>767130</v>
      </c>
      <c r="G8" s="1594">
        <f t="shared" si="0"/>
        <v>267791</v>
      </c>
      <c r="H8" s="1594">
        <f t="shared" si="0"/>
        <v>298426</v>
      </c>
      <c r="I8" s="1594">
        <f t="shared" si="0"/>
        <v>201934</v>
      </c>
      <c r="J8" s="1594">
        <f t="shared" si="0"/>
        <v>231735</v>
      </c>
      <c r="K8" s="1594">
        <f t="shared" si="0"/>
        <v>112008</v>
      </c>
      <c r="L8" s="325"/>
    </row>
    <row r="9" spans="1:13" ht="15.75" thickTop="1" x14ac:dyDescent="0.2">
      <c r="A9" s="449" t="s">
        <v>1634</v>
      </c>
      <c r="B9" s="450">
        <v>3998</v>
      </c>
      <c r="C9" s="1586">
        <v>4315307</v>
      </c>
      <c r="D9" s="1613"/>
      <c r="E9" s="1586"/>
      <c r="F9" s="1586"/>
      <c r="G9" s="1614"/>
      <c r="H9" s="1586"/>
      <c r="I9" s="1609" t="s">
        <v>1159</v>
      </c>
      <c r="J9" s="1583"/>
      <c r="K9" s="1586"/>
      <c r="L9" s="325"/>
    </row>
    <row r="10" spans="1:13" s="452" customFormat="1" ht="13.5" thickBot="1" x14ac:dyDescent="0.25">
      <c r="A10" s="1426" t="s">
        <v>1163</v>
      </c>
      <c r="B10" s="1407"/>
      <c r="C10" s="1594">
        <f>SUM(C8:C9)</f>
        <v>15011127</v>
      </c>
      <c r="D10" s="1594">
        <f t="shared" ref="D10:K10" si="1">SUM(D8:D9)</f>
        <v>1821503</v>
      </c>
      <c r="E10" s="1594">
        <f t="shared" si="1"/>
        <v>584802</v>
      </c>
      <c r="F10" s="1594">
        <f t="shared" si="1"/>
        <v>767130</v>
      </c>
      <c r="G10" s="1594">
        <f t="shared" si="1"/>
        <v>267791</v>
      </c>
      <c r="H10" s="1594">
        <f t="shared" si="1"/>
        <v>298426</v>
      </c>
      <c r="I10" s="1594">
        <f t="shared" si="1"/>
        <v>201934</v>
      </c>
      <c r="J10" s="1594">
        <f t="shared" si="1"/>
        <v>231735</v>
      </c>
      <c r="K10" s="1594">
        <f t="shared" si="1"/>
        <v>112008</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7063715</v>
      </c>
      <c r="D12" s="1616" t="s">
        <v>1159</v>
      </c>
      <c r="E12" s="1575" t="s">
        <v>1159</v>
      </c>
      <c r="F12" s="1575" t="s">
        <v>1159</v>
      </c>
      <c r="G12" s="1606">
        <f>'Expenditures 15-22'!K229</f>
        <v>96127</v>
      </c>
      <c r="H12" s="1617"/>
      <c r="I12" s="1575" t="s">
        <v>1159</v>
      </c>
      <c r="J12" s="1575" t="s">
        <v>1159</v>
      </c>
      <c r="K12" s="1617" t="s">
        <v>1159</v>
      </c>
      <c r="L12" s="325"/>
    </row>
    <row r="13" spans="1:13" ht="15.75" customHeight="1" x14ac:dyDescent="0.2">
      <c r="A13" s="1314" t="s">
        <v>454</v>
      </c>
      <c r="B13" s="1316">
        <v>2000</v>
      </c>
      <c r="C13" s="1607">
        <f>'Expenditures 15-22'!K74</f>
        <v>2595797</v>
      </c>
      <c r="D13" s="1607">
        <f>'Expenditures 15-22'!K129</f>
        <v>1532218</v>
      </c>
      <c r="E13" s="1576" t="s">
        <v>1159</v>
      </c>
      <c r="F13" s="1607">
        <f>'Expenditures 15-22'!K184</f>
        <v>649138</v>
      </c>
      <c r="G13" s="1607">
        <f>'Expenditures 15-22'!K279</f>
        <v>217842</v>
      </c>
      <c r="H13" s="1607">
        <f>'Expenditures 15-22'!K303</f>
        <v>3475460</v>
      </c>
      <c r="I13" s="1575" t="s">
        <v>1159</v>
      </c>
      <c r="J13" s="1607">
        <f>'Expenditures 15-22'!K330</f>
        <v>193284</v>
      </c>
      <c r="K13" s="1618">
        <f>'Expenditures 15-22'!K352</f>
        <v>42476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736187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585425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10395699</v>
      </c>
      <c r="D17" s="1594">
        <f t="shared" si="2"/>
        <v>1532218</v>
      </c>
      <c r="E17" s="1594">
        <f t="shared" si="2"/>
        <v>585425</v>
      </c>
      <c r="F17" s="1594">
        <f t="shared" si="2"/>
        <v>649138</v>
      </c>
      <c r="G17" s="1594">
        <f t="shared" si="2"/>
        <v>313969</v>
      </c>
      <c r="H17" s="1594">
        <f t="shared" si="2"/>
        <v>3475460</v>
      </c>
      <c r="I17" s="1575"/>
      <c r="J17" s="1594">
        <f>SUM(J12:J16)</f>
        <v>193284</v>
      </c>
      <c r="K17" s="1594">
        <f>SUM(K12:K16)</f>
        <v>42476</v>
      </c>
      <c r="L17" s="325"/>
    </row>
    <row r="18" spans="1:12" ht="15" customHeight="1" thickTop="1" x14ac:dyDescent="0.2">
      <c r="A18" s="1430" t="s">
        <v>1635</v>
      </c>
      <c r="B18" s="1431">
        <v>4180</v>
      </c>
      <c r="C18" s="1606">
        <f t="shared" ref="C18:H18" si="3">C9</f>
        <v>4315307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14711006</v>
      </c>
      <c r="D19" s="1594">
        <f t="shared" si="4"/>
        <v>1532218</v>
      </c>
      <c r="E19" s="1594">
        <f t="shared" si="4"/>
        <v>585425</v>
      </c>
      <c r="F19" s="1594">
        <f t="shared" si="4"/>
        <v>649138</v>
      </c>
      <c r="G19" s="1594">
        <f t="shared" si="4"/>
        <v>313969</v>
      </c>
      <c r="H19" s="1594">
        <f t="shared" si="4"/>
        <v>3475460</v>
      </c>
      <c r="I19" s="1575"/>
      <c r="J19" s="1594">
        <f>SUM(J17:J18)</f>
        <v>193284</v>
      </c>
      <c r="K19" s="1594">
        <f>SUM(K17:K18)</f>
        <v>42476</v>
      </c>
      <c r="L19" s="325"/>
    </row>
    <row r="20" spans="1:12" ht="16.5" thickTop="1" thickBot="1" x14ac:dyDescent="0.25">
      <c r="A20" s="2231" t="s">
        <v>1636</v>
      </c>
      <c r="B20" s="2232"/>
      <c r="C20" s="1622">
        <f>C8-C17</f>
        <v>300121</v>
      </c>
      <c r="D20" s="1622">
        <f t="shared" ref="D20:K20" si="5">D8-D17</f>
        <v>289285</v>
      </c>
      <c r="E20" s="1622">
        <f t="shared" si="5"/>
        <v>-623</v>
      </c>
      <c r="F20" s="1622">
        <f t="shared" si="5"/>
        <v>117992</v>
      </c>
      <c r="G20" s="1622">
        <f t="shared" si="5"/>
        <v>-46178</v>
      </c>
      <c r="H20" s="1622">
        <f t="shared" si="5"/>
        <v>-3177034</v>
      </c>
      <c r="I20" s="1622">
        <f t="shared" si="5"/>
        <v>201934</v>
      </c>
      <c r="J20" s="1622">
        <f t="shared" si="5"/>
        <v>38451</v>
      </c>
      <c r="K20" s="1622">
        <f t="shared" si="5"/>
        <v>69532</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300121</v>
      </c>
      <c r="D78" s="1629">
        <f t="shared" si="9"/>
        <v>289285</v>
      </c>
      <c r="E78" s="1629">
        <f t="shared" si="9"/>
        <v>-623</v>
      </c>
      <c r="F78" s="1629">
        <f t="shared" si="9"/>
        <v>117992</v>
      </c>
      <c r="G78" s="1629">
        <f t="shared" si="9"/>
        <v>-46178</v>
      </c>
      <c r="H78" s="1629">
        <f t="shared" si="9"/>
        <v>-3177034</v>
      </c>
      <c r="I78" s="1629">
        <f t="shared" si="9"/>
        <v>201934</v>
      </c>
      <c r="J78" s="1629">
        <f t="shared" si="9"/>
        <v>38451</v>
      </c>
      <c r="K78" s="1629">
        <f t="shared" si="9"/>
        <v>69532</v>
      </c>
      <c r="L78" s="457"/>
    </row>
    <row r="79" spans="1:12" ht="13.5" thickTop="1" x14ac:dyDescent="0.2">
      <c r="A79" s="1844" t="str">
        <f>"Fund Balances - July 1, "&amp;'AFR20'!E2-1</f>
        <v>Fund Balances - July 1, 2019</v>
      </c>
      <c r="B79" s="458"/>
      <c r="C79" s="1583">
        <v>6169846</v>
      </c>
      <c r="D79" s="1583">
        <v>1511469</v>
      </c>
      <c r="E79" s="1630">
        <v>1636</v>
      </c>
      <c r="F79" s="1630">
        <v>341748</v>
      </c>
      <c r="G79" s="1630">
        <v>436931</v>
      </c>
      <c r="H79" s="1630">
        <v>3980633</v>
      </c>
      <c r="I79" s="1630">
        <v>1440512</v>
      </c>
      <c r="J79" s="1630">
        <v>176704</v>
      </c>
      <c r="K79" s="1630">
        <v>129755</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6469967</v>
      </c>
      <c r="D81" s="1594">
        <f>SUM(D78:D80)</f>
        <v>1800754</v>
      </c>
      <c r="E81" s="1594">
        <f t="shared" ref="E81:K81" si="10">SUM(E78:E80)</f>
        <v>1013</v>
      </c>
      <c r="F81" s="1594">
        <f t="shared" si="10"/>
        <v>459740</v>
      </c>
      <c r="G81" s="1594">
        <f t="shared" si="10"/>
        <v>390753</v>
      </c>
      <c r="H81" s="1594">
        <f t="shared" si="10"/>
        <v>803599</v>
      </c>
      <c r="I81" s="1594">
        <f t="shared" si="10"/>
        <v>1642446</v>
      </c>
      <c r="J81" s="1594">
        <f t="shared" si="10"/>
        <v>215155</v>
      </c>
      <c r="K81" s="1594">
        <f t="shared" si="10"/>
        <v>199287</v>
      </c>
      <c r="L81" s="325"/>
    </row>
    <row r="82" spans="1:12" ht="0.75" customHeight="1" thickTop="1" thickBot="1" x14ac:dyDescent="0.25">
      <c r="A82" s="459" t="s">
        <v>340</v>
      </c>
      <c r="B82" s="460"/>
      <c r="C82" s="461">
        <f>(C81-C79)</f>
        <v>300121</v>
      </c>
      <c r="D82" s="461">
        <f t="shared" ref="D82:K82" si="11">(D81-D79)</f>
        <v>289285</v>
      </c>
      <c r="E82" s="461">
        <f t="shared" si="11"/>
        <v>-623</v>
      </c>
      <c r="F82" s="461">
        <f t="shared" si="11"/>
        <v>117992</v>
      </c>
      <c r="G82" s="461">
        <f t="shared" si="11"/>
        <v>-46178</v>
      </c>
      <c r="H82" s="461">
        <f t="shared" si="11"/>
        <v>-3177034</v>
      </c>
      <c r="I82" s="461">
        <f t="shared" si="11"/>
        <v>201934</v>
      </c>
      <c r="J82" s="461">
        <f t="shared" si="11"/>
        <v>38451</v>
      </c>
      <c r="K82" s="461">
        <f t="shared" si="11"/>
        <v>69532</v>
      </c>
    </row>
    <row r="83" spans="1:12" ht="14.25" hidden="1" thickTop="1" thickBot="1" x14ac:dyDescent="0.25">
      <c r="A83" s="462" t="s">
        <v>341</v>
      </c>
      <c r="B83" s="428"/>
      <c r="C83" s="463">
        <f>C82/C81</f>
        <v>4.63867899171665E-2</v>
      </c>
      <c r="D83" s="463">
        <f t="shared" ref="D83:K83" si="12">D82/D81</f>
        <v>0.16064659581486421</v>
      </c>
      <c r="E83" s="463">
        <f t="shared" si="12"/>
        <v>-0.61500493583415594</v>
      </c>
      <c r="F83" s="463">
        <f t="shared" si="12"/>
        <v>0.25664941053639012</v>
      </c>
      <c r="G83" s="463">
        <f t="shared" si="12"/>
        <v>-0.1181769557751316</v>
      </c>
      <c r="H83" s="463">
        <f t="shared" si="12"/>
        <v>-3.9535066619047559</v>
      </c>
      <c r="I83" s="463">
        <f t="shared" si="12"/>
        <v>0.12294711667841743</v>
      </c>
      <c r="J83" s="463">
        <f t="shared" si="12"/>
        <v>0.178713020845437</v>
      </c>
      <c r="K83" s="463">
        <f t="shared" si="12"/>
        <v>0.34890384219743387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D19" sqref="AD1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7369579</v>
      </c>
      <c r="D5" s="1586">
        <v>964603</v>
      </c>
      <c r="E5" s="1573">
        <v>583304</v>
      </c>
      <c r="F5" s="1631">
        <v>463011</v>
      </c>
      <c r="G5" s="1573">
        <v>110003</v>
      </c>
      <c r="H5" s="1573">
        <v>0</v>
      </c>
      <c r="I5" s="1573">
        <v>192921</v>
      </c>
      <c r="J5" s="1574">
        <v>229582</v>
      </c>
      <c r="K5" s="1573">
        <v>110003</v>
      </c>
    </row>
    <row r="6" spans="1:12" ht="15" x14ac:dyDescent="0.2">
      <c r="A6" s="427" t="s">
        <v>1643</v>
      </c>
      <c r="B6" s="429">
        <v>1130</v>
      </c>
      <c r="C6" s="1573">
        <v>45894</v>
      </c>
      <c r="D6" s="1573">
        <v>0</v>
      </c>
      <c r="E6" s="1580"/>
      <c r="F6" s="1580"/>
      <c r="G6" s="1575"/>
      <c r="H6" s="1575"/>
      <c r="I6" s="1575"/>
      <c r="J6" s="1575"/>
      <c r="K6" s="1575"/>
    </row>
    <row r="7" spans="1:12" x14ac:dyDescent="0.2">
      <c r="A7" s="427" t="s">
        <v>110</v>
      </c>
      <c r="B7" s="471">
        <v>1140</v>
      </c>
      <c r="C7" s="1573">
        <v>77168</v>
      </c>
      <c r="D7" s="1573">
        <v>0</v>
      </c>
      <c r="E7" s="1575"/>
      <c r="F7" s="1574">
        <v>0</v>
      </c>
      <c r="G7" s="1574">
        <v>0</v>
      </c>
      <c r="H7" s="1574">
        <v>0</v>
      </c>
      <c r="I7" s="1575"/>
      <c r="J7" s="1575"/>
      <c r="K7" s="1575"/>
    </row>
    <row r="8" spans="1:12" x14ac:dyDescent="0.2">
      <c r="A8" s="427" t="s">
        <v>410</v>
      </c>
      <c r="B8" s="429">
        <v>1150</v>
      </c>
      <c r="C8" s="1580"/>
      <c r="D8" s="1580"/>
      <c r="E8" s="1582"/>
      <c r="F8" s="1582"/>
      <c r="G8" s="1586">
        <v>133920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7492641</v>
      </c>
      <c r="D12" s="1633">
        <f t="shared" si="0"/>
        <v>964603</v>
      </c>
      <c r="E12" s="1633">
        <f t="shared" si="0"/>
        <v>583304</v>
      </c>
      <c r="F12" s="1633">
        <f t="shared" si="0"/>
        <v>463011</v>
      </c>
      <c r="G12" s="1633">
        <f t="shared" si="0"/>
        <v>243923</v>
      </c>
      <c r="H12" s="1633">
        <f t="shared" si="0"/>
        <v>0</v>
      </c>
      <c r="I12" s="1633">
        <f t="shared" si="0"/>
        <v>192921</v>
      </c>
      <c r="J12" s="1633">
        <f t="shared" si="0"/>
        <v>229582</v>
      </c>
      <c r="K12" s="1594">
        <f t="shared" si="0"/>
        <v>110003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2600</v>
      </c>
      <c r="D14" s="1573">
        <v>335</v>
      </c>
      <c r="E14" s="1573">
        <v>202</v>
      </c>
      <c r="F14" s="1573">
        <v>161</v>
      </c>
      <c r="G14" s="1573">
        <v>85</v>
      </c>
      <c r="H14" s="1573">
        <v>0</v>
      </c>
      <c r="I14" s="1573">
        <v>67</v>
      </c>
      <c r="J14" s="1574">
        <v>80</v>
      </c>
      <c r="K14" s="1573">
        <v>38</v>
      </c>
    </row>
    <row r="15" spans="1:12" ht="12.75" customHeight="1" x14ac:dyDescent="0.2">
      <c r="A15" s="427" t="s">
        <v>95</v>
      </c>
      <c r="B15" s="429">
        <v>1220</v>
      </c>
      <c r="C15" s="1632">
        <v>763</v>
      </c>
      <c r="D15" s="1573">
        <v>98</v>
      </c>
      <c r="E15" s="1573">
        <v>59</v>
      </c>
      <c r="F15" s="1573">
        <v>47</v>
      </c>
      <c r="G15" s="1573">
        <v>25</v>
      </c>
      <c r="H15" s="1573">
        <v>0</v>
      </c>
      <c r="I15" s="1573">
        <v>20</v>
      </c>
      <c r="J15" s="1574">
        <v>23</v>
      </c>
      <c r="K15" s="1573">
        <v>11</v>
      </c>
    </row>
    <row r="16" spans="1:12" ht="15" customHeight="1" x14ac:dyDescent="0.2">
      <c r="A16" s="427" t="s">
        <v>1644</v>
      </c>
      <c r="B16" s="471">
        <v>1230</v>
      </c>
      <c r="C16" s="1632">
        <v>104901</v>
      </c>
      <c r="D16" s="1573">
        <v>0</v>
      </c>
      <c r="E16" s="1573">
        <v>0</v>
      </c>
      <c r="F16" s="1573">
        <v>0</v>
      </c>
      <c r="G16" s="1573">
        <v>20000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108264</v>
      </c>
      <c r="D18" s="1635">
        <f t="shared" ref="D18:K18" si="1">SUM(D14:D17)</f>
        <v>433</v>
      </c>
      <c r="E18" s="1635">
        <f t="shared" si="1"/>
        <v>261</v>
      </c>
      <c r="F18" s="1635">
        <f t="shared" si="1"/>
        <v>208</v>
      </c>
      <c r="G18" s="1635">
        <f t="shared" si="1"/>
        <v>20110</v>
      </c>
      <c r="H18" s="1635">
        <f t="shared" si="1"/>
        <v>0</v>
      </c>
      <c r="I18" s="1635">
        <f t="shared" si="1"/>
        <v>87</v>
      </c>
      <c r="J18" s="1635">
        <f t="shared" si="1"/>
        <v>103</v>
      </c>
      <c r="K18" s="1636">
        <f t="shared" si="1"/>
        <v>49</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4415</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11531</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15946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729</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729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90858</v>
      </c>
      <c r="D65" s="1573">
        <v>11224</v>
      </c>
      <c r="E65" s="1573">
        <v>1237</v>
      </c>
      <c r="F65" s="1574">
        <v>2601</v>
      </c>
      <c r="G65" s="1573">
        <v>3758</v>
      </c>
      <c r="H65" s="1573">
        <v>9069</v>
      </c>
      <c r="I65" s="1573">
        <v>8926</v>
      </c>
      <c r="J65" s="1574">
        <v>824</v>
      </c>
      <c r="K65" s="1573">
        <v>1956</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90858</v>
      </c>
      <c r="D67" s="1594">
        <f t="shared" ref="D67:K67" si="2">SUM(D65:D66)</f>
        <v>11224</v>
      </c>
      <c r="E67" s="1594">
        <f t="shared" si="2"/>
        <v>1237</v>
      </c>
      <c r="F67" s="1594">
        <f t="shared" si="2"/>
        <v>2601</v>
      </c>
      <c r="G67" s="1594">
        <f t="shared" si="2"/>
        <v>3758</v>
      </c>
      <c r="H67" s="1594">
        <f t="shared" si="2"/>
        <v>9069</v>
      </c>
      <c r="I67" s="1594">
        <f t="shared" si="2"/>
        <v>8926</v>
      </c>
      <c r="J67" s="1594">
        <f t="shared" si="2"/>
        <v>824</v>
      </c>
      <c r="K67" s="1594">
        <f t="shared" si="2"/>
        <v>1956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276304</v>
      </c>
      <c r="D69" s="1575"/>
      <c r="E69" s="1575"/>
      <c r="F69" s="1575"/>
      <c r="G69" s="1575"/>
      <c r="H69" s="1575"/>
      <c r="I69" s="1575"/>
      <c r="J69" s="1575"/>
      <c r="K69" s="1575"/>
    </row>
    <row r="70" spans="1:11" ht="12.75" customHeight="1" x14ac:dyDescent="0.2">
      <c r="A70" s="427" t="s">
        <v>990</v>
      </c>
      <c r="B70" s="429">
        <v>1612</v>
      </c>
      <c r="C70" s="1632">
        <v>9027</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17056</v>
      </c>
      <c r="D73" s="1575"/>
      <c r="E73" s="1575"/>
      <c r="F73" s="1575"/>
      <c r="G73" s="1575"/>
      <c r="H73" s="1575"/>
      <c r="I73" s="1575"/>
      <c r="J73" s="1575"/>
      <c r="K73" s="1575"/>
    </row>
    <row r="74" spans="1:11" ht="12.75" customHeight="1" x14ac:dyDescent="0.2">
      <c r="A74" s="427" t="s">
        <v>25</v>
      </c>
      <c r="B74" s="429">
        <v>1690</v>
      </c>
      <c r="C74" s="1632">
        <v>4457</v>
      </c>
      <c r="D74" s="1575"/>
      <c r="E74" s="1575"/>
      <c r="F74" s="1575"/>
      <c r="G74" s="1575"/>
      <c r="H74" s="1575"/>
      <c r="I74" s="1575"/>
      <c r="J74" s="1575"/>
      <c r="K74" s="1575"/>
    </row>
    <row r="75" spans="1:11" ht="12.75" customHeight="1" thickBot="1" x14ac:dyDescent="0.25">
      <c r="A75" s="1406" t="s">
        <v>544</v>
      </c>
      <c r="B75" s="1407"/>
      <c r="C75" s="1594">
        <f>SUM(C69:C74)</f>
        <v>306844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31753</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5178</v>
      </c>
      <c r="D79" s="1573">
        <v>0</v>
      </c>
      <c r="E79" s="1575"/>
      <c r="F79" s="1575"/>
      <c r="G79" s="1575"/>
      <c r="H79" s="1575"/>
      <c r="I79" s="1575"/>
      <c r="J79" s="1575"/>
      <c r="K79" s="1575"/>
    </row>
    <row r="80" spans="1:11" ht="12.75" customHeight="1" x14ac:dyDescent="0.2">
      <c r="A80" s="427" t="s">
        <v>547</v>
      </c>
      <c r="B80" s="429">
        <v>1730</v>
      </c>
      <c r="C80" s="1632">
        <v>9245</v>
      </c>
      <c r="D80" s="1573">
        <v>0</v>
      </c>
      <c r="E80" s="1575"/>
      <c r="F80" s="1575"/>
      <c r="G80" s="1575"/>
      <c r="H80" s="1575"/>
      <c r="I80" s="1575"/>
      <c r="J80" s="1575"/>
      <c r="K80" s="1575"/>
    </row>
    <row r="81" spans="1:11" ht="12.75" customHeight="1" x14ac:dyDescent="0.2">
      <c r="A81" s="427" t="s">
        <v>26</v>
      </c>
      <c r="B81" s="429">
        <v>1790</v>
      </c>
      <c r="C81" s="1632">
        <v>21893</v>
      </c>
      <c r="D81" s="1573">
        <v>0</v>
      </c>
      <c r="E81" s="1575"/>
      <c r="F81" s="1575"/>
      <c r="G81" s="1575"/>
      <c r="H81" s="1575"/>
      <c r="I81" s="1575"/>
      <c r="J81" s="1575"/>
      <c r="K81" s="1575"/>
    </row>
    <row r="82" spans="1:11" ht="12.75" customHeight="1" thickBot="1" x14ac:dyDescent="0.25">
      <c r="A82" s="1406" t="s">
        <v>239</v>
      </c>
      <c r="B82" s="1407"/>
      <c r="C82" s="1633">
        <f>SUM(C77:C81)</f>
        <v>68069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137382</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536</v>
      </c>
      <c r="D92" s="1575"/>
      <c r="E92" s="1575"/>
      <c r="F92" s="1575"/>
      <c r="G92" s="1575"/>
      <c r="H92" s="1575"/>
      <c r="I92" s="1575"/>
      <c r="J92" s="1575"/>
      <c r="K92" s="1575"/>
    </row>
    <row r="93" spans="1:11" ht="12.75" customHeight="1" thickBot="1" x14ac:dyDescent="0.25">
      <c r="A93" s="1406" t="s">
        <v>241</v>
      </c>
      <c r="B93" s="1407"/>
      <c r="C93" s="1594">
        <f>SUM(C84:C92)</f>
        <v>137918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11167</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27428</v>
      </c>
      <c r="D99" s="1573">
        <v>770</v>
      </c>
      <c r="E99" s="1573">
        <v>0</v>
      </c>
      <c r="F99" s="1573">
        <v>66</v>
      </c>
      <c r="G99" s="1573">
        <v>0</v>
      </c>
      <c r="H99" s="1573">
        <v>0</v>
      </c>
      <c r="I99" s="1575"/>
      <c r="J99" s="1574">
        <v>1226</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25359</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289357</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53849</v>
      </c>
      <c r="D107" s="1573">
        <v>8360</v>
      </c>
      <c r="E107" s="1573">
        <v>0</v>
      </c>
      <c r="F107" s="1573">
        <v>1155</v>
      </c>
      <c r="G107" s="1573">
        <v>0</v>
      </c>
      <c r="H107" s="1573">
        <v>0</v>
      </c>
      <c r="I107" s="1573">
        <v>0</v>
      </c>
      <c r="J107" s="1574">
        <v>0</v>
      </c>
      <c r="K107" s="1573">
        <v>0</v>
      </c>
    </row>
    <row r="108" spans="1:12" ht="12.75" customHeight="1" thickBot="1" x14ac:dyDescent="0.25">
      <c r="A108" s="1406" t="s">
        <v>484</v>
      </c>
      <c r="B108" s="1408"/>
      <c r="C108" s="1633">
        <f>SUM(C95:C107)</f>
        <v>106636</v>
      </c>
      <c r="D108" s="1633">
        <f t="shared" ref="D108:K108" si="3">SUM(D95:D107)</f>
        <v>20297</v>
      </c>
      <c r="E108" s="1633">
        <f t="shared" si="3"/>
        <v>0</v>
      </c>
      <c r="F108" s="1633">
        <f t="shared" si="3"/>
        <v>1221</v>
      </c>
      <c r="G108" s="1633">
        <f t="shared" si="3"/>
        <v>0</v>
      </c>
      <c r="H108" s="1633">
        <f t="shared" si="3"/>
        <v>289357</v>
      </c>
      <c r="I108" s="1633">
        <f t="shared" si="3"/>
        <v>0</v>
      </c>
      <c r="J108" s="1633">
        <f t="shared" si="3"/>
        <v>1226</v>
      </c>
      <c r="K108" s="1594">
        <f t="shared" si="3"/>
        <v>0</v>
      </c>
    </row>
    <row r="109" spans="1:12" ht="14.25" thickTop="1" thickBot="1" x14ac:dyDescent="0.25">
      <c r="A109" s="1409" t="s">
        <v>246</v>
      </c>
      <c r="B109" s="1410" t="s">
        <v>566</v>
      </c>
      <c r="C109" s="1641">
        <f t="shared" ref="C109:K109" si="4">SUM(C12,C18,C40,C63,C67,C75,C82,C93,C108,)</f>
        <v>8327176</v>
      </c>
      <c r="D109" s="1641">
        <f t="shared" si="4"/>
        <v>996557</v>
      </c>
      <c r="E109" s="1641">
        <f t="shared" si="4"/>
        <v>584802</v>
      </c>
      <c r="F109" s="1641">
        <f t="shared" si="4"/>
        <v>467770</v>
      </c>
      <c r="G109" s="1641">
        <f t="shared" si="4"/>
        <v>267791</v>
      </c>
      <c r="H109" s="1641">
        <f t="shared" si="4"/>
        <v>298426</v>
      </c>
      <c r="I109" s="1641">
        <f t="shared" si="4"/>
        <v>201934</v>
      </c>
      <c r="J109" s="1641">
        <f t="shared" si="4"/>
        <v>231735</v>
      </c>
      <c r="K109" s="1629">
        <f t="shared" si="4"/>
        <v>112008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1372079</v>
      </c>
      <c r="D117" s="1586">
        <v>774946</v>
      </c>
      <c r="E117" s="1573">
        <v>0</v>
      </c>
      <c r="F117" s="1586">
        <v>98604</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1372079</v>
      </c>
      <c r="D122" s="1633">
        <f t="shared" si="5"/>
        <v>774946</v>
      </c>
      <c r="E122" s="1633">
        <f t="shared" si="5"/>
        <v>0</v>
      </c>
      <c r="F122" s="1633">
        <f t="shared" si="5"/>
        <v>98604</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155631</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55463</v>
      </c>
      <c r="D127" s="1573">
        <v>0</v>
      </c>
      <c r="E127" s="1575"/>
      <c r="F127" s="1573">
        <v>0</v>
      </c>
      <c r="G127" s="1575"/>
      <c r="H127" s="1575"/>
      <c r="I127" s="1575"/>
      <c r="J127" s="1575"/>
      <c r="K127" s="1575"/>
    </row>
    <row r="128" spans="1:11" ht="12.75" customHeight="1" x14ac:dyDescent="0.2">
      <c r="A128" s="427" t="s">
        <v>105</v>
      </c>
      <c r="B128" s="478">
        <v>3120</v>
      </c>
      <c r="C128" s="1573">
        <v>43020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254114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60484</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3690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64174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1051</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30289</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102678</v>
      </c>
      <c r="G152" s="1574">
        <v>0</v>
      </c>
      <c r="H152" s="1575"/>
      <c r="I152" s="1575"/>
      <c r="J152" s="1575"/>
      <c r="K152" s="1575"/>
    </row>
    <row r="153" spans="1:11" ht="12.75" customHeight="1" x14ac:dyDescent="0.2">
      <c r="A153" s="427" t="s">
        <v>1048</v>
      </c>
      <c r="B153" s="478">
        <v>3510</v>
      </c>
      <c r="C153" s="1632">
        <v>0</v>
      </c>
      <c r="D153" s="1573">
        <v>0</v>
      </c>
      <c r="E153" s="1640"/>
      <c r="F153" s="1573">
        <v>98078</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200756</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349628</v>
      </c>
      <c r="D169" s="1658">
        <f t="shared" si="6"/>
        <v>50000</v>
      </c>
      <c r="E169" s="1658">
        <f t="shared" si="6"/>
        <v>0</v>
      </c>
      <c r="F169" s="1658">
        <f t="shared" si="6"/>
        <v>200756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1721707</v>
      </c>
      <c r="D170" s="1641">
        <f t="shared" si="7"/>
        <v>824946</v>
      </c>
      <c r="E170" s="1641">
        <f t="shared" si="7"/>
        <v>0</v>
      </c>
      <c r="F170" s="1641">
        <f t="shared" si="7"/>
        <v>299360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67183</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14572</v>
      </c>
      <c r="D193" s="1575"/>
      <c r="E193" s="1640"/>
      <c r="F193" s="1575"/>
      <c r="G193" s="1664">
        <v>0</v>
      </c>
      <c r="H193" s="1575"/>
      <c r="I193" s="1575"/>
      <c r="J193" s="1575"/>
      <c r="K193" s="1575"/>
    </row>
    <row r="194" spans="1:11" ht="12.75" customHeight="1" x14ac:dyDescent="0.2">
      <c r="A194" s="427" t="s">
        <v>1434</v>
      </c>
      <c r="B194" s="429">
        <v>4225</v>
      </c>
      <c r="C194" s="1632">
        <v>2298</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84053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37416</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37416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323641</v>
      </c>
      <c r="D213" s="1573">
        <v>0</v>
      </c>
      <c r="E213" s="1575"/>
      <c r="F213" s="1573">
        <v>0</v>
      </c>
      <c r="G213" s="1573">
        <v>0</v>
      </c>
      <c r="H213" s="1575"/>
      <c r="I213" s="1575"/>
      <c r="J213" s="1575"/>
      <c r="K213" s="1575"/>
    </row>
    <row r="214" spans="1:11" ht="12.75" customHeight="1" x14ac:dyDescent="0.2">
      <c r="A214" s="427" t="s">
        <v>1045</v>
      </c>
      <c r="B214" s="429">
        <v>4625</v>
      </c>
      <c r="C214" s="1632">
        <v>182948</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506589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3941</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4938</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646937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646937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10695820</v>
      </c>
      <c r="D268" s="1641">
        <f t="shared" si="12"/>
        <v>1821503</v>
      </c>
      <c r="E268" s="1641">
        <f t="shared" si="12"/>
        <v>584802</v>
      </c>
      <c r="F268" s="1641">
        <f t="shared" si="12"/>
        <v>767130</v>
      </c>
      <c r="G268" s="1641">
        <f t="shared" si="12"/>
        <v>267791</v>
      </c>
      <c r="H268" s="1641">
        <f t="shared" si="12"/>
        <v>298426</v>
      </c>
      <c r="I268" s="1641">
        <f t="shared" si="12"/>
        <v>201934</v>
      </c>
      <c r="J268" s="1641">
        <f t="shared" si="12"/>
        <v>231735</v>
      </c>
      <c r="K268" s="1629">
        <f t="shared" si="12"/>
        <v>112008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 activePane="bottomLeft" state="frozen"/>
      <selection activeCell="AD19" sqref="AD19"/>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2979334</v>
      </c>
      <c r="D5" s="1573">
        <v>859976</v>
      </c>
      <c r="E5" s="1573">
        <v>2729</v>
      </c>
      <c r="F5" s="1573">
        <v>85902</v>
      </c>
      <c r="G5" s="1573">
        <v>110590</v>
      </c>
      <c r="H5" s="1573">
        <v>0</v>
      </c>
      <c r="I5" s="1574">
        <v>0</v>
      </c>
      <c r="J5" s="1574">
        <v>0</v>
      </c>
      <c r="K5" s="1672">
        <f>SUM(C5:J5)</f>
        <v>4038531</v>
      </c>
      <c r="L5" s="1573">
        <v>4120481</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464457</v>
      </c>
      <c r="D8" s="1573">
        <v>126912</v>
      </c>
      <c r="E8" s="1573">
        <v>0</v>
      </c>
      <c r="F8" s="1573">
        <v>2523</v>
      </c>
      <c r="G8" s="1573">
        <v>0</v>
      </c>
      <c r="H8" s="1573">
        <v>0</v>
      </c>
      <c r="I8" s="1574">
        <v>0</v>
      </c>
      <c r="J8" s="1574">
        <v>0</v>
      </c>
      <c r="K8" s="1672">
        <f t="shared" si="0"/>
        <v>593892</v>
      </c>
      <c r="L8" s="1573">
        <v>578492</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81323</v>
      </c>
      <c r="D10" s="1573">
        <v>10167</v>
      </c>
      <c r="E10" s="1573">
        <v>0</v>
      </c>
      <c r="F10" s="1573">
        <v>0</v>
      </c>
      <c r="G10" s="1573">
        <v>0</v>
      </c>
      <c r="H10" s="1573">
        <v>0</v>
      </c>
      <c r="I10" s="1574">
        <v>0</v>
      </c>
      <c r="J10" s="1574">
        <v>0</v>
      </c>
      <c r="K10" s="1672">
        <f t="shared" si="0"/>
        <v>91490</v>
      </c>
      <c r="L10" s="1573">
        <v>90500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628444</v>
      </c>
      <c r="D13" s="1573">
        <v>197413</v>
      </c>
      <c r="E13" s="1573">
        <v>7733</v>
      </c>
      <c r="F13" s="1573">
        <v>36604</v>
      </c>
      <c r="G13" s="1573">
        <v>696</v>
      </c>
      <c r="H13" s="1573">
        <v>0</v>
      </c>
      <c r="I13" s="1574">
        <v>0</v>
      </c>
      <c r="J13" s="1574">
        <v>0</v>
      </c>
      <c r="K13" s="1672">
        <f t="shared" si="0"/>
        <v>870890</v>
      </c>
      <c r="L13" s="1573">
        <v>886734</v>
      </c>
    </row>
    <row r="14" spans="1:14" x14ac:dyDescent="0.2">
      <c r="A14" s="1274" t="s">
        <v>957</v>
      </c>
      <c r="B14" s="503">
        <v>1500</v>
      </c>
      <c r="C14" s="1573">
        <v>410203</v>
      </c>
      <c r="D14" s="1573">
        <v>35896</v>
      </c>
      <c r="E14" s="1573">
        <v>42444</v>
      </c>
      <c r="F14" s="1573">
        <v>103189</v>
      </c>
      <c r="G14" s="1573">
        <v>0</v>
      </c>
      <c r="H14" s="1573">
        <v>16147</v>
      </c>
      <c r="I14" s="1574">
        <v>0</v>
      </c>
      <c r="J14" s="1574">
        <v>0</v>
      </c>
      <c r="K14" s="1672">
        <f t="shared" si="0"/>
        <v>607879</v>
      </c>
      <c r="L14" s="1573">
        <v>754425</v>
      </c>
    </row>
    <row r="15" spans="1:14" x14ac:dyDescent="0.2">
      <c r="A15" s="1274" t="s">
        <v>958</v>
      </c>
      <c r="B15" s="503">
        <v>1600</v>
      </c>
      <c r="C15" s="1573">
        <v>1800</v>
      </c>
      <c r="D15" s="1573">
        <v>0</v>
      </c>
      <c r="E15" s="1573">
        <v>0</v>
      </c>
      <c r="F15" s="1573">
        <v>0</v>
      </c>
      <c r="G15" s="1573">
        <v>0</v>
      </c>
      <c r="H15" s="1573">
        <v>0</v>
      </c>
      <c r="I15" s="1574">
        <v>0</v>
      </c>
      <c r="J15" s="1574">
        <v>0</v>
      </c>
      <c r="K15" s="1672">
        <f t="shared" si="0"/>
        <v>1800</v>
      </c>
      <c r="L15" s="1573">
        <v>4100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106892</v>
      </c>
      <c r="D17" s="1574">
        <v>25085</v>
      </c>
      <c r="E17" s="1574">
        <v>12869</v>
      </c>
      <c r="F17" s="1574">
        <v>10050</v>
      </c>
      <c r="G17" s="1574">
        <v>0</v>
      </c>
      <c r="H17" s="1574">
        <v>940</v>
      </c>
      <c r="I17" s="1574">
        <v>0</v>
      </c>
      <c r="J17" s="1574">
        <v>0</v>
      </c>
      <c r="K17" s="1672">
        <f t="shared" si="0"/>
        <v>155836</v>
      </c>
      <c r="L17" s="1573">
        <v>151115</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703397</v>
      </c>
      <c r="I22" s="1673"/>
      <c r="J22" s="1582"/>
      <c r="K22" s="1672">
        <f t="shared" si="0"/>
        <v>703397</v>
      </c>
      <c r="L22" s="1577">
        <v>1179500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4672453</v>
      </c>
      <c r="D33" s="1674">
        <f t="shared" ref="D33:L33" si="1">SUM(D5:D32)</f>
        <v>1255449</v>
      </c>
      <c r="E33" s="1674">
        <f t="shared" si="1"/>
        <v>65775</v>
      </c>
      <c r="F33" s="1674">
        <f t="shared" si="1"/>
        <v>238268</v>
      </c>
      <c r="G33" s="1674">
        <f t="shared" si="1"/>
        <v>111286</v>
      </c>
      <c r="H33" s="1674">
        <f t="shared" si="1"/>
        <v>720484</v>
      </c>
      <c r="I33" s="1674">
        <f t="shared" si="1"/>
        <v>0</v>
      </c>
      <c r="J33" s="1674">
        <f t="shared" si="1"/>
        <v>0</v>
      </c>
      <c r="K33" s="1674">
        <f t="shared" si="1"/>
        <v>7063715</v>
      </c>
      <c r="L33" s="1674">
        <f t="shared" si="1"/>
        <v>7765347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481819</v>
      </c>
      <c r="D37" s="1573">
        <v>105465</v>
      </c>
      <c r="E37" s="1573">
        <v>12595</v>
      </c>
      <c r="F37" s="1573">
        <v>3307</v>
      </c>
      <c r="G37" s="1573">
        <v>0</v>
      </c>
      <c r="H37" s="1573">
        <v>0</v>
      </c>
      <c r="I37" s="1574">
        <v>0</v>
      </c>
      <c r="J37" s="1574">
        <v>0</v>
      </c>
      <c r="K37" s="1672">
        <f t="shared" si="2"/>
        <v>603186</v>
      </c>
      <c r="L37" s="1573">
        <v>600021</v>
      </c>
    </row>
    <row r="38" spans="1:14" x14ac:dyDescent="0.2">
      <c r="A38" s="1274" t="s">
        <v>196</v>
      </c>
      <c r="B38" s="503">
        <v>2130</v>
      </c>
      <c r="C38" s="1573">
        <v>27328</v>
      </c>
      <c r="D38" s="1573">
        <v>351</v>
      </c>
      <c r="E38" s="1573">
        <v>23313</v>
      </c>
      <c r="F38" s="1573">
        <v>1160</v>
      </c>
      <c r="G38" s="1573">
        <v>2626</v>
      </c>
      <c r="H38" s="1573">
        <v>0</v>
      </c>
      <c r="I38" s="1573">
        <v>0</v>
      </c>
      <c r="J38" s="1573">
        <v>0</v>
      </c>
      <c r="K38" s="1672">
        <f t="shared" si="2"/>
        <v>54778</v>
      </c>
      <c r="L38" s="1573">
        <v>64000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33750</v>
      </c>
      <c r="D41" s="1573">
        <v>0</v>
      </c>
      <c r="E41" s="1573">
        <v>0</v>
      </c>
      <c r="F41" s="1573">
        <v>65489</v>
      </c>
      <c r="G41" s="1573">
        <v>0</v>
      </c>
      <c r="H41" s="1573">
        <v>0</v>
      </c>
      <c r="I41" s="1574">
        <v>0</v>
      </c>
      <c r="J41" s="1574">
        <v>0</v>
      </c>
      <c r="K41" s="1672">
        <f t="shared" si="2"/>
        <v>99239</v>
      </c>
      <c r="L41" s="1573">
        <v>118398</v>
      </c>
    </row>
    <row r="42" spans="1:14" ht="12.75" customHeight="1" thickBot="1" x14ac:dyDescent="0.25">
      <c r="A42" s="1380" t="s">
        <v>556</v>
      </c>
      <c r="B42" s="1381" t="s">
        <v>711</v>
      </c>
      <c r="C42" s="1674">
        <f>SUM(C36:C41)</f>
        <v>542897</v>
      </c>
      <c r="D42" s="1674">
        <f t="shared" ref="D42:L42" si="3">SUM(D36:D41)</f>
        <v>105816</v>
      </c>
      <c r="E42" s="1674">
        <f t="shared" si="3"/>
        <v>35908</v>
      </c>
      <c r="F42" s="1674">
        <f t="shared" si="3"/>
        <v>69956</v>
      </c>
      <c r="G42" s="1674">
        <f t="shared" si="3"/>
        <v>2626</v>
      </c>
      <c r="H42" s="1674">
        <f t="shared" si="3"/>
        <v>0</v>
      </c>
      <c r="I42" s="1674">
        <f t="shared" si="3"/>
        <v>0</v>
      </c>
      <c r="J42" s="1674">
        <f t="shared" si="3"/>
        <v>0</v>
      </c>
      <c r="K42" s="1674">
        <f t="shared" si="3"/>
        <v>757203</v>
      </c>
      <c r="L42" s="1674">
        <f t="shared" si="3"/>
        <v>782419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26439</v>
      </c>
      <c r="F44" s="1586">
        <v>0</v>
      </c>
      <c r="G44" s="1586">
        <v>0</v>
      </c>
      <c r="H44" s="1586">
        <v>0</v>
      </c>
      <c r="I44" s="1574">
        <v>0</v>
      </c>
      <c r="J44" s="1574">
        <v>0</v>
      </c>
      <c r="K44" s="1678">
        <f>SUM(C44:J44)</f>
        <v>26439</v>
      </c>
      <c r="L44" s="1586">
        <v>32000</v>
      </c>
    </row>
    <row r="45" spans="1:14" x14ac:dyDescent="0.2">
      <c r="A45" s="1274" t="s">
        <v>810</v>
      </c>
      <c r="B45" s="503">
        <v>2220</v>
      </c>
      <c r="C45" s="1573">
        <v>111645</v>
      </c>
      <c r="D45" s="1573">
        <v>11314</v>
      </c>
      <c r="E45" s="1573">
        <v>0</v>
      </c>
      <c r="F45" s="1573">
        <v>25109</v>
      </c>
      <c r="G45" s="1573">
        <v>0</v>
      </c>
      <c r="H45" s="1573">
        <v>0</v>
      </c>
      <c r="I45" s="1574">
        <v>0</v>
      </c>
      <c r="J45" s="1574">
        <v>0</v>
      </c>
      <c r="K45" s="1678">
        <f>SUM(C45:J45)</f>
        <v>148068</v>
      </c>
      <c r="L45" s="1573">
        <v>145454</v>
      </c>
    </row>
    <row r="46" spans="1:14" x14ac:dyDescent="0.2">
      <c r="A46" s="1274" t="s">
        <v>811</v>
      </c>
      <c r="B46" s="503">
        <v>2230</v>
      </c>
      <c r="C46" s="1573">
        <v>0</v>
      </c>
      <c r="D46" s="1573">
        <v>0</v>
      </c>
      <c r="E46" s="1573">
        <v>0</v>
      </c>
      <c r="F46" s="1573">
        <v>3393</v>
      </c>
      <c r="G46" s="1573">
        <v>0</v>
      </c>
      <c r="H46" s="1573">
        <v>176</v>
      </c>
      <c r="I46" s="1574">
        <v>0</v>
      </c>
      <c r="J46" s="1574">
        <v>0</v>
      </c>
      <c r="K46" s="1678">
        <f>SUM(C46:J46)</f>
        <v>3569</v>
      </c>
      <c r="L46" s="1573">
        <v>0</v>
      </c>
    </row>
    <row r="47" spans="1:14" ht="12.75" customHeight="1" thickBot="1" x14ac:dyDescent="0.25">
      <c r="A47" s="1380" t="s">
        <v>557</v>
      </c>
      <c r="B47" s="1381" t="s">
        <v>32</v>
      </c>
      <c r="C47" s="1674">
        <f>SUM(C44:C46)</f>
        <v>111645</v>
      </c>
      <c r="D47" s="1674">
        <f t="shared" ref="D47:K47" si="4">SUM(D44:D46)</f>
        <v>11314</v>
      </c>
      <c r="E47" s="1674">
        <f t="shared" si="4"/>
        <v>26439</v>
      </c>
      <c r="F47" s="1674">
        <f t="shared" si="4"/>
        <v>28502</v>
      </c>
      <c r="G47" s="1674">
        <f t="shared" si="4"/>
        <v>0</v>
      </c>
      <c r="H47" s="1674">
        <f t="shared" si="4"/>
        <v>176</v>
      </c>
      <c r="I47" s="1674">
        <f t="shared" si="4"/>
        <v>0</v>
      </c>
      <c r="J47" s="1674">
        <f t="shared" si="4"/>
        <v>0</v>
      </c>
      <c r="K47" s="1674">
        <f t="shared" si="4"/>
        <v>178076</v>
      </c>
      <c r="L47" s="1674">
        <f>SUM(L44:L46)</f>
        <v>177454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1778</v>
      </c>
      <c r="D49" s="1586">
        <v>7</v>
      </c>
      <c r="E49" s="1586">
        <v>28816</v>
      </c>
      <c r="F49" s="1586">
        <v>0</v>
      </c>
      <c r="G49" s="1586">
        <v>0</v>
      </c>
      <c r="H49" s="1586">
        <v>22791</v>
      </c>
      <c r="I49" s="1574">
        <v>0</v>
      </c>
      <c r="J49" s="1574">
        <v>0</v>
      </c>
      <c r="K49" s="1678">
        <f>SUM(C49:J49)</f>
        <v>53392</v>
      </c>
      <c r="L49" s="1586">
        <v>78975</v>
      </c>
    </row>
    <row r="50" spans="1:14" x14ac:dyDescent="0.2">
      <c r="A50" s="1274" t="s">
        <v>813</v>
      </c>
      <c r="B50" s="503">
        <v>2320</v>
      </c>
      <c r="C50" s="1574">
        <v>179514</v>
      </c>
      <c r="D50" s="1573">
        <v>30384</v>
      </c>
      <c r="E50" s="1573">
        <v>797</v>
      </c>
      <c r="F50" s="1573">
        <v>6042</v>
      </c>
      <c r="G50" s="1573">
        <v>265</v>
      </c>
      <c r="H50" s="1573">
        <v>3698</v>
      </c>
      <c r="I50" s="1574">
        <v>0</v>
      </c>
      <c r="J50" s="1574">
        <v>0</v>
      </c>
      <c r="K50" s="1678">
        <f>SUM(C50:J50)</f>
        <v>220700</v>
      </c>
      <c r="L50" s="1573">
        <v>221008</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181292</v>
      </c>
      <c r="D53" s="1674">
        <f t="shared" ref="D53:L53" si="5">SUM(D49:D52)</f>
        <v>30391</v>
      </c>
      <c r="E53" s="1674">
        <f t="shared" si="5"/>
        <v>29613</v>
      </c>
      <c r="F53" s="1674">
        <f t="shared" si="5"/>
        <v>6042</v>
      </c>
      <c r="G53" s="1674">
        <f t="shared" si="5"/>
        <v>265</v>
      </c>
      <c r="H53" s="1674">
        <f t="shared" si="5"/>
        <v>26489</v>
      </c>
      <c r="I53" s="1674">
        <f t="shared" si="5"/>
        <v>0</v>
      </c>
      <c r="J53" s="1674">
        <f t="shared" si="5"/>
        <v>0</v>
      </c>
      <c r="K53" s="1674">
        <f t="shared" si="5"/>
        <v>274092</v>
      </c>
      <c r="L53" s="1674">
        <f t="shared" si="5"/>
        <v>299983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382089</v>
      </c>
      <c r="D55" s="1586">
        <v>107952</v>
      </c>
      <c r="E55" s="1586">
        <v>1532</v>
      </c>
      <c r="F55" s="1586">
        <v>10823</v>
      </c>
      <c r="G55" s="1586">
        <v>775</v>
      </c>
      <c r="H55" s="1586">
        <v>2151</v>
      </c>
      <c r="I55" s="1574">
        <v>0</v>
      </c>
      <c r="J55" s="1574">
        <v>0</v>
      </c>
      <c r="K55" s="1678">
        <f>SUM(C55:J55)</f>
        <v>505322</v>
      </c>
      <c r="L55" s="1586">
        <v>492098</v>
      </c>
    </row>
    <row r="56" spans="1:14" ht="12.75" customHeight="1" x14ac:dyDescent="0.2">
      <c r="A56" s="1278" t="s">
        <v>373</v>
      </c>
      <c r="B56" s="512">
        <v>2490</v>
      </c>
      <c r="C56" s="1573">
        <v>0</v>
      </c>
      <c r="D56" s="1573">
        <v>0</v>
      </c>
      <c r="E56" s="1573">
        <v>0</v>
      </c>
      <c r="F56" s="1573">
        <v>0</v>
      </c>
      <c r="G56" s="1573">
        <v>3260</v>
      </c>
      <c r="H56" s="1573">
        <v>0</v>
      </c>
      <c r="I56" s="1574">
        <v>0</v>
      </c>
      <c r="J56" s="1574">
        <v>0</v>
      </c>
      <c r="K56" s="1678">
        <f>SUM(C56:J56)</f>
        <v>3260</v>
      </c>
      <c r="L56" s="1573">
        <v>0</v>
      </c>
    </row>
    <row r="57" spans="1:14" s="321" customFormat="1" ht="12.75" customHeight="1" thickBot="1" x14ac:dyDescent="0.25">
      <c r="A57" s="1380" t="s">
        <v>261</v>
      </c>
      <c r="B57" s="1382" t="s">
        <v>34</v>
      </c>
      <c r="C57" s="1679">
        <f>SUM(C55:C56)</f>
        <v>382089</v>
      </c>
      <c r="D57" s="1679">
        <f t="shared" ref="D57:K57" si="6">SUM(D55:D56)</f>
        <v>107952</v>
      </c>
      <c r="E57" s="1679">
        <f t="shared" si="6"/>
        <v>1532</v>
      </c>
      <c r="F57" s="1679">
        <f t="shared" si="6"/>
        <v>10823</v>
      </c>
      <c r="G57" s="1679">
        <f t="shared" si="6"/>
        <v>4035</v>
      </c>
      <c r="H57" s="1679">
        <f t="shared" si="6"/>
        <v>2151</v>
      </c>
      <c r="I57" s="1679">
        <f t="shared" si="6"/>
        <v>0</v>
      </c>
      <c r="J57" s="1679">
        <f t="shared" si="6"/>
        <v>0</v>
      </c>
      <c r="K57" s="1679">
        <f t="shared" si="6"/>
        <v>508582</v>
      </c>
      <c r="L57" s="1674">
        <f>SUM(L55:L56)</f>
        <v>492098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62234</v>
      </c>
      <c r="D60" s="1573">
        <v>16112</v>
      </c>
      <c r="E60" s="1573">
        <v>40455</v>
      </c>
      <c r="F60" s="1573">
        <v>6822</v>
      </c>
      <c r="G60" s="1573">
        <v>0</v>
      </c>
      <c r="H60" s="1573">
        <v>0</v>
      </c>
      <c r="I60" s="1574">
        <v>0</v>
      </c>
      <c r="J60" s="1574">
        <v>0</v>
      </c>
      <c r="K60" s="1678">
        <f t="shared" si="7"/>
        <v>125623</v>
      </c>
      <c r="L60" s="1573">
        <v>146600</v>
      </c>
      <c r="M60" s="501"/>
      <c r="N60" s="501"/>
    </row>
    <row r="61" spans="1:14" s="321" customFormat="1" x14ac:dyDescent="0.2">
      <c r="A61" s="1274" t="s">
        <v>195</v>
      </c>
      <c r="B61" s="503">
        <v>2540</v>
      </c>
      <c r="C61" s="1573">
        <v>0</v>
      </c>
      <c r="D61" s="1573">
        <v>0</v>
      </c>
      <c r="E61" s="1573">
        <v>67424</v>
      </c>
      <c r="F61" s="1573">
        <v>1072</v>
      </c>
      <c r="G61" s="1573">
        <v>0</v>
      </c>
      <c r="H61" s="1573">
        <v>0</v>
      </c>
      <c r="I61" s="1574">
        <v>0</v>
      </c>
      <c r="J61" s="1574">
        <v>0</v>
      </c>
      <c r="K61" s="1678">
        <f t="shared" si="7"/>
        <v>68496</v>
      </c>
      <c r="L61" s="1573">
        <v>90967</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181687</v>
      </c>
      <c r="D63" s="1573">
        <v>97779</v>
      </c>
      <c r="E63" s="1573">
        <v>1433</v>
      </c>
      <c r="F63" s="1573">
        <v>261715</v>
      </c>
      <c r="G63" s="1573">
        <v>0</v>
      </c>
      <c r="H63" s="1573">
        <v>23387</v>
      </c>
      <c r="I63" s="1574">
        <v>0</v>
      </c>
      <c r="J63" s="1574">
        <v>0</v>
      </c>
      <c r="K63" s="1678">
        <f t="shared" si="7"/>
        <v>566001</v>
      </c>
      <c r="L63" s="1573">
        <v>624472</v>
      </c>
    </row>
    <row r="64" spans="1:14" s="501" customFormat="1" x14ac:dyDescent="0.2">
      <c r="A64" s="1279" t="s">
        <v>101</v>
      </c>
      <c r="B64" s="513">
        <v>2570</v>
      </c>
      <c r="C64" s="1586">
        <v>87988</v>
      </c>
      <c r="D64" s="1586">
        <v>13830</v>
      </c>
      <c r="E64" s="1586">
        <v>0</v>
      </c>
      <c r="F64" s="1586">
        <v>1141</v>
      </c>
      <c r="G64" s="1586">
        <v>2031</v>
      </c>
      <c r="H64" s="1586">
        <v>12734</v>
      </c>
      <c r="I64" s="1574">
        <v>0</v>
      </c>
      <c r="J64" s="1574">
        <v>0</v>
      </c>
      <c r="K64" s="1678">
        <f t="shared" si="7"/>
        <v>117724</v>
      </c>
      <c r="L64" s="1586">
        <v>99570</v>
      </c>
    </row>
    <row r="65" spans="1:14" s="321" customFormat="1" ht="12.75" customHeight="1" thickBot="1" x14ac:dyDescent="0.25">
      <c r="A65" s="1380" t="s">
        <v>714</v>
      </c>
      <c r="B65" s="1381" t="s">
        <v>35</v>
      </c>
      <c r="C65" s="1674">
        <f>SUM(C59:C64)</f>
        <v>331909</v>
      </c>
      <c r="D65" s="1674">
        <f t="shared" ref="D65:L65" si="8">SUM(D59:D64)</f>
        <v>127721</v>
      </c>
      <c r="E65" s="1674">
        <f t="shared" si="8"/>
        <v>109312</v>
      </c>
      <c r="F65" s="1674">
        <f t="shared" si="8"/>
        <v>270750</v>
      </c>
      <c r="G65" s="1674">
        <f t="shared" si="8"/>
        <v>2031</v>
      </c>
      <c r="H65" s="1674">
        <f t="shared" si="8"/>
        <v>36121</v>
      </c>
      <c r="I65" s="1674">
        <f t="shared" si="8"/>
        <v>0</v>
      </c>
      <c r="J65" s="1674">
        <f t="shared" si="8"/>
        <v>0</v>
      </c>
      <c r="K65" s="1674">
        <f t="shared" si="8"/>
        <v>877844</v>
      </c>
      <c r="L65" s="1674">
        <f t="shared" si="8"/>
        <v>961609</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1549832</v>
      </c>
      <c r="D74" s="1681">
        <f t="shared" ref="D74:K74" si="10">SUM(D42,D47,D53,D57,D65,D72,D73)</f>
        <v>383194</v>
      </c>
      <c r="E74" s="1681">
        <f t="shared" si="10"/>
        <v>202804</v>
      </c>
      <c r="F74" s="1681">
        <f t="shared" si="10"/>
        <v>386073</v>
      </c>
      <c r="G74" s="1681">
        <f t="shared" si="10"/>
        <v>8957</v>
      </c>
      <c r="H74" s="1681">
        <f t="shared" si="10"/>
        <v>64937</v>
      </c>
      <c r="I74" s="1681">
        <f t="shared" si="10"/>
        <v>0</v>
      </c>
      <c r="J74" s="1681">
        <f t="shared" si="10"/>
        <v>0</v>
      </c>
      <c r="K74" s="1681">
        <f t="shared" si="10"/>
        <v>2595797</v>
      </c>
      <c r="L74" s="1681">
        <f>SUM(L42,L47,L53,L57,L65,L72,L73)</f>
        <v>2713563</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1200</v>
      </c>
      <c r="I78" s="1582"/>
      <c r="J78" s="1582"/>
      <c r="K78" s="1672">
        <f t="shared" ref="K78:K83" si="11">SUM(C78:J78)</f>
        <v>1200</v>
      </c>
      <c r="L78" s="1586">
        <v>0</v>
      </c>
    </row>
    <row r="79" spans="1:14" x14ac:dyDescent="0.2">
      <c r="A79" s="1274" t="s">
        <v>301</v>
      </c>
      <c r="B79" s="503">
        <v>4120</v>
      </c>
      <c r="C79" s="1673"/>
      <c r="D79" s="1673"/>
      <c r="E79" s="1573">
        <v>0</v>
      </c>
      <c r="F79" s="1673"/>
      <c r="G79" s="1673"/>
      <c r="H79" s="1573">
        <v>708776</v>
      </c>
      <c r="I79" s="1582"/>
      <c r="J79" s="1582"/>
      <c r="K79" s="1672">
        <f t="shared" si="11"/>
        <v>708776</v>
      </c>
      <c r="L79" s="1573">
        <v>7500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26211</v>
      </c>
      <c r="F81" s="1673"/>
      <c r="G81" s="1673"/>
      <c r="H81" s="1573">
        <v>0</v>
      </c>
      <c r="I81" s="1582"/>
      <c r="J81" s="1582"/>
      <c r="K81" s="1672">
        <f t="shared" si="11"/>
        <v>26211</v>
      </c>
      <c r="L81" s="1573">
        <v>27000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26211</v>
      </c>
      <c r="F84" s="1673"/>
      <c r="G84" s="1673"/>
      <c r="H84" s="1674">
        <f>SUM(H78:H83)</f>
        <v>709976</v>
      </c>
      <c r="I84" s="1582"/>
      <c r="J84" s="1582"/>
      <c r="K84" s="1674">
        <f>SUM(K78:K83)</f>
        <v>736187</v>
      </c>
      <c r="L84" s="1674">
        <f>SUM(L78:L83)</f>
        <v>34500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26211</v>
      </c>
      <c r="F102" s="1673"/>
      <c r="G102" s="1673"/>
      <c r="H102" s="1681">
        <f>SUM(H84,H92,H100,H101)</f>
        <v>709976</v>
      </c>
      <c r="I102" s="1582"/>
      <c r="J102" s="1582"/>
      <c r="K102" s="1681">
        <f>SUM(K84,K92,K100,K101)</f>
        <v>736187</v>
      </c>
      <c r="L102" s="1681">
        <f>SUM(L84,L92,L100,L101)</f>
        <v>34500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20000</v>
      </c>
      <c r="M113" s="502"/>
      <c r="N113" s="502"/>
    </row>
    <row r="114" spans="1:14" ht="12.75" customHeight="1" thickTop="1" thickBot="1" x14ac:dyDescent="0.25">
      <c r="A114" s="1380" t="s">
        <v>48</v>
      </c>
      <c r="B114" s="1388"/>
      <c r="C114" s="1674">
        <f>SUM(C33,C74,C75,C102,C112,C113)</f>
        <v>6222285</v>
      </c>
      <c r="D114" s="1674">
        <f t="shared" ref="D114:K114" si="13">SUM(D33,D74,D75,D102,D112,D113)</f>
        <v>1638643</v>
      </c>
      <c r="E114" s="1674">
        <f t="shared" si="13"/>
        <v>294790</v>
      </c>
      <c r="F114" s="1674">
        <f t="shared" si="13"/>
        <v>624341</v>
      </c>
      <c r="G114" s="1674">
        <f t="shared" si="13"/>
        <v>120243</v>
      </c>
      <c r="H114" s="1674">
        <f>SUM(H33,H74,H75,H102,H112,H113)</f>
        <v>1495397</v>
      </c>
      <c r="I114" s="1674">
        <f t="shared" si="13"/>
        <v>0</v>
      </c>
      <c r="J114" s="1674">
        <f t="shared" si="13"/>
        <v>0</v>
      </c>
      <c r="K114" s="1674">
        <f t="shared" si="13"/>
        <v>10395699</v>
      </c>
      <c r="L114" s="1674">
        <f>SUM(L33,L74,L75,L102,L112,L113)</f>
        <v>10533410</v>
      </c>
    </row>
    <row r="115" spans="1:14" ht="13.5" thickTop="1" x14ac:dyDescent="0.2">
      <c r="A115" s="2286" t="s">
        <v>989</v>
      </c>
      <c r="B115" s="2287"/>
      <c r="C115" s="1675"/>
      <c r="D115" s="1675"/>
      <c r="E115" s="1675"/>
      <c r="F115" s="1675"/>
      <c r="G115" s="1675"/>
      <c r="H115" s="1675"/>
      <c r="I115" s="1675"/>
      <c r="J115" s="1675"/>
      <c r="K115" s="1689">
        <f>'Revenues 9-14'!C268-'Expenditures 15-22'!K114</f>
        <v>300121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500829</v>
      </c>
      <c r="D124" s="1573">
        <v>140598</v>
      </c>
      <c r="E124" s="1573">
        <v>167941</v>
      </c>
      <c r="F124" s="1573">
        <v>428336</v>
      </c>
      <c r="G124" s="1573">
        <v>294514</v>
      </c>
      <c r="H124" s="1573">
        <v>0</v>
      </c>
      <c r="I124" s="1574">
        <v>0</v>
      </c>
      <c r="J124" s="1574">
        <v>0</v>
      </c>
      <c r="K124" s="1674">
        <f>SUM(C124:J124)</f>
        <v>1532218</v>
      </c>
      <c r="L124" s="1573">
        <v>1762705</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500829</v>
      </c>
      <c r="D127" s="1674">
        <f t="shared" ref="D127:L127" si="14">SUM(D122:D126)</f>
        <v>140598</v>
      </c>
      <c r="E127" s="1674">
        <f t="shared" si="14"/>
        <v>167941</v>
      </c>
      <c r="F127" s="1674">
        <f t="shared" si="14"/>
        <v>428336</v>
      </c>
      <c r="G127" s="1674">
        <f t="shared" si="14"/>
        <v>294514</v>
      </c>
      <c r="H127" s="1674">
        <f t="shared" si="14"/>
        <v>0</v>
      </c>
      <c r="I127" s="1674">
        <f t="shared" si="14"/>
        <v>0</v>
      </c>
      <c r="J127" s="1674">
        <f t="shared" si="14"/>
        <v>0</v>
      </c>
      <c r="K127" s="1674">
        <f t="shared" si="14"/>
        <v>1532218</v>
      </c>
      <c r="L127" s="1674">
        <f t="shared" si="14"/>
        <v>1762705</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500829</v>
      </c>
      <c r="D129" s="1681">
        <f t="shared" ref="D129:L129" si="15">SUM(D120,D127,D128)</f>
        <v>140598</v>
      </c>
      <c r="E129" s="1681">
        <f t="shared" si="15"/>
        <v>167941</v>
      </c>
      <c r="F129" s="1681">
        <f t="shared" si="15"/>
        <v>428336</v>
      </c>
      <c r="G129" s="1681">
        <f t="shared" si="15"/>
        <v>294514</v>
      </c>
      <c r="H129" s="1681">
        <f t="shared" si="15"/>
        <v>0</v>
      </c>
      <c r="I129" s="1681">
        <f t="shared" si="15"/>
        <v>0</v>
      </c>
      <c r="J129" s="1681">
        <f t="shared" si="15"/>
        <v>0</v>
      </c>
      <c r="K129" s="1681">
        <f t="shared" si="15"/>
        <v>1532218</v>
      </c>
      <c r="L129" s="1681">
        <f t="shared" si="15"/>
        <v>1762705</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15000</v>
      </c>
    </row>
    <row r="151" spans="1:14" ht="12.75" customHeight="1" thickTop="1" thickBot="1" x14ac:dyDescent="0.25">
      <c r="A151" s="2276" t="s">
        <v>616</v>
      </c>
      <c r="B151" s="2258"/>
      <c r="C151" s="1674">
        <f>SUM(C129,C130,C139,C149,C150)</f>
        <v>500829</v>
      </c>
      <c r="D151" s="1674">
        <f t="shared" ref="D151:K151" si="16">SUM(D129,D130,D139,D149,D150)</f>
        <v>140598</v>
      </c>
      <c r="E151" s="1674">
        <f t="shared" si="16"/>
        <v>167941</v>
      </c>
      <c r="F151" s="1674">
        <f t="shared" si="16"/>
        <v>428336</v>
      </c>
      <c r="G151" s="1674">
        <f t="shared" si="16"/>
        <v>294514</v>
      </c>
      <c r="H151" s="1674">
        <f t="shared" si="16"/>
        <v>0</v>
      </c>
      <c r="I151" s="1674">
        <f t="shared" si="16"/>
        <v>0</v>
      </c>
      <c r="J151" s="1674">
        <f t="shared" si="16"/>
        <v>0</v>
      </c>
      <c r="K151" s="1674">
        <f t="shared" si="16"/>
        <v>1532218</v>
      </c>
      <c r="L151" s="1674">
        <f>SUM(L129,L130,L139,L149,L150)</f>
        <v>1777705</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289285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160025</v>
      </c>
      <c r="I169" s="1673"/>
      <c r="J169" s="1673"/>
      <c r="K169" s="1672">
        <f>SUM(C169:H169)</f>
        <v>160025</v>
      </c>
      <c r="L169" s="1695">
        <v>160025</v>
      </c>
    </row>
    <row r="170" spans="1:14" ht="33.75" customHeight="1" x14ac:dyDescent="0.2">
      <c r="A170" s="543" t="s">
        <v>1651</v>
      </c>
      <c r="B170" s="545" t="s">
        <v>31</v>
      </c>
      <c r="C170" s="1673"/>
      <c r="D170" s="1673"/>
      <c r="E170" s="1673"/>
      <c r="F170" s="1673"/>
      <c r="G170" s="1673"/>
      <c r="H170" s="1646">
        <v>425000</v>
      </c>
      <c r="I170" s="1673"/>
      <c r="J170" s="1673"/>
      <c r="K170" s="1672">
        <f>SUM(C170:J170)</f>
        <v>425000</v>
      </c>
      <c r="L170" s="1646">
        <v>425000</v>
      </c>
    </row>
    <row r="171" spans="1:14" ht="15.75" customHeight="1" x14ac:dyDescent="0.2">
      <c r="A171" s="507" t="s">
        <v>761</v>
      </c>
      <c r="B171" s="546" t="s">
        <v>84</v>
      </c>
      <c r="C171" s="1673"/>
      <c r="D171" s="1673"/>
      <c r="E171" s="1573">
        <v>0</v>
      </c>
      <c r="F171" s="1673"/>
      <c r="G171" s="1673"/>
      <c r="H171" s="1646">
        <v>400</v>
      </c>
      <c r="I171" s="1582"/>
      <c r="J171" s="1673"/>
      <c r="K171" s="1672">
        <f>SUM(C171:J171)</f>
        <v>400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585425</v>
      </c>
      <c r="I172" s="1684"/>
      <c r="J172" s="1673"/>
      <c r="K172" s="1681">
        <f>SUM(K168,K169,K170,K171)</f>
        <v>585425</v>
      </c>
      <c r="L172" s="1681">
        <f>SUM(L168,L169,L170,L171)</f>
        <v>585025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585425</v>
      </c>
      <c r="I174" s="1684"/>
      <c r="J174" s="1673"/>
      <c r="K174" s="1681">
        <f>SUM(K160,K172,K173)</f>
        <v>585425</v>
      </c>
      <c r="L174" s="1681">
        <f>SUM(L160,L172,L173)</f>
        <v>585025</v>
      </c>
    </row>
    <row r="175" spans="1:14" ht="13.5" thickTop="1" x14ac:dyDescent="0.2">
      <c r="A175" s="2286" t="s">
        <v>989</v>
      </c>
      <c r="B175" s="2287"/>
      <c r="C175" s="1673"/>
      <c r="D175" s="1673"/>
      <c r="E175" s="1673"/>
      <c r="F175" s="1673"/>
      <c r="G175" s="1673"/>
      <c r="H175" s="1675"/>
      <c r="I175" s="1673"/>
      <c r="J175" s="1673"/>
      <c r="K175" s="1689">
        <f>'Revenues 9-14'!E268-'Expenditures 15-22'!K174</f>
        <v>-623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407899</v>
      </c>
      <c r="D182" s="1573">
        <v>15914</v>
      </c>
      <c r="E182" s="1573">
        <v>31849</v>
      </c>
      <c r="F182" s="1573">
        <v>88933</v>
      </c>
      <c r="G182" s="1573">
        <v>102400</v>
      </c>
      <c r="H182" s="1573">
        <v>2143</v>
      </c>
      <c r="I182" s="1574">
        <v>0</v>
      </c>
      <c r="J182" s="1574">
        <v>0</v>
      </c>
      <c r="K182" s="1672">
        <f>SUM(C182:J182)</f>
        <v>649138</v>
      </c>
      <c r="L182" s="1573">
        <v>701150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407899</v>
      </c>
      <c r="D184" s="1681">
        <f t="shared" ref="D184:J184" si="17">SUM(D180,D182,D183)</f>
        <v>15914</v>
      </c>
      <c r="E184" s="1681">
        <f t="shared" si="17"/>
        <v>31849</v>
      </c>
      <c r="F184" s="1681">
        <f t="shared" si="17"/>
        <v>88933</v>
      </c>
      <c r="G184" s="1681">
        <f t="shared" si="17"/>
        <v>102400</v>
      </c>
      <c r="H184" s="1681">
        <f t="shared" si="17"/>
        <v>2143</v>
      </c>
      <c r="I184" s="1681">
        <f t="shared" si="17"/>
        <v>0</v>
      </c>
      <c r="J184" s="1681">
        <f t="shared" si="17"/>
        <v>0</v>
      </c>
      <c r="K184" s="1681">
        <f>SUM(K180,K182,K183)</f>
        <v>649138</v>
      </c>
      <c r="L184" s="1681">
        <f>SUM(L180, L182:L183)</f>
        <v>701150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15000</v>
      </c>
    </row>
    <row r="210" spans="1:14" ht="12.75" customHeight="1" thickTop="1" thickBot="1" x14ac:dyDescent="0.25">
      <c r="A210" s="1394" t="s">
        <v>275</v>
      </c>
      <c r="B210" s="1395"/>
      <c r="C210" s="1674">
        <f>SUM(C184,C185)</f>
        <v>407899</v>
      </c>
      <c r="D210" s="1674">
        <f>SUM(D184,D185)</f>
        <v>15914</v>
      </c>
      <c r="E210" s="1674">
        <f>SUM(E184,E185,E196)</f>
        <v>31849</v>
      </c>
      <c r="F210" s="1674">
        <f>SUM(F184,F185)</f>
        <v>88933</v>
      </c>
      <c r="G210" s="1674">
        <f>SUM(G184,G185)</f>
        <v>102400</v>
      </c>
      <c r="H210" s="1674">
        <f>SUM(H184,H185,H196,H208,H209)</f>
        <v>2143</v>
      </c>
      <c r="I210" s="1674">
        <f>SUM(I184,I185)</f>
        <v>0</v>
      </c>
      <c r="J210" s="1674">
        <f>SUM(J184,J185)</f>
        <v>0</v>
      </c>
      <c r="K210" s="1672">
        <f>SUM(K184,K185,K196,K208,K209)</f>
        <v>649138</v>
      </c>
      <c r="L210" s="1674">
        <f>SUM(L184,L185,L196,L208,L209)</f>
        <v>716150</v>
      </c>
    </row>
    <row r="211" spans="1:14" ht="13.5" thickTop="1" x14ac:dyDescent="0.2">
      <c r="A211" s="2286" t="s">
        <v>989</v>
      </c>
      <c r="B211" s="2287"/>
      <c r="C211" s="1675"/>
      <c r="D211" s="1675"/>
      <c r="E211" s="1675"/>
      <c r="F211" s="1675"/>
      <c r="G211" s="1675"/>
      <c r="H211" s="1675"/>
      <c r="I211" s="1673"/>
      <c r="J211" s="1673"/>
      <c r="K211" s="1689">
        <f>'Revenues 9-14'!F268-'Expenditures 15-22'!K210</f>
        <v>117992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55500</v>
      </c>
      <c r="E215" s="1673"/>
      <c r="F215" s="1673"/>
      <c r="G215" s="1673"/>
      <c r="H215" s="1673"/>
      <c r="I215" s="1673"/>
      <c r="J215" s="1673"/>
      <c r="K215" s="1672">
        <f>D215</f>
        <v>55500</v>
      </c>
      <c r="L215" s="1573">
        <v>67005</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13407</v>
      </c>
      <c r="E217" s="1673"/>
      <c r="F217" s="1673"/>
      <c r="G217" s="1673"/>
      <c r="H217" s="1673"/>
      <c r="I217" s="1673"/>
      <c r="J217" s="1673"/>
      <c r="K217" s="1672">
        <f t="shared" si="19"/>
        <v>13407</v>
      </c>
      <c r="L217" s="1573">
        <v>18452</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1179</v>
      </c>
      <c r="E219" s="1673"/>
      <c r="F219" s="1673"/>
      <c r="G219" s="1673"/>
      <c r="H219" s="1673"/>
      <c r="I219" s="1673"/>
      <c r="J219" s="1673"/>
      <c r="K219" s="1672">
        <f t="shared" si="19"/>
        <v>1179</v>
      </c>
      <c r="L219" s="1573">
        <v>1110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50</v>
      </c>
    </row>
    <row r="222" spans="1:14" x14ac:dyDescent="0.2">
      <c r="A222" s="1274" t="s">
        <v>718</v>
      </c>
      <c r="B222" s="503">
        <v>1400</v>
      </c>
      <c r="C222" s="1673"/>
      <c r="D222" s="1573">
        <v>8824</v>
      </c>
      <c r="E222" s="1673"/>
      <c r="F222" s="1673"/>
      <c r="G222" s="1673"/>
      <c r="H222" s="1673"/>
      <c r="I222" s="1673"/>
      <c r="J222" s="1673"/>
      <c r="K222" s="1672">
        <f t="shared" si="19"/>
        <v>8824</v>
      </c>
      <c r="L222" s="1573">
        <v>10340</v>
      </c>
    </row>
    <row r="223" spans="1:14" x14ac:dyDescent="0.2">
      <c r="A223" s="1274" t="s">
        <v>957</v>
      </c>
      <c r="B223" s="503">
        <v>1500</v>
      </c>
      <c r="C223" s="1673"/>
      <c r="D223" s="1573">
        <v>15663</v>
      </c>
      <c r="E223" s="1673"/>
      <c r="F223" s="1673"/>
      <c r="G223" s="1673"/>
      <c r="H223" s="1673"/>
      <c r="I223" s="1673"/>
      <c r="J223" s="1673"/>
      <c r="K223" s="1672">
        <f t="shared" si="19"/>
        <v>15663</v>
      </c>
      <c r="L223" s="1573">
        <v>21950</v>
      </c>
    </row>
    <row r="224" spans="1:14" x14ac:dyDescent="0.2">
      <c r="A224" s="1274" t="s">
        <v>958</v>
      </c>
      <c r="B224" s="503">
        <v>1600</v>
      </c>
      <c r="C224" s="1673"/>
      <c r="D224" s="1573">
        <v>26</v>
      </c>
      <c r="E224" s="1673"/>
      <c r="F224" s="1673"/>
      <c r="G224" s="1673"/>
      <c r="H224" s="1673"/>
      <c r="I224" s="1673"/>
      <c r="J224" s="1673"/>
      <c r="K224" s="1672">
        <f t="shared" si="19"/>
        <v>26</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1528</v>
      </c>
      <c r="E226" s="1673"/>
      <c r="F226" s="1673"/>
      <c r="G226" s="1673"/>
      <c r="H226" s="1673"/>
      <c r="I226" s="1673"/>
      <c r="J226" s="1673"/>
      <c r="K226" s="1672">
        <f t="shared" si="19"/>
        <v>1528</v>
      </c>
      <c r="L226" s="1573">
        <v>1900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96127</v>
      </c>
      <c r="E229" s="1673"/>
      <c r="F229" s="1673"/>
      <c r="G229" s="1673"/>
      <c r="H229" s="1673"/>
      <c r="I229" s="1673"/>
      <c r="J229" s="1673"/>
      <c r="K229" s="1674">
        <f>SUM(K215:K228)</f>
        <v>96127</v>
      </c>
      <c r="L229" s="1674">
        <f>SUM(L215:L228)</f>
        <v>120807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15098</v>
      </c>
      <c r="E233" s="1673"/>
      <c r="F233" s="1673"/>
      <c r="G233" s="1673"/>
      <c r="H233" s="1673"/>
      <c r="I233" s="1673"/>
      <c r="J233" s="1673"/>
      <c r="K233" s="1672">
        <f t="shared" si="20"/>
        <v>15098</v>
      </c>
      <c r="L233" s="1573">
        <v>11800</v>
      </c>
    </row>
    <row r="234" spans="1:12" x14ac:dyDescent="0.2">
      <c r="A234" s="1274" t="s">
        <v>196</v>
      </c>
      <c r="B234" s="503">
        <v>2130</v>
      </c>
      <c r="C234" s="1673"/>
      <c r="D234" s="1573">
        <v>4411</v>
      </c>
      <c r="E234" s="1673"/>
      <c r="F234" s="1673"/>
      <c r="G234" s="1673"/>
      <c r="H234" s="1673"/>
      <c r="I234" s="1673"/>
      <c r="J234" s="1673"/>
      <c r="K234" s="1672">
        <f t="shared" si="20"/>
        <v>4411</v>
      </c>
      <c r="L234" s="1573">
        <v>4800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19509</v>
      </c>
      <c r="E238" s="1673"/>
      <c r="F238" s="1673"/>
      <c r="G238" s="1673"/>
      <c r="H238" s="1673"/>
      <c r="I238" s="1673"/>
      <c r="J238" s="1673"/>
      <c r="K238" s="1674">
        <f>SUM(K232:K237)</f>
        <v>19509</v>
      </c>
      <c r="L238" s="1674">
        <f>SUM(L232:L237)</f>
        <v>16600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50</v>
      </c>
    </row>
    <row r="241" spans="1:12" x14ac:dyDescent="0.2">
      <c r="A241" s="1274" t="s">
        <v>810</v>
      </c>
      <c r="B241" s="503">
        <v>2220</v>
      </c>
      <c r="C241" s="1673"/>
      <c r="D241" s="1573">
        <v>5305</v>
      </c>
      <c r="E241" s="1673"/>
      <c r="F241" s="1673"/>
      <c r="G241" s="1673"/>
      <c r="H241" s="1673"/>
      <c r="I241" s="1673"/>
      <c r="J241" s="1673"/>
      <c r="K241" s="1678">
        <f>D241</f>
        <v>5305</v>
      </c>
      <c r="L241" s="1573">
        <v>4200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5305</v>
      </c>
      <c r="E243" s="1673"/>
      <c r="F243" s="1673"/>
      <c r="G243" s="1673"/>
      <c r="H243" s="1673"/>
      <c r="I243" s="1673"/>
      <c r="J243" s="1673"/>
      <c r="K243" s="1674">
        <f>SUM(K240:K242)</f>
        <v>5305</v>
      </c>
      <c r="L243" s="1674">
        <f>SUM(L240:L242)</f>
        <v>4250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74</v>
      </c>
      <c r="E245" s="1673"/>
      <c r="F245" s="1673"/>
      <c r="G245" s="1673"/>
      <c r="H245" s="1673"/>
      <c r="I245" s="1673"/>
      <c r="J245" s="1673"/>
      <c r="K245" s="1678">
        <f>D245</f>
        <v>74</v>
      </c>
      <c r="L245" s="1586">
        <v>260</v>
      </c>
    </row>
    <row r="246" spans="1:12" x14ac:dyDescent="0.2">
      <c r="A246" s="1274" t="s">
        <v>813</v>
      </c>
      <c r="B246" s="503">
        <v>2320</v>
      </c>
      <c r="C246" s="1673"/>
      <c r="D246" s="1573">
        <v>8538</v>
      </c>
      <c r="E246" s="1673"/>
      <c r="F246" s="1673"/>
      <c r="G246" s="1673"/>
      <c r="H246" s="1673"/>
      <c r="I246" s="1673"/>
      <c r="J246" s="1673"/>
      <c r="K246" s="1678">
        <f t="shared" ref="K246:K256" si="21">D246</f>
        <v>8538</v>
      </c>
      <c r="L246" s="1573">
        <v>9400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8612</v>
      </c>
      <c r="E257" s="1673"/>
      <c r="F257" s="1673"/>
      <c r="G257" s="1673"/>
      <c r="H257" s="1673"/>
      <c r="I257" s="1673"/>
      <c r="J257" s="1673"/>
      <c r="K257" s="1674">
        <f>SUM(K245:K256)</f>
        <v>8612</v>
      </c>
      <c r="L257" s="1674">
        <f>SUM(L245:L256)</f>
        <v>9660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15695</v>
      </c>
      <c r="E259" s="1673"/>
      <c r="F259" s="1673"/>
      <c r="G259" s="1673"/>
      <c r="H259" s="1673"/>
      <c r="I259" s="1673"/>
      <c r="J259" s="1673"/>
      <c r="K259" s="1678">
        <f>D259</f>
        <v>15695</v>
      </c>
      <c r="L259" s="1586">
        <v>12600</v>
      </c>
    </row>
    <row r="260" spans="1:14" s="493" customFormat="1" x14ac:dyDescent="0.2">
      <c r="A260" s="1292" t="s">
        <v>1781</v>
      </c>
      <c r="B260" s="512">
        <v>2490</v>
      </c>
      <c r="C260" s="1673"/>
      <c r="D260" s="1573">
        <v>0</v>
      </c>
      <c r="E260" s="1673"/>
      <c r="F260" s="1673"/>
      <c r="G260" s="1673"/>
      <c r="H260" s="1673"/>
      <c r="I260" s="1673"/>
      <c r="J260" s="1673"/>
      <c r="K260" s="1678">
        <f>D260</f>
        <v>0</v>
      </c>
      <c r="L260" s="1573">
        <v>8050</v>
      </c>
      <c r="M260" s="205"/>
      <c r="N260" s="205"/>
    </row>
    <row r="261" spans="1:14" ht="12.75" customHeight="1" thickBot="1" x14ac:dyDescent="0.25">
      <c r="A261" s="1394" t="s">
        <v>261</v>
      </c>
      <c r="B261" s="1399" t="s">
        <v>34</v>
      </c>
      <c r="C261" s="1673"/>
      <c r="D261" s="1674">
        <f>SUM(D259:D260)</f>
        <v>15695</v>
      </c>
      <c r="E261" s="1673"/>
      <c r="F261" s="1673"/>
      <c r="G261" s="1673"/>
      <c r="H261" s="1673"/>
      <c r="I261" s="1673"/>
      <c r="J261" s="1673"/>
      <c r="K261" s="1674">
        <f>SUM(K259:K260)</f>
        <v>15695</v>
      </c>
      <c r="L261" s="1674">
        <f>SUM(L259:L260)</f>
        <v>20650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9647</v>
      </c>
      <c r="E264" s="1673"/>
      <c r="F264" s="1673"/>
      <c r="G264" s="1673"/>
      <c r="H264" s="1673"/>
      <c r="I264" s="1673"/>
      <c r="J264" s="1673"/>
      <c r="K264" s="1678">
        <f t="shared" ref="K264:K269" si="22">D264</f>
        <v>9647</v>
      </c>
      <c r="L264" s="1573">
        <v>10830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72555</v>
      </c>
      <c r="E266" s="1673"/>
      <c r="F266" s="1673"/>
      <c r="G266" s="1673"/>
      <c r="H266" s="1673"/>
      <c r="I266" s="1673"/>
      <c r="J266" s="1673"/>
      <c r="K266" s="1678">
        <f t="shared" si="22"/>
        <v>72555</v>
      </c>
      <c r="L266" s="1573">
        <v>96500</v>
      </c>
    </row>
    <row r="267" spans="1:14" x14ac:dyDescent="0.2">
      <c r="A267" s="1274" t="s">
        <v>947</v>
      </c>
      <c r="B267" s="503">
        <v>2550</v>
      </c>
      <c r="C267" s="1673"/>
      <c r="D267" s="1573">
        <v>46244</v>
      </c>
      <c r="E267" s="1673"/>
      <c r="F267" s="1673"/>
      <c r="G267" s="1673"/>
      <c r="H267" s="1673"/>
      <c r="I267" s="1673"/>
      <c r="J267" s="1673"/>
      <c r="K267" s="1678">
        <f t="shared" si="22"/>
        <v>46244</v>
      </c>
      <c r="L267" s="1573">
        <v>43200</v>
      </c>
    </row>
    <row r="268" spans="1:14" x14ac:dyDescent="0.2">
      <c r="A268" s="1274" t="s">
        <v>100</v>
      </c>
      <c r="B268" s="503">
        <v>2560</v>
      </c>
      <c r="C268" s="1673"/>
      <c r="D268" s="1573">
        <v>26576</v>
      </c>
      <c r="E268" s="1673"/>
      <c r="F268" s="1673"/>
      <c r="G268" s="1673"/>
      <c r="H268" s="1673"/>
      <c r="I268" s="1673"/>
      <c r="J268" s="1673"/>
      <c r="K268" s="1678">
        <f t="shared" si="22"/>
        <v>26576</v>
      </c>
      <c r="L268" s="1573">
        <v>27000</v>
      </c>
    </row>
    <row r="269" spans="1:14" x14ac:dyDescent="0.2">
      <c r="A269" s="1274" t="s">
        <v>101</v>
      </c>
      <c r="B269" s="503">
        <v>2570</v>
      </c>
      <c r="C269" s="1673"/>
      <c r="D269" s="1573">
        <v>13699</v>
      </c>
      <c r="E269" s="1673"/>
      <c r="F269" s="1673"/>
      <c r="G269" s="1673"/>
      <c r="H269" s="1673"/>
      <c r="I269" s="1673"/>
      <c r="J269" s="1673"/>
      <c r="K269" s="1678">
        <f t="shared" si="22"/>
        <v>13699</v>
      </c>
      <c r="L269" s="1573">
        <v>12040</v>
      </c>
    </row>
    <row r="270" spans="1:14" ht="12.75" customHeight="1" thickBot="1" x14ac:dyDescent="0.25">
      <c r="A270" s="1380" t="s">
        <v>714</v>
      </c>
      <c r="B270" s="1383" t="s">
        <v>35</v>
      </c>
      <c r="C270" s="1673"/>
      <c r="D270" s="1674">
        <f>SUM(D263:D269)</f>
        <v>168721</v>
      </c>
      <c r="E270" s="1673"/>
      <c r="F270" s="1673"/>
      <c r="G270" s="1673"/>
      <c r="H270" s="1673"/>
      <c r="I270" s="1673"/>
      <c r="J270" s="1673"/>
      <c r="K270" s="1674">
        <f>SUM(K263:K269)</f>
        <v>168721</v>
      </c>
      <c r="L270" s="1674">
        <f>SUM(L263:L269)</f>
        <v>189570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217842</v>
      </c>
      <c r="E279" s="1673"/>
      <c r="F279" s="1673"/>
      <c r="G279" s="1673"/>
      <c r="H279" s="1673"/>
      <c r="I279" s="1673"/>
      <c r="J279" s="1673"/>
      <c r="K279" s="1681">
        <f>SUM(K238,K243,K257,K261,K270,K277,K278)</f>
        <v>217842</v>
      </c>
      <c r="L279" s="1681">
        <f>SUM(L238,L243,L257,L261,L270,L277,L278)</f>
        <v>240730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5000</v>
      </c>
    </row>
    <row r="295" spans="1:14" ht="12.75" customHeight="1" thickTop="1" thickBot="1" x14ac:dyDescent="0.25">
      <c r="A295" s="2277" t="s">
        <v>502</v>
      </c>
      <c r="B295" s="2278"/>
      <c r="C295" s="1673"/>
      <c r="D295" s="1674">
        <f>SUM(D229,D279,D280,D285)</f>
        <v>313969</v>
      </c>
      <c r="E295" s="1673"/>
      <c r="F295" s="1673"/>
      <c r="G295" s="1673"/>
      <c r="H295" s="1674">
        <f>H293</f>
        <v>0</v>
      </c>
      <c r="I295" s="1673"/>
      <c r="J295" s="1673"/>
      <c r="K295" s="1674">
        <f>SUM(K229,K279,K280,K285,K293,K294)</f>
        <v>313969</v>
      </c>
      <c r="L295" s="1674">
        <f>SUM(L229,L279,L280,L285,L293,L294)</f>
        <v>366537</v>
      </c>
    </row>
    <row r="296" spans="1:14" ht="13.5" thickTop="1" x14ac:dyDescent="0.2">
      <c r="A296" s="2286" t="s">
        <v>989</v>
      </c>
      <c r="B296" s="2287"/>
      <c r="C296" s="1673"/>
      <c r="D296" s="1675"/>
      <c r="E296" s="1673"/>
      <c r="F296" s="1673"/>
      <c r="G296" s="1673"/>
      <c r="H296" s="1707"/>
      <c r="I296" s="1673"/>
      <c r="J296" s="1673"/>
      <c r="K296" s="1689">
        <f>'Revenues 9-14'!G268-'Expenditures 15-22'!K295</f>
        <v>-46178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3475460</v>
      </c>
      <c r="H301" s="1573">
        <v>0</v>
      </c>
      <c r="I301" s="1574">
        <v>0</v>
      </c>
      <c r="J301" s="1574">
        <v>0</v>
      </c>
      <c r="K301" s="1672">
        <f>SUM(C301:J301)</f>
        <v>3475460</v>
      </c>
      <c r="L301" s="1574">
        <v>4140000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3475460</v>
      </c>
      <c r="H303" s="1681">
        <f t="shared" si="23"/>
        <v>0</v>
      </c>
      <c r="I303" s="1681">
        <f t="shared" si="23"/>
        <v>0</v>
      </c>
      <c r="J303" s="1681">
        <f t="shared" si="23"/>
        <v>0</v>
      </c>
      <c r="K303" s="1681">
        <f t="shared" si="23"/>
        <v>3475460</v>
      </c>
      <c r="L303" s="1681">
        <f t="shared" si="23"/>
        <v>4140000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3475460</v>
      </c>
      <c r="H312" s="1674">
        <f>SUM(H303,H310)</f>
        <v>0</v>
      </c>
      <c r="I312" s="1674">
        <f>SUM(I303)</f>
        <v>0</v>
      </c>
      <c r="J312" s="1674">
        <f>SUM(J303)</f>
        <v>0</v>
      </c>
      <c r="K312" s="1674">
        <f>SUM(K303,K310,K311)</f>
        <v>3475460</v>
      </c>
      <c r="L312" s="1674">
        <f>SUM(L303,L310,L311)</f>
        <v>4140000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-3177034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61568</v>
      </c>
      <c r="F320" s="1574">
        <v>0</v>
      </c>
      <c r="G320" s="1574">
        <v>0</v>
      </c>
      <c r="H320" s="1574">
        <v>0</v>
      </c>
      <c r="I320" s="1574">
        <v>0</v>
      </c>
      <c r="J320" s="1574">
        <v>0</v>
      </c>
      <c r="K320" s="1672">
        <f t="shared" ref="K320:K327" si="24">SUM(C320:J320)</f>
        <v>61568</v>
      </c>
      <c r="L320" s="1574">
        <v>66500</v>
      </c>
      <c r="M320" s="539"/>
      <c r="N320" s="539"/>
    </row>
    <row r="321" spans="1:14" s="548" customFormat="1" x14ac:dyDescent="0.2">
      <c r="A321" s="1289" t="s">
        <v>297</v>
      </c>
      <c r="B321" s="567" t="s">
        <v>281</v>
      </c>
      <c r="C321" s="1574">
        <v>0</v>
      </c>
      <c r="D321" s="1574">
        <v>0</v>
      </c>
      <c r="E321" s="1574">
        <v>13179</v>
      </c>
      <c r="F321" s="1574">
        <v>0</v>
      </c>
      <c r="G321" s="1574">
        <v>0</v>
      </c>
      <c r="H321" s="1574">
        <v>0</v>
      </c>
      <c r="I321" s="1574">
        <v>0</v>
      </c>
      <c r="J321" s="1574">
        <v>0</v>
      </c>
      <c r="K321" s="1672">
        <f t="shared" si="24"/>
        <v>13179</v>
      </c>
      <c r="L321" s="1574">
        <v>14100</v>
      </c>
      <c r="M321" s="539"/>
      <c r="N321" s="539"/>
    </row>
    <row r="322" spans="1:14" s="548" customFormat="1" x14ac:dyDescent="0.2">
      <c r="A322" s="1289" t="s">
        <v>236</v>
      </c>
      <c r="B322" s="567" t="s">
        <v>282</v>
      </c>
      <c r="C322" s="1574">
        <v>0</v>
      </c>
      <c r="D322" s="1574">
        <v>0</v>
      </c>
      <c r="E322" s="1574">
        <v>102744</v>
      </c>
      <c r="F322" s="1574">
        <v>0</v>
      </c>
      <c r="G322" s="1574">
        <v>0</v>
      </c>
      <c r="H322" s="1574">
        <v>0</v>
      </c>
      <c r="I322" s="1574">
        <v>0</v>
      </c>
      <c r="J322" s="1574">
        <v>0</v>
      </c>
      <c r="K322" s="1672">
        <f t="shared" si="24"/>
        <v>102744</v>
      </c>
      <c r="L322" s="1574">
        <v>92100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15793</v>
      </c>
      <c r="F327" s="1574">
        <v>0</v>
      </c>
      <c r="G327" s="1574">
        <v>0</v>
      </c>
      <c r="H327" s="1574">
        <v>0</v>
      </c>
      <c r="I327" s="1574">
        <v>0</v>
      </c>
      <c r="J327" s="1574">
        <v>0</v>
      </c>
      <c r="K327" s="1672">
        <f t="shared" si="24"/>
        <v>15793</v>
      </c>
      <c r="L327" s="1574">
        <v>30000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193284</v>
      </c>
      <c r="F330" s="1674">
        <f t="shared" si="25"/>
        <v>0</v>
      </c>
      <c r="G330" s="1674">
        <f t="shared" si="25"/>
        <v>0</v>
      </c>
      <c r="H330" s="1674">
        <f t="shared" si="25"/>
        <v>0</v>
      </c>
      <c r="I330" s="1674">
        <f t="shared" si="25"/>
        <v>0</v>
      </c>
      <c r="J330" s="1674">
        <f t="shared" si="25"/>
        <v>0</v>
      </c>
      <c r="K330" s="1674">
        <f>SUM(K319:K329)</f>
        <v>193284</v>
      </c>
      <c r="L330" s="1674">
        <f>SUM(L319:L329)</f>
        <v>202700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193284</v>
      </c>
      <c r="F342" s="1674">
        <f>SUM(F330)</f>
        <v>0</v>
      </c>
      <c r="G342" s="1674">
        <f>SUM(G330)</f>
        <v>0</v>
      </c>
      <c r="H342" s="1674">
        <f>SUM(H330,H334,H340)</f>
        <v>0</v>
      </c>
      <c r="I342" s="1674">
        <f>SUM(I330)</f>
        <v>0</v>
      </c>
      <c r="J342" s="1674">
        <f>SUM(J330)</f>
        <v>0</v>
      </c>
      <c r="K342" s="1674">
        <f>SUM(K330,K334,K340)</f>
        <v>193284</v>
      </c>
      <c r="L342" s="1681">
        <f>SUM(L330,L334,L340,L341)</f>
        <v>202700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38451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42476</v>
      </c>
      <c r="H348" s="1573">
        <v>0</v>
      </c>
      <c r="I348" s="1574">
        <v>0</v>
      </c>
      <c r="J348" s="1574">
        <v>0</v>
      </c>
      <c r="K348" s="1672">
        <f>SUM(C348:J348)</f>
        <v>42476</v>
      </c>
      <c r="L348" s="1573">
        <v>110000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42476</v>
      </c>
      <c r="H350" s="1674">
        <f t="shared" si="26"/>
        <v>0</v>
      </c>
      <c r="I350" s="1674">
        <f t="shared" si="26"/>
        <v>0</v>
      </c>
      <c r="J350" s="1674">
        <f t="shared" si="26"/>
        <v>0</v>
      </c>
      <c r="K350" s="1674">
        <f t="shared" si="26"/>
        <v>42476</v>
      </c>
      <c r="L350" s="1674">
        <f t="shared" si="26"/>
        <v>110000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42476</v>
      </c>
      <c r="H352" s="1674">
        <f t="shared" si="27"/>
        <v>0</v>
      </c>
      <c r="I352" s="1674">
        <f t="shared" si="27"/>
        <v>0</v>
      </c>
      <c r="J352" s="1674">
        <f t="shared" si="27"/>
        <v>0</v>
      </c>
      <c r="K352" s="1674">
        <f t="shared" si="27"/>
        <v>42476</v>
      </c>
      <c r="L352" s="1674">
        <f t="shared" si="27"/>
        <v>110000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42476</v>
      </c>
      <c r="H367" s="1674">
        <f t="shared" si="28"/>
        <v>0</v>
      </c>
      <c r="I367" s="1674">
        <f t="shared" si="28"/>
        <v>0</v>
      </c>
      <c r="J367" s="1674">
        <f t="shared" si="28"/>
        <v>0</v>
      </c>
      <c r="K367" s="1674">
        <f t="shared" si="28"/>
        <v>42476</v>
      </c>
      <c r="L367" s="1674">
        <f t="shared" si="28"/>
        <v>110000</v>
      </c>
    </row>
    <row r="368" spans="1:14" ht="13.5" thickTop="1" x14ac:dyDescent="0.2">
      <c r="A368" s="2286" t="s">
        <v>989</v>
      </c>
      <c r="B368" s="2287"/>
      <c r="C368" s="1694"/>
      <c r="D368" s="1694"/>
      <c r="E368" s="1677"/>
      <c r="F368" s="1677"/>
      <c r="G368" s="1677"/>
      <c r="H368" s="1677"/>
      <c r="I368" s="1677"/>
      <c r="J368" s="1676"/>
      <c r="K368" s="1672">
        <f>'Revenues 9-14'!K268-'Expenditures 15-22'!K367</f>
        <v>69532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headings="1" gridLinesSet="0"/>
  <pageMargins left="0.2"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documentManagement/types"/>
    <ds:schemaRef ds:uri="http://schemas.microsoft.com/office/2006/metadata/properties"/>
    <ds:schemaRef ds:uri="http://schemas.microsoft.com/office/infopath/2007/PartnerControls"/>
    <ds:schemaRef ds:uri="6ce3111e-7420-4802-b50a-75d4e9a0b980"/>
    <ds:schemaRef ds:uri="http://schemas.openxmlformats.org/package/2006/metadata/core-properties"/>
    <ds:schemaRef ds:uri="4d435f69-8686-490b-bd6d-b153bf22ab50"/>
    <ds:schemaRef ds:uri="d21dc803-237d-4c68-8692-8d731fd29118"/>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2020-10-07T19:14:47Z</cp:lastPrinted>
  <dcterms:created xsi:type="dcterms:W3CDTF">2003-10-29T19:06:34Z</dcterms:created>
  <dcterms:modified xsi:type="dcterms:W3CDTF">2020-10-18T19:59:56Z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