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32E5561-345B-421B-B267-8A53E156FC7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3" i="8" l="1"/>
  <c r="J31" i="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L22" i="37"/>
  <c r="B7047" i="106" l="1"/>
  <c r="D7047" i="106" s="1"/>
  <c r="B7078" i="106"/>
  <c r="D7078" i="106" s="1"/>
  <c r="D69" i="36"/>
  <c r="D22" i="37"/>
  <c r="H33" i="118"/>
  <c r="D24" i="37"/>
  <c r="B4270" i="106" s="1"/>
  <c r="D4270" i="106" s="1"/>
  <c r="G30" i="108"/>
  <c r="F52" i="34"/>
  <c r="B7831" i="106" s="1"/>
  <c r="D7831" i="106" s="1"/>
  <c r="B2724" i="106"/>
  <c r="D2724" i="106" s="1"/>
  <c r="C129" i="29"/>
  <c r="C151" i="29" s="1"/>
  <c r="B1226" i="106" s="1"/>
  <c r="D1226" i="106" s="1"/>
  <c r="D14" i="4"/>
  <c r="B2570" i="106" s="1"/>
  <c r="D2570" i="106" s="1"/>
  <c r="B2805" i="106"/>
  <c r="D2805" i="106" s="1"/>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C367" i="29"/>
  <c r="B3622" i="106" s="1"/>
  <c r="D3622" i="106" s="1"/>
  <c r="L16" i="11"/>
  <c r="B2061" i="106" s="1"/>
  <c r="D2061" i="106" s="1"/>
  <c r="J16" i="4"/>
  <c r="B6226" i="106" s="1"/>
  <c r="D6226" i="106" s="1"/>
  <c r="I151" i="29"/>
  <c r="F59" i="34" s="1"/>
  <c r="L114" i="29"/>
  <c r="J151" i="29"/>
  <c r="B7052" i="106" s="1"/>
  <c r="D7052" i="106" s="1"/>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K367" i="29"/>
  <c r="K368" i="29" s="1"/>
  <c r="B3681" i="106" s="1"/>
  <c r="D3681"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B3678" i="106"/>
  <c r="D3678"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5" i="36" l="1"/>
  <c r="H24" i="118"/>
  <c r="K24" i="118" s="1"/>
  <c r="O23" i="118" s="1"/>
  <c r="O25" i="118" s="1"/>
  <c r="D36" i="36"/>
  <c r="B3414" i="106"/>
  <c r="D3414" i="106"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<sst xmlns="http://schemas.openxmlformats.org/spreadsheetml/2006/main" count="5161" uniqueCount="2098">
  <si>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</si>
  <si>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</si>
  <si>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</si>
  <si>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</si>
  <si>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</si>
  <si>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</si>
  <si>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</si>
  <si>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</si>
  <si>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</si>
  <si>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</si>
  <si>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</si>
  <si>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</si>
  <si>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</si>
  <si>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</si>
  <si>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</si>
  <si>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</si>
  <si>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</si>
  <si>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</si>
  <si>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</si>
  <si>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</si>
  <si>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</si>
  <si>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</si>
  <si>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</si>
  <si>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</si>
  <si>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</si>
  <si>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</si>
  <si>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</si>
  <si>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</si>
  <si>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</si>
  <si>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</si>
  <si>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</si>
  <si>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</si>
  <si>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</si>
  <si>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</si>
  <si>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</si>
  <si>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</si>
  <si>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</si>
  <si>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</si>
  <si>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</si>
  <si>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</si>
  <si>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</si>
  <si>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</si>
  <si>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</si>
  <si>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</si>
  <si>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</si>
  <si>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</si>
  <si>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</si>
  <si>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</si>
  <si>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</si>
  <si>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</si>
  <si>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</si>
  <si>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</si>
  <si>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</si>
  <si>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</si>
  <si>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</si>
  <si>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</si>
  <si>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</si>
  <si>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</si>
  <si>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</si>
  <si>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</si>
  <si>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</si>
  <si>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</si>
  <si>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</si>
  <si>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</si>
  <si>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</si>
  <si>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</si>
  <si>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</si>
  <si>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</si>
  <si>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</si>
  <si>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</si>
  <si>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</si>
  <si>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</si>
  <si>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</si>
  <si>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</si>
  <si>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</si>
  <si>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</si>
  <si>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</si>
  <si>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</si>
  <si>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</si>
  <si>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</si>
  <si>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</si>
  <si>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</si>
  <si>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</si>
  <si>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</si>
  <si>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</si>
  <si>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</si>
  <si>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</si>
  <si>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</si>
  <si>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</si>
  <si>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</si>
  <si>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</si>
  <si>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</si>
  <si>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</si>
  <si>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</si>
  <si>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</si>
  <si>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</si>
  <si>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</si>
  <si>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</si>
  <si>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</si>
  <si>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</si>
  <si>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</si>
  <si>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</si>
  <si>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</si>
  <si>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</si>
  <si>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</si>
  <si>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</si>
  <si>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</si>
  <si>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</si>
  <si>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</si>
  <si>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</si>
  <si>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</si>
  <si>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</si>
  <si>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</si>
  <si>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</si>
  <si>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</si>
  <si>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</si>
  <si>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</si>
  <si>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</si>
  <si>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</si>
  <si>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</si>
  <si>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</si>
  <si>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</si>
  <si>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</si>
  <si>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</si>
  <si>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</si>
  <si>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</si>
  <si>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</si>
  <si>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</si>
  <si>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</si>
  <si>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</si>
  <si>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</si>
  <si>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</si>
  <si>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</si>
  <si>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</si>
  <si>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</si>
  <si>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</si>
  <si>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</si>
  <si>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</si>
  <si>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</si>
  <si>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</si>
  <si>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</si>
  <si>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</si>
  <si>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</si>
  <si>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</si>
  <si>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</si>
  <si>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</si>
  <si>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</si>
  <si>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</si>
  <si>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</si>
  <si>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</si>
  <si>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</si>
  <si>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</si>
  <si>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</si>
  <si>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</si>
  <si>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</si>
  <si>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</si>
  <si>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</si>
  <si>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</si>
  <si>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</si>
  <si>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</si>
  <si>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</si>
  <si>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</si>
  <si>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</si>
  <si>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</si>
  <si>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</si>
  <si>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</si>
  <si>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</si>
  <si>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</si>
  <si>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</si>
  <si>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</si>
  <si>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</si>
  <si>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</si>
  <si>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</si>
  <si>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</si>
  <si>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</si>
  <si>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</si>
  <si>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</si>
  <si>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</si>
  <si>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</si>
  <si>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</si>
  <si>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</si>
  <si>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</si>
  <si>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</si>
  <si>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</si>
  <si>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</si>
  <si>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</si>
  <si>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</si>
  <si>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</si>
  <si>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</si>
  <si>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</si>
  <si>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</si>
  <si>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</si>
  <si>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</si>
  <si>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</si>
  <si>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</si>
  <si>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</si>
  <si>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</si>
  <si>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</si>
  <si>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</si>
  <si>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</si>
  <si>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</si>
  <si>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</si>
  <si>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</si>
  <si>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</si>
  <si>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</si>
  <si>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</si>
  <si>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</si>
  <si>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</si>
  <si>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</si>
  <si>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</si>
  <si>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</si>
  <si>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</si>
  <si>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</si>
  <si>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</si>
  <si>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</si>
  <si>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</si>
  <si>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</si>
  <si>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</si>
  <si>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</si>
  <si>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</si>
  <si>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</si>
  <si>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</si>
  <si>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</si>
  <si>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</si>
  <si>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</si>
  <si>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</si>
  <si>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</si>
  <si>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</si>
  <si>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</si>
  <si>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</si>
  <si>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</si>
  <si>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</si>
  <si>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</si>
  <si>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</si>
  <si>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</si>
  <si>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</si>
  <si>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</si>
  <si>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</si>
  <si>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</si>
  <si>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</si>
  <si>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</si>
  <si>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</si>
  <si>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</si>
  <si>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</si>
  <si>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</si>
  <si>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</si>
  <si>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</si>
  <si>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</si>
  <si>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</si>
  <si>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</si>
  <si>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</si>
  <si>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</si>
  <si>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</si>
  <si>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</si>
  <si>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</si>
  <si>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</si>
  <si>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</si>
  <si>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</si>
  <si>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</si>
  <si>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</si>
  <si>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</si>
  <si>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</si>
  <si>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</si>
  <si>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</si>
  <si>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</si>
  <si>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</si>
  <si>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</si>
  <si>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</si>
  <si>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</si>
  <si>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</si>
  <si>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</si>
  <si>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</si>
  <si>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</si>
  <si>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</si>
  <si>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</si>
  <si>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</si>
  <si>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</si>
  <si>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</si>
  <si>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</si>
  <si>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</si>
  <si>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</si>
  <si>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</si>
  <si>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</si>
  <si>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</si>
  <si>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</si>
  <si>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</si>
  <si>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</si>
  <si>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</si>
  <si>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</si>
  <si>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</si>
  <si>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</si>
  <si>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</si>
  <si>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</si>
  <si>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</si>
  <si>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</si>
  <si>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</si>
  <si>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</si>
  <si>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</si>
  <si>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</si>
  <si>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</si>
  <si>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</si>
  <si>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</si>
  <si>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</si>
  <si>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</si>
  <si>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</si>
  <si>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</si>
  <si>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</si>
  <si>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</si>
  <si>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</si>
  <si>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</si>
  <si>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</si>
  <si>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</si>
  <si>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</si>
  <si>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</si>
  <si>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</si>
  <si>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</si>
  <si>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</si>
  <si>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</si>
  <si>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</si>
  <si>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</si>
  <si>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</si>
  <si>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</si>
  <si>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</si>
  <si>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</si>
  <si>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</si>
  <si>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</si>
  <si>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</si>
  <si>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</si>
  <si>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</si>
  <si>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</si>
  <si>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</si>
  <si>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</si>
  <si>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</si>
  <si>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</si>
  <si>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</si>
  <si>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</si>
  <si>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</si>
  <si>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</si>
  <si>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</si>
  <si>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</si>
  <si>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</si>
  <si>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</si>
  <si>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</si>
  <si>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</si>
  <si>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</si>
  <si>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</si>
  <si>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</si>
  <si>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</si>
  <si>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</si>
  <si>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</si>
  <si>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</si>
  <si>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</si>
  <si>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</si>
  <si>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</si>
  <si>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</si>
  <si>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</si>
  <si>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</si>
  <si>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</si>
  <si>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</si>
  <si>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</si>
  <si>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</si>
  <si>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</si>
  <si>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</si>
  <si>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</si>
  <si>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</si>
  <si>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</si>
  <si>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</si>
  <si>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</si>
  <si>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</si>
  <si>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</si>
  <si>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</si>
  <si>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</si>
  <si>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</si>
  <si>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</si>
  <si>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</si>
  <si>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</si>
  <si>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</si>
  <si>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</si>
  <si>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</si>
  <si>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</si>
  <si>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</si>
  <si>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</si>
  <si>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</si>
  <si>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</si>
  <si>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</si>
  <si>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</si>
  <si>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</si>
  <si>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</si>
  <si>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</si>
  <si>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</si>
  <si>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</si>
  <si>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</si>
  <si>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</si>
  <si>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</si>
  <si>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</si>
  <si>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</si>
  <si>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</si>
  <si>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</si>
  <si>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</si>
  <si>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</si>
  <si>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</si>
  <si>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</si>
  <si>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</si>
  <si>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</si>
  <si>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</si>
  <si>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</si>
  <si>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</si>
  <si>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</si>
  <si>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</si>
  <si>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</si>
  <si>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</si>
  <si>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</si>
  <si>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</si>
  <si>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</si>
  <si>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</si>
  <si>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</si>
  <si>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</si>
  <si>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</si>
  <si>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</si>
  <si>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</si>
  <si>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</si>
  <si>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</si>
  <si>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</si>
  <si>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</si>
  <si>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</si>
  <si>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</si>
  <si>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</si>
  <si>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</si>
  <si>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</si>
  <si>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</si>
  <si>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</si>
  <si>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</si>
  <si>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</si>
  <si>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</si>
  <si>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</si>
  <si>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</si>
  <si>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</si>
  <si>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</si>
  <si>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</si>
  <si>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</si>
  <si>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</si>
  <si>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</si>
  <si>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</si>
  <si>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</si>
  <si>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</si>
  <si>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</si>
  <si>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</si>
  <si>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</si>
  <si>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</si>
  <si>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</si>
  <si>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</si>
  <si>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</si>
  <si>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</si>
  <si>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</si>
  <si>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</si>
  <si>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</si>
  <si>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</si>
  <si>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</si>
  <si>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</si>
  <si>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</si>
  <si>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</si>
  <si>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</si>
  <si>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</si>
  <si>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</si>
  <si>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</si>
  <si>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</si>
  <si>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</si>
  <si>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</si>
  <si>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</si>
  <si>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</si>
  <si>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</si>
  <si>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</si>
  <si>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</si>
  <si>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</si>
  <si>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</si>
  <si>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</si>
  <si>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</si>
  <si>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</si>
  <si>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</si>
  <si>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</si>
  <si>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</si>
  <si>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</si>
  <si>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</si>
  <si>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</si>
  <si>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</si>
  <si>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</si>
  <si>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</si>
  <si>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</si>
  <si>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</si>
  <si>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</si>
  <si>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</si>
  <si>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</si>
  <si>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</si>
  <si>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</si>
  <si>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</si>
  <si>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</si>
  <si>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</si>
  <si>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</si>
  <si>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</si>
  <si>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</si>
  <si>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</si>
  <si>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</si>
  <si>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</si>
  <si>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</si>
  <si>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</si>
  <si>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</si>
  <si>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</si>
  <si>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</si>
  <si>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</si>
  <si>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</si>
  <si>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</si>
  <si>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</si>
  <si>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</si>
  <si>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</si>
  <si>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</si>
  <si>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</si>
  <si>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</si>
  <si>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</si>
  <si>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</si>
  <si>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</si>
  <si>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</si>
  <si>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</si>
  <si>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</si>
  <si>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</si>
  <si>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</si>
  <si>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</si>
  <si>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</si>
  <si>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</si>
  <si>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</si>
  <si>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</si>
  <si>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</si>
  <si>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</si>
  <si>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</si>
  <si>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</si>
  <si>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</si>
  <si>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</si>
  <si>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</si>
  <si>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</si>
  <si>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</si>
  <si>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</si>
  <si>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</si>
  <si>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</si>
  <si>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</si>
  <si>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</si>
  <si>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</si>
  <si>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</si>
  <si>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</si>
  <si>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</si>
  <si>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</si>
  <si>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</si>
  <si>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</si>
  <si>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</si>
  <si>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</si>
  <si>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</si>
  <si>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</si>
  <si>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</si>
  <si>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</si>
  <si>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</si>
  <si>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</si>
  <si>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</si>
  <si>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</si>
  <si>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</si>
  <si>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</si>
  <si>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</si>
  <si>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</si>
  <si>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</si>
  <si>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</si>
  <si>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</si>
  <si>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</si>
  <si>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</si>
  <si>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</si>
  <si>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</si>
  <si>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</si>
  <si>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</si>
  <si>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</si>
  <si>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</si>
  <si>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</si>
  <si>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</si>
  <si>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</si>
  <si>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</si>
  <si>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</si>
  <si>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</si>
  <si>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</si>
  <si>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</si>
  <si>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</si>
  <si>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</si>
  <si>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</si>
  <si>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</si>
  <si>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</si>
  <si>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</si>
  <si>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</si>
  <si>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</si>
  <si>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</si>
  <si>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</si>
  <si>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</si>
  <si>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</si>
  <si>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</si>
  <si>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</si>
  <si>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</si>
  <si>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</si>
  <si>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</si>
  <si>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</si>
  <si>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</si>
  <si>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</si>
  <si>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</si>
  <si>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</si>
  <si>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</si>
  <si>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</si>
  <si>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</si>
  <si>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</si>
  <si>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</si>
  <si>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</si>
  <si>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</si>
  <si>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</si>
  <si>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</si>
  <si>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</si>
  <si>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</si>
  <si>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</si>
  <si>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</si>
  <si>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</si>
  <si>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</si>
  <si>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</si>
  <si>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</si>
  <si>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</si>
  <si>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</si>
  <si>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</si>
  <si>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</si>
  <si>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</si>
  <si>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</si>
  <si>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</si>
  <si>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</si>
  <si>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</si>
  <si>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</si>
  <si>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</si>
  <si>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</si>
  <si>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</si>
  <si>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</si>
  <si>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</si>
  <si>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</si>
  <si>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</si>
  <si>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</si>
  <si>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</si>
  <si>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</si>
  <si>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</si>
  <si>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</si>
  <si>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</si>
  <si>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</si>
  <si>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</si>
  <si>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</si>
  <si>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</si>
  <si>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</si>
  <si>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</si>
  <si>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</si>
  <si>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</si>
  <si>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</si>
  <si>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</si>
  <si>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</si>
  <si>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</si>
  <si>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</si>
  <si>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</si>
  <si>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</si>
  <si>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</si>
  <si>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</si>
  <si>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</si>
  <si>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</si>
  <si>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</si>
  <si>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</si>
  <si>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</si>
  <si>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</si>
  <si>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</si>
  <si>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</si>
  <si>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</si>
  <si>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</si>
  <si>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</si>
  <si>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</si>
  <si>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</si>
  <si>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</si>
  <si>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</si>
  <si>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</si>
  <si>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</si>
  <si>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</si>
  <si>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</si>
  <si>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</si>
  <si>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</si>
  <si>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</si>
  <si>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</si>
  <si>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</si>
  <si>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</si>
  <si>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</si>
  <si>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</si>
  <si>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</si>
  <si>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</si>
  <si>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</si>
  <si>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</si>
  <si>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</si>
  <si>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</si>
  <si>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</si>
  <si>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</si>
  <si>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</si>
  <si>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</si>
  <si>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</si>
  <si>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</si>
  <si>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</si>
  <si>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</si>
  <si>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</si>
  <si>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</si>
  <si>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</si>
  <si>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</si>
  <si>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</si>
  <si>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</si>
  <si>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</si>
  <si>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</si>
  <si>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</si>
  <si>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</si>
  <si>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</si>
  <si>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</si>
  <si>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</si>
  <si>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</si>
  <si>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</si>
  <si>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</si>
  <si>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</si>
  <si>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</si>
  <si>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</si>
  <si>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</si>
  <si>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</si>
  <si>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</si>
  <si>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</si>
  <si>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</si>
  <si>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</si>
  <si>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</si>
  <si>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</si>
  <si>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</si>
  <si>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</si>
  <si>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</si>
  <si>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</si>
  <si>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</si>
  <si>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</si>
  <si>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</si>
  <si>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</si>
  <si>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</si>
  <si>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</si>
  <si>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</si>
  <si>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</si>
  <si>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</si>
  <si>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</si>
  <si>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</si>
  <si>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</si>
  <si>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</si>
  <si>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</si>
  <si>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</si>
  <si>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</si>
  <si>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</si>
  <si>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</si>
  <si>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</si>
  <si>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</si>
  <si>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</si>
  <si>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</si>
  <si>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</si>
  <si>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</si>
  <si>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</si>
  <si>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</si>
  <si>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</si>
  <si>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</si>
  <si>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</si>
  <si>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</si>
  <si>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</si>
  <si>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</si>
  <si>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</si>
  <si>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</si>
  <si>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</si>
  <si>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</si>
  <si>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</si>
  <si>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</si>
  <si>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</si>
  <si>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</si>
  <si>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</si>
  <si>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</si>
  <si>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</si>
  <si>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</si>
  <si>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</si>
  <si>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</si>
  <si>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</si>
  <si>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</si>
  <si>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</si>
  <si>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</si>
  <si>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</si>
  <si>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</si>
  <si>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</si>
  <si>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</si>
  <si>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</si>
  <si>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</si>
  <si>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</si>
  <si>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</si>
  <si>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</si>
  <si>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</si>
  <si>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</si>
  <si>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</si>
  <si>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</si>
  <si>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</si>
  <si>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</si>
  <si>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</si>
  <si>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</si>
  <si>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</si>
  <si>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</si>
  <si>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</si>
  <si>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</si>
  <si>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</si>
  <si>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</si>
  <si>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</si>
  <si>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</si>
  <si>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</si>
  <si>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</si>
  <si>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</si>
  <si>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</si>
  <si>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</si>
  <si>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</si>
  <si>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</si>
  <si>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</si>
  <si>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</si>
  <si>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</si>
  <si>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</si>
  <si>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</si>
  <si>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</si>
  <si>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</si>
  <si>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</si>
  <si>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</si>
  <si>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</si>
  <si>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</si>
  <si>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</si>
  <si>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</si>
  <si>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</si>
  <si>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</si>
  <si>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</si>
  <si>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</si>
  <si>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</si>
  <si>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</si>
  <si>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</si>
  <si>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</si>
  <si>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</si>
  <si>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</si>
  <si>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</si>
  <si>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</si>
  <si>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</si>
  <si>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</si>
  <si>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</si>
  <si>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</si>
  <si>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</si>
  <si>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</si>
  <si>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</si>
  <si>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</si>
  <si>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</si>
  <si>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</si>
  <si>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</si>
  <si>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</si>
  <si>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</si>
  <si>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</si>
  <si>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</si>
  <si>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</si>
  <si>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</si>
  <si>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</si>
  <si>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</si>
  <si>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</si>
  <si>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</si>
  <si>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</si>
  <si>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</si>
  <si>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</si>
  <si>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</si>
  <si>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</si>
  <si>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</si>
  <si>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</si>
  <si>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</si>
  <si>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</si>
  <si>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</si>
  <si>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</si>
  <si>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</si>
  <si>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</si>
  <si>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</si>
  <si>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</si>
  <si>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</si>
  <si>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</si>
  <si>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</si>
  <si>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</si>
  <si>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</si>
  <si>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</si>
  <si>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</si>
  <si>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</si>
  <si>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</si>
  <si>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</si>
  <si>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</si>
  <si>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</si>
  <si>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</si>
  <si>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</si>
  <si>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</si>
  <si>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</si>
  <si>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</si>
  <si>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</si>
  <si>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</si>
  <si>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</si>
  <si>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</si>
  <si>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</si>
  <si>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</si>
  <si>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</si>
  <si>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</si>
  <si>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</si>
  <si>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</si>
  <si>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</si>
  <si>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</si>
  <si>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</si>
  <si>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</si>
  <si>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</si>
  <si>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</si>
  <si>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</si>
  <si>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</si>
  <si>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</si>
  <si>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</si>
  <si>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</si>
  <si>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</si>
  <si>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</si>
  <si>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</si>
  <si>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</si>
  <si>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</si>
  <si>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</si>
  <si>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</si>
  <si>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</si>
  <si>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</si>
  <si>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</si>
  <si>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</si>
  <si>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</si>
  <si>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</si>
  <si>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</si>
  <si>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</si>
  <si>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</si>
  <si>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</si>
  <si>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</si>
  <si>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</si>
  <si>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</si>
  <si>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</si>
  <si>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</si>
  <si>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</si>
  <si>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</si>
  <si>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</si>
  <si>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</si>
  <si>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</si>
  <si>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</si>
  <si>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</si>
  <si>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</si>
  <si>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</si>
  <si>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</si>
  <si>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</si>
  <si>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</si>
  <si>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</si>
  <si>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</si>
  <si>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</si>
  <si>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</si>
  <si>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</si>
  <si>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</si>
  <si>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</si>
  <si>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</si>
  <si>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</si>
  <si>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</si>
  <si>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</si>
  <si>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</si>
  <si>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</si>
  <si>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</si>
  <si>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</si>
  <si>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</si>
  <si>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</si>
  <si>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</si>
  <si>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</si>
  <si>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</si>
  <si>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</si>
  <si>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</si>
  <si>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</si>
  <si>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</si>
  <si>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</si>
  <si>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</si>
  <si>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</si>
  <si>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</si>
  <si>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</si>
  <si>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</si>
  <si>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</si>
  <si>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</si>
  <si>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</si>
  <si>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</si>
  <si>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</si>
  <si>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</si>
  <si>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</si>
  <si>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</si>
  <si>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</si>
  <si>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</si>
  <si>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</si>
  <si>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</si>
  <si>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</si>
  <si>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</si>
  <si>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</si>
  <si>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</si>
  <si>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</si>
  <si>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</si>
  <si>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</si>
  <si>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</si>
  <si>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</si>
  <si>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</si>
  <si>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</si>
  <si>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</si>
  <si>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</si>
  <si>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</si>
  <si>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</si>
  <si>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</si>
  <si>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</si>
  <si>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</si>
  <si>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</si>
  <si>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</si>
  <si>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</si>
  <si>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</si>
  <si>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</si>
  <si>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</si>
  <si>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</si>
  <si>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</si>
  <si>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</si>
  <si>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</si>
  <si>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</si>
  <si>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</si>
  <si>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</si>
  <si>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</si>
  <si>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</si>
  <si>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</si>
  <si>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</si>
  <si>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</si>
  <si>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</si>
  <si>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</si>
  <si>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</si>
  <si>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</si>
  <si>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</si>
  <si>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</si>
  <si>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</si>
  <si>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</si>
  <si>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</si>
  <si>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</si>
  <si>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</si>
  <si>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</si>
  <si>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</si>
  <si>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</si>
  <si>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</si>
  <si>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</si>
  <si>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</si>
  <si>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</si>
  <si>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</si>
  <si>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</si>
  <si>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</si>
  <si>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</si>
  <si>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</si>
  <si>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</si>
  <si>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</si>
  <si>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</si>
  <si>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</si>
  <si>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</si>
  <si>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</si>
  <si>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</si>
  <si>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</si>
  <si>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</si>
  <si>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</si>
  <si>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</si>
  <si>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</si>
  <si>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</si>
  <si>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</si>
  <si>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</si>
  <si>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</si>
  <si>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</si>
  <si>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</si>
  <si>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</si>
  <si>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</si>
  <si>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</si>
  <si>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</si>
  <si>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</si>
  <si>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</si>
  <si>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</si>
  <si>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</si>
  <si>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</si>
  <si>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</si>
  <si>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</si>
  <si>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</si>
  <si>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</si>
  <si>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</si>
  <si>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</si>
  <si>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</si>
  <si>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</si>
  <si>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</si>
  <si>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</si>
  <si>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</si>
  <si>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</si>
  <si>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</si>
  <si>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</si>
  <si>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</si>
  <si>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</si>
  <si>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</si>
  <si>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</si>
  <si>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</si>
  <si>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</si>
  <si>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</si>
  <si>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</si>
  <si>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</si>
  <si>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</si>
  <si>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</si>
  <si>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</si>
  <si>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</si>
  <si>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</si>
  <si>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</si>
  <si>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</si>
  <si>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</si>
  <si>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</si>
  <si>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</si>
  <si>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</si>
  <si>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</si>
  <si>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</si>
  <si>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</si>
  <si>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</si>
  <si>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</si>
  <si>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</si>
  <si>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</si>
  <si>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</si>
  <si>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</si>
  <si>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</si>
  <si>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</si>
  <si>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</si>
  <si>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</si>
  <si>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</si>
  <si>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</si>
  <si>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</si>
  <si>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</si>
  <si>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</si>
  <si>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</si>
  <si>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</si>
  <si>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</si>
  <si>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</si>
  <si>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</si>
  <si>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</si>
  <si>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</si>
  <si>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</si>
  <si>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</si>
  <si>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</si>
  <si>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</si>
  <si>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</si>
  <si>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</si>
  <si>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</si>
  <si>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</si>
  <si>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</si>
  <si>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</si>
  <si>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</si>
  <si>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</si>
  <si>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</si>
  <si>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</si>
  <si>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</si>
  <si>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</si>
  <si>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</si>
  <si>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</si>
  <si>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</si>
  <si>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</si>
  <si>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</si>
  <si>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</si>
  <si>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</si>
  <si>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</si>
  <si>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</si>
  <si>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</si>
  <si>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</si>
  <si>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</si>
  <si>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</si>
  <si>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</si>
  <si>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</si>
  <si>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</si>
  <si>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</si>
  <si>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</si>
  <si>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</si>
  <si>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</si>
  <si>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</si>
  <si>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</si>
  <si>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</si>
  <si>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</si>
  <si>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</si>
  <si>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</si>
  <si>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</si>
  <si>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</si>
  <si>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</si>
  <si>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</si>
  <si>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</si>
  <si>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</si>
  <si>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</si>
  <si>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</si>
  <si>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</si>
  <si>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</si>
  <si>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</si>
  <si>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</si>
  <si>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</si>
  <si>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</si>
  <si>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</si>
  <si>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</si>
  <si>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</si>
  <si>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</si>
  <si>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</si>
  <si>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</si>
  <si>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</si>
  <si>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</si>
  <si>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</si>
  <si>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</si>
  <si>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</si>
  <si>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</si>
  <si>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</si>
  <si>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</si>
  <si>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</si>
  <si>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</si>
  <si>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</si>
  <si>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</si>
  <si>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</si>
  <si>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</si>
  <si>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</si>
  <si>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</si>
  <si>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</si>
  <si>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</si>
  <si>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</si>
  <si>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</si>
  <si>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</si>
  <si>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</si>
  <si>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</si>
  <si>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</si>
  <si>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</si>
  <si>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</si>
  <si>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</si>
  <si>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</si>
  <si>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</si>
  <si>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</si>
  <si>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</si>
  <si>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</si>
  <si>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</si>
  <si>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</si>
  <si>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</si>
  <si>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</si>
  <si>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</si>
  <si>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</si>
  <si>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</si>
  <si>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</si>
  <si>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</si>
  <si>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</si>
  <si>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</si>
  <si>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</si>
  <si>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</si>
  <si>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</si>
  <si>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</si>
  <si>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</si>
  <si>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</si>
  <si>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</si>
  <si>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</si>
  <si>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</si>
  <si>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</si>
  <si>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</si>
  <si>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</si>
  <si>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</si>
  <si>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</si>
  <si>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</si>
  <si>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</si>
  <si>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</si>
  <si>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</si>
  <si>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</si>
  <si>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</si>
  <si>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</si>
  <si>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</si>
  <si>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</si>
  <si>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</si>
  <si>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</si>
  <si>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</si>
  <si>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</si>
  <si>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</si>
  <si>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</si>
  <si>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</si>
  <si>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</si>
  <si>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</si>
  <si>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</si>
  <si>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</si>
  <si>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</si>
  <si>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</si>
  <si>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</si>
  <si>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</si>
  <si>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</si>
  <si>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</si>
  <si>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</si>
  <si>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</si>
  <si>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</si>
  <si>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</si>
  <si>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</si>
  <si>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</si>
  <si>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</si>
  <si>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</si>
  <si>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</si>
  <si>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</si>
  <si>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</si>
  <si>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</si>
  <si>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</si>
  <si>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</si>
  <si>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</si>
  <si>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</si>
  <si>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</si>
  <si>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</si>
  <si>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</si>
  <si>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</si>
  <si>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</si>
  <si>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</si>
  <si>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</si>
  <si>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</si>
  <si>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</si>
  <si>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</si>
  <si>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</si>
  <si>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</si>
  <si>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</si>
  <si>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</si>
  <si>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</si>
  <si>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</si>
  <si>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</si>
  <si>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</si>
  <si>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</si>
  <si>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</si>
  <si>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</si>
  <si>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</si>
  <si>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</si>
  <si>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</si>
  <si>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</si>
  <si>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</si>
  <si>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</si>
  <si>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</si>
  <si>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</si>
  <si>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</si>
  <si>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</si>
  <si>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</si>
  <si>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</si>
  <si>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</si>
  <si>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</si>
  <si>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</si>
  <si>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</si>
  <si>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</si>
  <si>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</si>
  <si>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</si>
  <si>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</si>
  <si>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</si>
  <si>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</si>
  <si>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</si>
  <si>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</si>
  <si>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</si>
  <si>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</si>
  <si>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</si>
  <si>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</si>
  <si>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</si>
  <si>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</si>
  <si>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</si>
  <si>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</si>
  <si>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</si>
  <si>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</si>
  <si>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</si>
  <si>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</si>
  <si>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</si>
  <si>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</si>
  <si>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</si>
  <si>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</si>
  <si>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</si>
  <si>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</si>
  <si>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</si>
  <si>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</si>
  <si>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</si>
  <si>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</si>
  <si>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</si>
  <si>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</si>
  <si>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</si>
  <si>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</si>
  <si>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</si>
  <si>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</si>
  <si>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</si>
  <si>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</si>
  <si>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</si>
  <si>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</si>
  <si>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</si>
  <si>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</si>
  <si>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</si>
  <si>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</si>
  <si>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</si>
  <si>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</si>
  <si>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</si>
  <si>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</si>
  <si>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</si>
  <si>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</si>
  <si>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</si>
  <si>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</si>
  <si>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</si>
  <si>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</si>
  <si>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</si>
  <si>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</si>
  <si>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</si>
  <si>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</si>
  <si>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</si>
  <si>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</si>
  <si>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</si>
  <si>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</si>
  <si>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</si>
  <si>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</si>
  <si>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</si>
  <si>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</si>
  <si>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</si>
  <si>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</si>
  <si>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</si>
  <si>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</si>
  <si>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</si>
  <si>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</si>
  <si>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</si>
  <si>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</si>
  <si>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</si>
  <si>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</si>
  <si>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</si>
  <si>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</si>
  <si>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</si>
  <si>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</si>
  <si>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</si>
  <si>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</si>
  <si>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</si>
  <si>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</si>
  <si>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</si>
  <si>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</si>
  <si>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</si>
  <si>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</si>
  <si>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</si>
  <si>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</si>
  <si>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</si>
  <si>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</si>
  <si>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</si>
  <si>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</si>
  <si>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</si>
  <si>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</si>
  <si>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</si>
  <si>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</si>
  <si>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</si>
  <si>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</si>
  <si>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</si>
  <si>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</si>
  <si>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</si>
  <si>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</si>
  <si>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</si>
  <si>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</si>
  <si>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</si>
  <si>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</si>
  <si>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</si>
  <si>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</si>
  <si>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</si>
  <si>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</si>
  <si>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</si>
  <si>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</si>
  <si>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</si>
  <si>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</si>
  <si>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</si>
  <si>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</si>
  <si>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</si>
  <si>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</si>
  <si>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</si>
  <si>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</si>
  <si>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</si>
  <si>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</si>
  <si>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</si>
  <si>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</si>
  <si>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</si>
  <si>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</si>
  <si>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</si>
  <si>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</si>
  <si>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</si>
  <si>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</si>
  <si>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</si>
  <si>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</si>
  <si>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</si>
  <si>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</si>
  <si>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</si>
  <si>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</si>
  <si>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</si>
  <si>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</si>
  <si>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</si>
  <si>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</si>
  <si>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</si>
  <si>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</si>
  <si>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</si>
  <si>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</si>
  <si>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</si>
  <si>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</si>
  <si>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</si>
  <si>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</si>
  <si>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</si>
  <si>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</si>
  <si>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</si>
  <si>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</si>
  <si>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</si>
  <si>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</si>
  <si>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</si>
  <si>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</si>
  <si>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</si>
  <si>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</si>
  <si>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</si>
  <si>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</si>
  <si>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</si>
  <si>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</si>
  <si>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</si>
  <si>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</si>
  <si>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</si>
  <si>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</si>
  <si>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</si>
  <si>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</si>
  <si>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</si>
  <si>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</si>
  <si>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</si>
  <si>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</si>
  <si>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</si>
  <si>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</si>
  <si>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</si>
  <si>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</si>
  <si>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</si>
  <si>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</si>
  <si>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</si>
  <si>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</si>
  <si>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</si>
  <si>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</si>
  <si>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</si>
  <si>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</si>
  <si>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</si>
  <si>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</si>
  <si>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</si>
  <si>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</si>
  <si>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</si>
  <si>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</si>
  <si>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</si>
  <si>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</si>
  <si>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</si>
  <si>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</si>
  <si>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</si>
  <si>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</si>
  <si>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</si>
  <si>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</si>
  <si>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</si>
  <si>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</si>
  <si>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</si>
  <si>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</si>
  <si>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</si>
  <si>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</si>
  <si>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</si>
  <si>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</si>
  <si>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</si>
  <si>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</si>
  <si>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</si>
  <si>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</si>
  <si>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</si>
  <si>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</si>
  <si>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</si>
  <si>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</si>
  <si>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</si>
  <si>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</si>
  <si>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</si>
  <si>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</si>
  <si>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</si>
  <si>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</si>
  <si>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</si>
  <si>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</si>
  <si>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</si>
  <si>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</si>
  <si>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</si>
  <si>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</si>
  <si>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</si>
  <si>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</si>
  <si>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</si>
  <si>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</si>
  <si>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</si>
  <si>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</si>
  <si>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</si>
  <si>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</si>
  <si>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</si>
  <si>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</si>
  <si>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</si>
  <si>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</si>
  <si>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</si>
  <si>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</si>
  <si>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</si>
  <si>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</si>
  <si>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</si>
  <si>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</si>
  <si>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</si>
  <si>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</si>
  <si>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</si>
  <si>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</si>
  <si>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</si>
  <si>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</si>
  <si>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</si>
  <si>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</si>
  <si>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</si>
  <si>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</si>
  <si>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</si>
  <si>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</si>
  <si>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</si>
  <si>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</si>
  <si>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</si>
  <si>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</si>
  <si>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</si>
  <si>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</si>
  <si>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</si>
  <si>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</si>
  <si>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</si>
  <si>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</si>
  <si>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</si>
  <si>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</si>
  <si>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</si>
  <si>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</si>
  <si>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</si>
  <si>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</si>
  <si>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</si>
  <si>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</si>
  <si>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</si>
  <si>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</si>
  <si>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</si>
  <si>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</si>
  <si>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</si>
  <si>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</si>
  <si>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</si>
  <si>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</si>
  <si>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</si>
  <si>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</si>
  <si>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</si>
  <si>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</si>
  <si>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</si>
  <si>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</si>
  <si>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</si>
  <si>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</si>
  <si>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</si>
  <si>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</si>
  <si>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</si>
  <si>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</si>
  <si>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</si>
  <si>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</si>
  <si>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</si>
  <si>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</si>
  <si>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</si>
  <si>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</si>
  <si>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</si>
  <si>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</si>
  <si>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</si>
  <si>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</si>
  <si>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</si>
  <si>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</si>
  <si>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</si>
  <si>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</si>
  <si>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</si>
  <si>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</si>
  <si>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</si>
  <si>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</si>
  <si>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</si>
  <si>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</si>
  <si>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</si>
  <si>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</si>
  <si>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</si>
  <si>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</si>
  <si>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</si>
  <si>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</si>
  <si>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</si>
  <si>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</si>
  <si>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</si>
  <si>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</si>
  <si>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</si>
  <si>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</si>
  <si>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</si>
  <si>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</si>
  <si>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</si>
  <si>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</si>
  <si>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</si>
  <si>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</si>
  <si>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</si>
  <si>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</si>
  <si>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</si>
  <si>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</si>
  <si>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</si>
  <si>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</si>
  <si>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</si>
  <si>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</si>
  <si>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</si>
  <si>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</si>
  <si>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</si>
  <si>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</si>
  <si>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</si>
  <si>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</si>
  <si>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</si>
  <si>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</si>
  <si>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</si>
  <si>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</si>
  <si>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</si>
  <si>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</si>
  <si>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</si>
  <si>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</si>
  <si>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</si>
  <si>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</si>
  <si>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</si>
  <si>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</si>
  <si>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</si>
  <si>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</si>
  <si>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</si>
  <si>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</si>
  <si>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</si>
  <si>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</si>
  <si>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</si>
  <si>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</si>
  <si>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</si>
  <si>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</si>
  <si>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</si>
  <si>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</si>
  <si>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</si>
  <si>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</si>
  <si>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</si>
  <si>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</si>
  <si>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</si>
  <si>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</si>
  <si>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</si>
  <si>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</si>
  <si>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</si>
  <si>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</si>
  <si>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</si>
  <si>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</si>
  <si>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</si>
  <si>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</si>
  <si>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</si>
  <si>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</si>
  <si>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</si>
  <si>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</si>
  <si>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</si>
  <si>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</si>
  <si>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</si>
  <si>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</si>
  <si>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</si>
  <si>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</si>
  <si>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</si>
  <si>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</si>
  <si>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</si>
  <si>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</si>
  <si>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</si>
  <si>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</si>
  <si>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</si>
  <si>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</si>
  <si>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</si>
  <si>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</si>
  <si>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</si>
  <si>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</si>
  <si>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</si>
  <si>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</si>
  <si>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</si>
  <si>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</si>
  <si>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</si>
  <si>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</si>
  <si>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</si>
  <si>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</si>
  <si>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</si>
  <si>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</si>
  <si>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</si>
  <si>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</si>
  <si>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</si>
  <si>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</si>
  <si>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</si>
  <si>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</si>
  <si>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</si>
  <si>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</si>
  <si>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</si>
  <si>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</si>
  <si>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</si>
  <si>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</si>
  <si>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</si>
  <si>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</si>
  <si>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</si>
  <si>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</si>
  <si>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</si>
  <si>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</si>
  <si>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</si>
  <si>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</si>
  <si>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</si>
  <si>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</si>
  <si>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</si>
  <si>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</si>
  <si>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</si>
  <si>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</si>
  <si>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</si>
  <si>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</si>
  <si>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</si>
  <si>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</si>
  <si>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</si>
  <si>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</si>
  <si>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</si>
  <si>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</si>
  <si>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</si>
  <si>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</si>
  <si>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</si>
  <si>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</si>
  <si>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</si>
  <si>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</si>
  <si>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</si>
  <si>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</si>
  <si>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</si>
  <si>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</si>
  <si>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</si>
  <si>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</si>
  <si>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</si>
  <si>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</si>
  <si>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</si>
  <si>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</si>
  <si>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</si>
  <si>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</si>
  <si>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</si>
  <si>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</si>
  <si>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</si>
  <si>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</si>
  <si>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</si>
  <si>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</si>
  <si>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</si>
  <si>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</si>
  <si>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</si>
  <si>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</si>
  <si>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</si>
  <si>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</si>
  <si>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</si>
  <si>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</si>
  <si>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</si>
  <si>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</si>
  <si>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</si>
  <si>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</si>
  <si>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</si>
  <si>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</si>
  <si>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</si>
  <si>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</si>
  <si>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</si>
  <si>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</si>
  <si>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</si>
  <si>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</si>
  <si>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</si>
  <si>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</si>
  <si>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</si>
  <si>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</si>
  <si>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</si>
  <si>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</si>
  <si>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</si>
  <si>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</si>
  <si>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</si>
  <si>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</si>
  <si>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</si>
  <si>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</si>
  <si>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</si>
  <si>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</si>
  <si>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</si>
  <si>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</si>
  <si>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</si>
  <si>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</si>
  <si>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</si>
  <si>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</si>
  <si>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</si>
  <si>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</si>
  <si>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</si>
  <si>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</si>
  <si>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</si>
  <si>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</si>
  <si>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</si>
  <si>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</si>
  <si>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</si>
  <si>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</si>
  <si>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</si>
  <si>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</si>
  <si>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</si>
  <si>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</si>
  <si>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</si>
  <si>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</si>
  <si>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</si>
  <si>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</si>
  <si>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</si>
  <si>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</si>
  <si>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</si>
  <si>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</si>
  <si>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</si>
  <si>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</si>
  <si>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</si>
  <si>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</si>
  <si>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</si>
  <si>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</si>
  <si>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</si>
  <si>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</si>
  <si>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</si>
  <si>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</si>
  <si>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</si>
  <si>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</si>
  <si>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</si>
  <si>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</si>
  <si>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</si>
  <si>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</si>
  <si>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</si>
  <si>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</si>
  <si>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</si>
  <si>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</si>
  <si>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</si>
  <si>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</si>
  <si>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</si>
  <si>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</si>
  <si>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</si>
  <si>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</si>
  <si>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</si>
  <si>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</si>
  <si>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</si>
  <si>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</si>
  <si>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</si>
  <si>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</si>
  <si>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</si>
  <si>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</si>
  <si>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</si>
  <si>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</si>
  <si>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</si>
  <si>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</si>
  <si>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</si>
  <si>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</si>
  <si>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</si>
  <si>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</si>
  <si>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</si>
  <si>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</si>
  <si>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</si>
  <si>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</si>
  <si>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</si>
  <si>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</si>
  <si>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</si>
  <si>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</si>
  <si>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</si>
  <si>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</si>
  <si>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</si>
  <si>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</si>
  <si>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</si>
  <si>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</si>
  <si>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</si>
  <si>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</si>
  <si>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</si>
  <si>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</si>
  <si>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</si>
  <si>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</si>
  <si>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</si>
  <si>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</si>
  <si>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</si>
  <si>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</si>
  <si>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</si>
  <si>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</si>
  <si>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</si>
  <si>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</si>
  <si>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</si>
  <si>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</si>
  <si>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</si>
  <si>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</si>
  <si>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</si>
  <si>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</si>
  <si>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</si>
  <si>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</si>
  <si>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</si>
  <si>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</si>
  <si>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</si>
  <si>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</si>
  <si>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</si>
  <si>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</si>
  <si>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</si>
  <si>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</si>
  <si>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</si>
  <si>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</si>
  <si>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</si>
  <si>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</si>
  <si>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</si>
  <si>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</si>
  <si>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</si>
  <si>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</si>
  <si>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</si>
  <si>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</si>
  <si>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</si>
  <si>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</si>
  <si>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</si>
  <si>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</si>
  <si>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</si>
  <si>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</si>
  <si>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</si>
  <si>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</si>
  <si>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</si>
  <si>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</si>
  <si>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</si>
  <si>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</si>
  <si>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</si>
  <si>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</si>
  <si>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</si>
  <si>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</si>
  <si>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</si>
  <si>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</si>
  <si>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</si>
  <si>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</si>
  <si>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</si>
  <si>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</si>
  <si>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</si>
  <si>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</si>
  <si>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</si>
  <si>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</si>
  <si>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</si>
  <si>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</si>
  <si>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</si>
  <si>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</si>
  <si>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</si>
  <si>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</si>
  <si>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</si>
  <si>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</si>
  <si>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</si>
  <si>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</si>
  <si>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</si>
  <si>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</si>
  <si>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</si>
  <si>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</si>
  <si>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</si>
  <si>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</si>
  <si>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</si>
  <si>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</si>
  <si>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</si>
  <si>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</si>
  <si>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</si>
  <si>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</si>
  <si>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</si>
  <si>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</si>
  <si>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</si>
  <si>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</si>
  <si>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</si>
  <si>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</si>
  <si>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</si>
  <si>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</si>
  <si>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</si>
  <si>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</si>
  <si>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</si>
  <si>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</si>
  <si>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</si>
  <si>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</si>
  <si>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</si>
  <si>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</si>
  <si>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</si>
  <si>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</si>
  <si>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</si>
  <si>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</si>
  <si>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</si>
  <si>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</si>
  <si>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</si>
  <si>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</si>
  <si>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</si>
  <si>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</si>
  <si>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</si>
  <si>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</si>
  <si>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</si>
  <si>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</si>
  <si>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</si>
  <si>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</si>
  <si>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</si>
  <si>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</si>
  <si>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</si>
  <si>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</si>
  <si>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</si>
  <si>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</si>
  <si>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</si>
  <si>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</si>
  <si>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</si>
  <si>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</si>
  <si>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</si>
  <si>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Woodford</t>
  </si>
  <si>
    <t>103 Warrior Way</t>
  </si>
  <si>
    <t>dmair@ghills69.com</t>
  </si>
  <si>
    <t>Dan Mair</t>
  </si>
  <si>
    <t>(309) 383-2121</t>
  </si>
  <si>
    <t>(309) 383-2123</t>
  </si>
  <si>
    <t>Tim C. Custis, CPA</t>
  </si>
  <si>
    <t>tcustis@gorenzcpa.com</t>
  </si>
  <si>
    <t>GO School Bonds, Series 2015A</t>
  </si>
  <si>
    <t>2&amp;3</t>
  </si>
  <si>
    <t>Capital Lease - Buses</t>
  </si>
  <si>
    <t>Capital Lease</t>
  </si>
  <si>
    <t>Capital Lease - Computers</t>
  </si>
  <si>
    <t>Woodford County Special Education Association</t>
  </si>
  <si>
    <t xml:space="preserve">O&amp;M-Operation &amp; Maintenance of Plant Services-Purchased Services </t>
  </si>
  <si>
    <t>MTCO</t>
  </si>
  <si>
    <t>Easter Seals</t>
  </si>
  <si>
    <t>Central States Bus Sales</t>
  </si>
  <si>
    <t>Woodford County</t>
  </si>
  <si>
    <t>Trans-Pupil Transportation-Supplies</t>
  </si>
  <si>
    <t>Ed-Food Services-Supplies</t>
  </si>
  <si>
    <t>Kohl Wholesale</t>
  </si>
  <si>
    <t>Page 10, Line 78: Volleyball tournament admissions</t>
  </si>
  <si>
    <t>Page 10, Line 81: Yearbook sales-8,410, Gym suit reimbursements-2,310, Supply program revenue-22,950</t>
  </si>
  <si>
    <t>Page 10, Line 92: Library book fees</t>
  </si>
  <si>
    <t>Page 11, Line 106: Right at School revenue</t>
  </si>
  <si>
    <t>Page 11, Line 107: Educational Fund: Miscellaneous Reimbursements and Fees, Transportation Fund: Fan bus revenue</t>
  </si>
  <si>
    <t>Page 15, Line 41: SRO officer salary-35,922, Gym suits-2,168, Student gifts-400</t>
  </si>
  <si>
    <t>Page 24, Line 33: Issuance of Capital lease in Educational Fund of 62,992 and payment of 22,632</t>
  </si>
  <si>
    <t>Page 28, Line 101:  Library book fees</t>
  </si>
  <si>
    <t>Page 28, Line 105: Right at School revenue</t>
  </si>
  <si>
    <t>Ed-Support Services Pupil-Purchase Services</t>
  </si>
  <si>
    <t>Ed-Instruction-Other</t>
  </si>
  <si>
    <t>Page 10, Line 74: Cafeteria sales</t>
  </si>
  <si>
    <t>Page 24, Line 32: Capital lease payment paid out of Transportation Fund of 31,956</t>
  </si>
  <si>
    <t>Germantown Hills</t>
  </si>
  <si>
    <t>See PDF version</t>
  </si>
  <si>
    <t>Germantown Hills SD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</si>
</sst>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53102069002</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2060</v>
      </c>
      <c r="B15" s="2105"/>
      <c r="C15" s="2105"/>
      <c r="D15" s="2105"/>
      <c r="E15" s="2105"/>
      <c r="F15" s="2105"/>
      <c r="G15" s="2105"/>
      <c r="H15" s="2106"/>
      <c r="T15" s="2111" t="s">
        <v>2066</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2097</v>
      </c>
      <c r="B17" s="2075"/>
      <c r="C17" s="2075"/>
      <c r="D17" s="2075"/>
      <c r="E17" s="2075"/>
      <c r="F17" s="2075"/>
      <c r="G17" s="2075"/>
      <c r="H17" s="2100"/>
      <c r="T17" s="2118" t="s">
        <v>2053</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2061</v>
      </c>
      <c r="B19" s="2060"/>
      <c r="C19" s="2060"/>
      <c r="D19" s="2060"/>
      <c r="E19" s="2060"/>
      <c r="F19" s="2060"/>
      <c r="G19" s="2060"/>
      <c r="H19" s="2040"/>
      <c r="I19" s="30"/>
      <c r="J19" s="96"/>
      <c r="K19" s="40"/>
      <c r="L19" s="38"/>
      <c r="M19" s="109" t="s">
        <v>312</v>
      </c>
      <c r="P19" s="27"/>
      <c r="Q19" s="27"/>
      <c r="R19" s="27"/>
      <c r="S19" s="31"/>
      <c r="T19" s="2104" t="s">
        <v>2054</v>
      </c>
      <c r="U19" s="2039"/>
      <c r="V19" s="2039"/>
      <c r="W19" s="2040"/>
      <c r="X19" s="2116" t="s">
        <v>2055</v>
      </c>
      <c r="Y19" s="2117"/>
      <c r="Z19" s="2114">
        <v>61614</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2095</v>
      </c>
      <c r="B21" s="2039"/>
      <c r="C21" s="2039"/>
      <c r="D21" s="2039"/>
      <c r="E21" s="2039"/>
      <c r="F21" s="2039"/>
      <c r="G21" s="2039"/>
      <c r="H21" s="2040"/>
      <c r="I21" s="2094" t="s">
        <v>673</v>
      </c>
      <c r="J21" s="2089"/>
      <c r="K21" s="2089"/>
      <c r="L21" s="2089"/>
      <c r="M21" s="2089"/>
      <c r="N21" s="2089"/>
      <c r="O21" s="2089"/>
      <c r="P21" s="2089"/>
      <c r="Q21" s="2089"/>
      <c r="R21" s="2089"/>
      <c r="S21" s="2095"/>
      <c r="T21" s="2129" t="s">
        <v>2056</v>
      </c>
      <c r="U21" s="2130"/>
      <c r="V21" s="2130"/>
      <c r="W21" s="2130"/>
      <c r="X21" s="2135" t="s">
        <v>2057</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2062</v>
      </c>
      <c r="B23" s="2092"/>
      <c r="C23" s="2092"/>
      <c r="D23" s="2092"/>
      <c r="E23" s="2092"/>
      <c r="F23" s="2092"/>
      <c r="G23" s="2092"/>
      <c r="H23" s="2093"/>
      <c r="T23" s="2074" t="s">
        <v>2058</v>
      </c>
      <c r="U23" s="2128"/>
      <c r="V23" s="2128"/>
      <c r="W23" s="2128"/>
      <c r="X23" s="2132">
        <v>44501</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61548</v>
      </c>
      <c r="B25" s="2039"/>
      <c r="C25" s="2039"/>
      <c r="D25" s="2039"/>
      <c r="E25" s="2039"/>
      <c r="F25" s="2039"/>
      <c r="G25" s="2039"/>
      <c r="H25" s="2040"/>
      <c r="I25" s="110"/>
      <c r="J25" s="2063"/>
      <c r="K25" s="2063"/>
      <c r="L25" s="2063"/>
      <c r="M25" s="2063"/>
      <c r="N25" s="2063"/>
      <c r="O25" s="2063"/>
      <c r="P25" s="2063"/>
      <c r="Q25" s="2063"/>
      <c r="R25" s="2063"/>
      <c r="S25" s="2064"/>
      <c r="T25" s="2125" t="s">
        <v>2067</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2062</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2064</v>
      </c>
      <c r="B42" s="2058"/>
      <c r="C42" s="2059"/>
      <c r="D42" s="2057" t="s">
        <v>2065</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2812315</v>
      </c>
      <c r="C4" s="1722"/>
      <c r="D4" s="1723">
        <f>B4-C4</f>
        <v>2812315</v>
      </c>
      <c r="E4" s="1722">
        <v>2744844</v>
      </c>
      <c r="F4" s="1723">
        <f>E4-C4</f>
        <v>2744844</v>
      </c>
    </row>
    <row r="5" spans="1:8" ht="13.7" customHeight="1" x14ac:dyDescent="0.2">
      <c r="A5" s="579" t="s">
        <v>865</v>
      </c>
      <c r="B5" s="1724">
        <f>'Revenues 9-14'!D5</f>
        <v>498576</v>
      </c>
      <c r="C5" s="1664"/>
      <c r="D5" s="1725">
        <f t="shared" ref="D5:D18" si="0">B5-C5</f>
        <v>498576</v>
      </c>
      <c r="E5" s="1664">
        <v>500101</v>
      </c>
      <c r="F5" s="1725">
        <f>E5-C5</f>
        <v>500101</v>
      </c>
    </row>
    <row r="6" spans="1:8" ht="13.7" customHeight="1" x14ac:dyDescent="0.2">
      <c r="A6" s="579" t="s">
        <v>408</v>
      </c>
      <c r="B6" s="1724">
        <f>'Revenues 9-14'!E5</f>
        <v>1110294</v>
      </c>
      <c r="C6" s="1664"/>
      <c r="D6" s="1725">
        <f t="shared" si="0"/>
        <v>1110294</v>
      </c>
      <c r="E6" s="1664">
        <v>926266</v>
      </c>
      <c r="F6" s="1725">
        <f t="shared" ref="F6:F18" si="1">E6-C6</f>
        <v>926266</v>
      </c>
    </row>
    <row r="7" spans="1:8" ht="13.7" customHeight="1" x14ac:dyDescent="0.2">
      <c r="A7" s="579" t="s">
        <v>154</v>
      </c>
      <c r="B7" s="1724">
        <f>'Revenues 9-14'!F5</f>
        <v>195073</v>
      </c>
      <c r="C7" s="1664"/>
      <c r="D7" s="1725">
        <f t="shared" si="0"/>
        <v>195073</v>
      </c>
      <c r="E7" s="1664">
        <v>190394</v>
      </c>
      <c r="F7" s="1725">
        <f t="shared" si="1"/>
        <v>190394</v>
      </c>
    </row>
    <row r="8" spans="1:8" ht="13.7" customHeight="1" x14ac:dyDescent="0.2">
      <c r="A8" s="579" t="s">
        <v>1169</v>
      </c>
      <c r="B8" s="1724">
        <f>'Revenues 9-14'!G5</f>
        <v>129719</v>
      </c>
      <c r="C8" s="1664"/>
      <c r="D8" s="1725">
        <f t="shared" si="0"/>
        <v>129719</v>
      </c>
      <c r="E8" s="1664">
        <v>50137</v>
      </c>
      <c r="F8" s="1725">
        <f t="shared" si="1"/>
        <v>50137</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0</v>
      </c>
      <c r="C10" s="1664"/>
      <c r="D10" s="1725">
        <f t="shared" si="0"/>
        <v>0</v>
      </c>
      <c r="E10" s="1664">
        <v>0</v>
      </c>
      <c r="F10" s="1725">
        <f t="shared" si="1"/>
        <v>0</v>
      </c>
    </row>
    <row r="11" spans="1:8" x14ac:dyDescent="0.2">
      <c r="A11" s="579" t="s">
        <v>406</v>
      </c>
      <c r="B11" s="1724">
        <f>'Revenues 9-14'!J5</f>
        <v>304150</v>
      </c>
      <c r="C11" s="1664"/>
      <c r="D11" s="1725">
        <f t="shared" si="0"/>
        <v>304150</v>
      </c>
      <c r="E11" s="1664">
        <v>335093</v>
      </c>
      <c r="F11" s="1725">
        <f t="shared" si="1"/>
        <v>335093</v>
      </c>
    </row>
    <row r="12" spans="1:8" ht="13.7" customHeight="1" x14ac:dyDescent="0.2">
      <c r="A12" s="579" t="s">
        <v>156</v>
      </c>
      <c r="B12" s="1724">
        <f>'Revenues 9-14'!K5</f>
        <v>0</v>
      </c>
      <c r="C12" s="1664"/>
      <c r="D12" s="1725">
        <f t="shared" si="0"/>
        <v>0</v>
      </c>
      <c r="E12" s="1664">
        <v>0</v>
      </c>
      <c r="F12" s="1725">
        <f t="shared" si="1"/>
        <v>0</v>
      </c>
    </row>
    <row r="13" spans="1:8" ht="13.7" customHeight="1" x14ac:dyDescent="0.2">
      <c r="A13" s="579" t="s">
        <v>930</v>
      </c>
      <c r="B13" s="1724">
        <f>SUM('Revenues 9-14'!C6:D6)</f>
        <v>17069</v>
      </c>
      <c r="C13" s="1664"/>
      <c r="D13" s="1725">
        <f t="shared" si="0"/>
        <v>17069</v>
      </c>
      <c r="E13" s="1664">
        <v>41411</v>
      </c>
      <c r="F13" s="1725">
        <f t="shared" si="1"/>
        <v>41411</v>
      </c>
    </row>
    <row r="14" spans="1:8" ht="13.7" customHeight="1" x14ac:dyDescent="0.2">
      <c r="A14" s="579" t="s">
        <v>407</v>
      </c>
      <c r="B14" s="1724">
        <f>SUM('Revenues 9-14'!C7:D7,'Revenues 9-14'!F7:H7)</f>
        <v>32513</v>
      </c>
      <c r="C14" s="1664"/>
      <c r="D14" s="1725">
        <f t="shared" si="0"/>
        <v>32513</v>
      </c>
      <c r="E14" s="1664">
        <v>31732</v>
      </c>
      <c r="F14" s="1725">
        <f t="shared" si="1"/>
        <v>31732</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39996</v>
      </c>
      <c r="C16" s="1664"/>
      <c r="D16" s="1725">
        <f t="shared" si="0"/>
        <v>39996</v>
      </c>
      <c r="E16" s="1664">
        <v>184999</v>
      </c>
      <c r="F16" s="1725">
        <f t="shared" si="1"/>
        <v>184999</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5139705</v>
      </c>
      <c r="C19" s="1726">
        <f>SUM(C4:C18)</f>
        <v>0</v>
      </c>
      <c r="D19" s="1726">
        <f>SUM(D4:D18)</f>
        <v>5139705</v>
      </c>
      <c r="E19" s="1726">
        <f>SUM(E4:E18)</f>
        <v>5004977</v>
      </c>
      <c r="F19" s="1726">
        <f>SUM(F4:F18)</f>
        <v>5004977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42367</v>
      </c>
      <c r="C31" s="1734">
        <v>8735000</v>
      </c>
      <c r="D31" s="1735" t="s">
        <v>2069</v>
      </c>
      <c r="E31" s="1734">
        <v>6055000</v>
      </c>
      <c r="F31" s="1734"/>
      <c r="G31" s="1734"/>
      <c r="H31" s="1734">
        <v>990000</v>
      </c>
      <c r="I31" s="1736">
        <f>((E31+F31)-H31)+G31</f>
        <v>5065000</v>
      </c>
      <c r="J31" s="1734">
        <f>I31-450285</f>
        <v>4614715</v>
      </c>
      <c r="K31" s="596"/>
    </row>
    <row r="32" spans="1:11" ht="12" customHeight="1" x14ac:dyDescent="0.2">
      <c r="A32" s="594" t="s">
        <v>2070</v>
      </c>
      <c r="B32" s="595">
        <v>42690</v>
      </c>
      <c r="C32" s="1734">
        <v>159877</v>
      </c>
      <c r="D32" s="1735">
        <v>7</v>
      </c>
      <c r="E32" s="1734">
        <v>64696</v>
      </c>
      <c r="F32" s="1734"/>
      <c r="G32" s="1734">
        <v>-31956</v>
      </c>
      <c r="H32" s="1734"/>
      <c r="I32" s="1736">
        <f>((E32+F32)-H32)+G32</f>
        <v>32740</v>
      </c>
      <c r="J32" s="1734">
        <v>32740</v>
      </c>
      <c r="K32" s="596"/>
    </row>
    <row r="33" spans="1:11" ht="12" customHeight="1" x14ac:dyDescent="0.2">
      <c r="A33" s="594" t="s">
        <v>2072</v>
      </c>
      <c r="B33" s="595">
        <v>43686</v>
      </c>
      <c r="C33" s="1734">
        <v>62992</v>
      </c>
      <c r="D33" s="1735">
        <v>7</v>
      </c>
      <c r="E33" s="1734"/>
      <c r="F33" s="1734"/>
      <c r="G33" s="1734">
        <f>62992-22632</f>
        <v>40360</v>
      </c>
      <c r="H33" s="1734"/>
      <c r="I33" s="1736">
        <f t="shared" ref="I33:I48" si="1">((E33+F33)-H33)+G33</f>
        <v>40360</v>
      </c>
      <c r="J33" s="1734">
        <v>40360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8957869</v>
      </c>
      <c r="D49" s="1742"/>
      <c r="E49" s="1736">
        <f t="shared" ref="E49:J49" si="2">SUM(E31:E48)</f>
        <v>6119696</v>
      </c>
      <c r="F49" s="1736">
        <f t="shared" si="2"/>
        <v>0</v>
      </c>
      <c r="G49" s="1736">
        <f t="shared" si="2"/>
        <v>8404</v>
      </c>
      <c r="H49" s="1736">
        <f t="shared" si="2"/>
        <v>990000</v>
      </c>
      <c r="I49" s="1736">
        <f t="shared" si="2"/>
        <v>5138100</v>
      </c>
      <c r="J49" s="1736">
        <f t="shared" si="2"/>
        <v>4687815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2071</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170483</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32513</v>
      </c>
      <c r="I5" s="1750"/>
      <c r="J5" s="1751"/>
      <c r="K5" s="1751"/>
    </row>
    <row r="6" spans="1:11" x14ac:dyDescent="0.2">
      <c r="A6" s="625" t="s">
        <v>715</v>
      </c>
      <c r="B6" s="626"/>
      <c r="C6" s="626"/>
      <c r="D6" s="626"/>
      <c r="E6" s="627"/>
      <c r="F6" s="628" t="s">
        <v>844</v>
      </c>
      <c r="G6" s="1744"/>
      <c r="H6" s="1744">
        <v>22</v>
      </c>
      <c r="I6" s="1744"/>
      <c r="J6" s="1745">
        <v>563</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239943</v>
      </c>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32535</v>
      </c>
      <c r="I12" s="1755">
        <f>SUM(I5:I11)</f>
        <v>0</v>
      </c>
      <c r="J12" s="1755">
        <f>SUM(J5:J11)</f>
        <v>240506</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32535</v>
      </c>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32535</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410989</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410989</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137521</v>
      </c>
      <c r="D5" s="1770">
        <v>0</v>
      </c>
      <c r="E5" s="1770"/>
      <c r="F5" s="1765">
        <f>(C5+D5)-E5</f>
        <v>137521</v>
      </c>
      <c r="G5" s="676"/>
      <c r="H5" s="680"/>
      <c r="I5" s="680"/>
      <c r="J5" s="680"/>
      <c r="K5" s="637"/>
      <c r="L5" s="1442">
        <f>F5-K5</f>
        <v>137521</v>
      </c>
    </row>
    <row r="6" spans="1:14" ht="14.25" thickTop="1" thickBot="1" x14ac:dyDescent="0.25">
      <c r="A6" s="629" t="s">
        <v>1107</v>
      </c>
      <c r="B6" s="679">
        <v>222</v>
      </c>
      <c r="C6" s="1745">
        <v>0</v>
      </c>
      <c r="D6" s="1745">
        <v>0</v>
      </c>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18194621</v>
      </c>
      <c r="D8" s="1771">
        <v>0</v>
      </c>
      <c r="E8" s="1771"/>
      <c r="F8" s="1765">
        <f>(C8+D8)-E8</f>
        <v>18194621</v>
      </c>
      <c r="G8" s="681">
        <v>50</v>
      </c>
      <c r="H8" s="619">
        <v>5049669</v>
      </c>
      <c r="I8" s="619">
        <v>357383</v>
      </c>
      <c r="J8" s="619"/>
      <c r="K8" s="1442">
        <f>(H8+I8)-J8</f>
        <v>5407052</v>
      </c>
      <c r="L8" s="1442">
        <f>F8-K8</f>
        <v>12787569</v>
      </c>
    </row>
    <row r="9" spans="1:14" ht="14.25" thickTop="1" thickBot="1" x14ac:dyDescent="0.25">
      <c r="A9" s="629" t="s">
        <v>1109</v>
      </c>
      <c r="B9" s="679">
        <v>232</v>
      </c>
      <c r="C9" s="1745">
        <v>0</v>
      </c>
      <c r="D9" s="1745">
        <v>0</v>
      </c>
      <c r="E9" s="1745"/>
      <c r="F9" s="1765">
        <f>(C9+D9)-E9</f>
        <v>0</v>
      </c>
      <c r="G9" s="681">
        <v>20</v>
      </c>
      <c r="H9" s="619">
        <v>0</v>
      </c>
      <c r="I9" s="619">
        <v>0</v>
      </c>
      <c r="J9" s="619"/>
      <c r="K9" s="1442">
        <f>(H9+I9)-J9</f>
        <v>0</v>
      </c>
      <c r="L9" s="1442">
        <f>F9-K9</f>
        <v>0</v>
      </c>
    </row>
    <row r="10" spans="1:14" ht="24" thickTop="1" thickBot="1" x14ac:dyDescent="0.25">
      <c r="A10" s="682" t="s">
        <v>1110</v>
      </c>
      <c r="B10" s="679">
        <v>240</v>
      </c>
      <c r="C10" s="1772">
        <v>134560</v>
      </c>
      <c r="D10" s="1772">
        <v>147280</v>
      </c>
      <c r="E10" s="1772"/>
      <c r="F10" s="1773">
        <f>(C10+D10)-E10</f>
        <v>281840</v>
      </c>
      <c r="G10" s="681">
        <v>20</v>
      </c>
      <c r="H10" s="683">
        <v>38513</v>
      </c>
      <c r="I10" s="683">
        <v>13797</v>
      </c>
      <c r="J10" s="683"/>
      <c r="K10" s="1442">
        <f>(H10+I10)-J10</f>
        <v>52310</v>
      </c>
      <c r="L10" s="1442">
        <f>F10-K10</f>
        <v>229530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748826</v>
      </c>
      <c r="D12" s="1771">
        <v>29196</v>
      </c>
      <c r="E12" s="1771">
        <v>10601</v>
      </c>
      <c r="F12" s="1765">
        <f>(C12+D12)-E12</f>
        <v>767421</v>
      </c>
      <c r="G12" s="681">
        <v>10</v>
      </c>
      <c r="H12" s="619">
        <v>222475</v>
      </c>
      <c r="I12" s="619">
        <v>72170</v>
      </c>
      <c r="J12" s="619">
        <v>10601</v>
      </c>
      <c r="K12" s="1442">
        <f>(H12+I12)-J12</f>
        <v>284044</v>
      </c>
      <c r="L12" s="1442">
        <f>F12-K12</f>
        <v>483377</v>
      </c>
    </row>
    <row r="13" spans="1:14" ht="14.25" thickTop="1" thickBot="1" x14ac:dyDescent="0.25">
      <c r="A13" s="684" t="s">
        <v>1112</v>
      </c>
      <c r="B13" s="679">
        <v>252</v>
      </c>
      <c r="C13" s="1771">
        <v>688104</v>
      </c>
      <c r="D13" s="1771">
        <v>95200</v>
      </c>
      <c r="E13" s="1771"/>
      <c r="F13" s="1765">
        <f>(C13+D13)-E13</f>
        <v>783304</v>
      </c>
      <c r="G13" s="681">
        <v>5</v>
      </c>
      <c r="H13" s="619">
        <v>517246</v>
      </c>
      <c r="I13" s="619">
        <v>88158</v>
      </c>
      <c r="J13" s="619"/>
      <c r="K13" s="1442">
        <f>(H13+I13)-J13</f>
        <v>605404</v>
      </c>
      <c r="L13" s="1442">
        <f>F13-K13</f>
        <v>177900</v>
      </c>
    </row>
    <row r="14" spans="1:14" ht="14.25" thickTop="1" thickBot="1" x14ac:dyDescent="0.25">
      <c r="A14" s="684" t="s">
        <v>1113</v>
      </c>
      <c r="B14" s="679">
        <v>253</v>
      </c>
      <c r="C14" s="1745">
        <v>0</v>
      </c>
      <c r="D14" s="1745">
        <v>0</v>
      </c>
      <c r="E14" s="1745"/>
      <c r="F14" s="1765">
        <f>(C14+D14)-E14</f>
        <v>0</v>
      </c>
      <c r="G14" s="681">
        <v>3</v>
      </c>
      <c r="H14" s="619">
        <v>0</v>
      </c>
      <c r="I14" s="619">
        <v>0</v>
      </c>
      <c r="J14" s="619"/>
      <c r="K14" s="1442">
        <f>(H14+I14)-J14</f>
        <v>0</v>
      </c>
      <c r="L14" s="1442">
        <f>F14-K14</f>
        <v>0</v>
      </c>
    </row>
    <row r="15" spans="1:14" ht="15" customHeight="1" thickTop="1" thickBot="1" x14ac:dyDescent="0.25">
      <c r="A15" s="1366" t="s">
        <v>525</v>
      </c>
      <c r="B15" s="1365">
        <v>260</v>
      </c>
      <c r="C15" s="1771">
        <v>0</v>
      </c>
      <c r="D15" s="1771">
        <v>0</v>
      </c>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19903632</v>
      </c>
      <c r="D16" s="1765">
        <f>SUM(D3,D5:D6,D8:D10,D12:D15)</f>
        <v>271676</v>
      </c>
      <c r="E16" s="1765">
        <f>SUM(E3,E5:E6,E8:E10,E12:E15)</f>
        <v>10601</v>
      </c>
      <c r="F16" s="1765">
        <f>SUM(F3,F5:F6,F8:F10,F12:F15)</f>
        <v>20164707</v>
      </c>
      <c r="G16" s="681"/>
      <c r="H16" s="1435">
        <f>SUM(H3,H6,H8:H10,H12:H14,)</f>
        <v>5827903</v>
      </c>
      <c r="I16" s="1435">
        <f>SUM(I3,I6,I8:I10,I12:I14,)</f>
        <v>531508</v>
      </c>
      <c r="J16" s="1435">
        <f>SUM(J3,J6,J8:J10,J12:J14,)</f>
        <v>10601</v>
      </c>
      <c r="K16" s="1435">
        <f>(H16+I16)-J16</f>
        <v>6348810</v>
      </c>
      <c r="L16" s="1435">
        <f>F16-K16</f>
        <v>13815897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531508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5954563</v>
      </c>
      <c r="G8" s="701"/>
    </row>
    <row r="9" spans="1:9" x14ac:dyDescent="0.2">
      <c r="A9" s="705" t="s">
        <v>457</v>
      </c>
      <c r="B9" s="706" t="s">
        <v>1848</v>
      </c>
      <c r="C9" s="707"/>
      <c r="D9" s="705" t="s">
        <v>498</v>
      </c>
      <c r="E9" s="704"/>
      <c r="F9" s="1775">
        <f>'Expenditures 15-22'!K151</f>
        <v>520389</v>
      </c>
      <c r="G9" s="708"/>
    </row>
    <row r="10" spans="1:9" x14ac:dyDescent="0.2">
      <c r="A10" s="705" t="s">
        <v>496</v>
      </c>
      <c r="B10" s="706" t="s">
        <v>1849</v>
      </c>
      <c r="C10" s="707"/>
      <c r="D10" s="705" t="s">
        <v>498</v>
      </c>
      <c r="E10" s="704"/>
      <c r="F10" s="1775">
        <f>'Expenditures 15-22'!K174</f>
        <v>1113066</v>
      </c>
      <c r="G10" s="708"/>
    </row>
    <row r="11" spans="1:9" x14ac:dyDescent="0.2">
      <c r="A11" s="705" t="s">
        <v>458</v>
      </c>
      <c r="B11" s="706" t="s">
        <v>1850</v>
      </c>
      <c r="C11" s="707"/>
      <c r="D11" s="705" t="s">
        <v>498</v>
      </c>
      <c r="E11" s="704"/>
      <c r="F11" s="1775">
        <f>'Expenditures 15-22'!K210</f>
        <v>404233</v>
      </c>
      <c r="G11" s="708"/>
    </row>
    <row r="12" spans="1:9" x14ac:dyDescent="0.2">
      <c r="A12" s="705" t="s">
        <v>459</v>
      </c>
      <c r="B12" s="706" t="s">
        <v>1851</v>
      </c>
      <c r="C12" s="707"/>
      <c r="D12" s="705" t="s">
        <v>498</v>
      </c>
      <c r="E12" s="704"/>
      <c r="F12" s="1775">
        <f>'Expenditures 15-22'!K295</f>
        <v>234662</v>
      </c>
      <c r="G12" s="708"/>
    </row>
    <row r="13" spans="1:9" x14ac:dyDescent="0.2">
      <c r="A13" s="705" t="s">
        <v>106</v>
      </c>
      <c r="B13" s="706" t="s">
        <v>1852</v>
      </c>
      <c r="C13" s="707"/>
      <c r="D13" s="705" t="s">
        <v>498</v>
      </c>
      <c r="E13" s="704"/>
      <c r="F13" s="1775">
        <f>'Expenditures 15-22'!K342</f>
        <v>275295</v>
      </c>
      <c r="G13" s="709"/>
    </row>
    <row r="14" spans="1:9" ht="12" customHeight="1" thickBot="1" x14ac:dyDescent="0.25">
      <c r="A14" s="1443"/>
      <c r="B14" s="1444"/>
      <c r="C14" s="1445"/>
      <c r="D14" s="1446" t="s">
        <v>498</v>
      </c>
      <c r="E14" s="1447" t="s">
        <v>952</v>
      </c>
      <c r="F14" s="1776">
        <f>SUM(F8:F13)</f>
        <v>8502208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92415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586454</v>
      </c>
      <c r="G53" s="701"/>
    </row>
    <row r="54" spans="1:7" x14ac:dyDescent="0.2">
      <c r="A54" s="705" t="s">
        <v>456</v>
      </c>
      <c r="B54" s="705" t="s">
        <v>1459</v>
      </c>
      <c r="C54" s="724" t="s">
        <v>975</v>
      </c>
      <c r="D54" s="720" t="s">
        <v>1086</v>
      </c>
      <c r="E54" s="704"/>
      <c r="F54" s="1782">
        <f>'Expenditures 15-22'!G114</f>
        <v>28326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3150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990000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31956</v>
      </c>
      <c r="G64" s="701"/>
    </row>
    <row r="65" spans="1:9" x14ac:dyDescent="0.2">
      <c r="A65" s="705" t="s">
        <v>458</v>
      </c>
      <c r="B65" s="705" t="s">
        <v>1861</v>
      </c>
      <c r="C65" s="721" t="s">
        <v>975</v>
      </c>
      <c r="D65" s="720" t="s">
        <v>1086</v>
      </c>
      <c r="E65" s="704"/>
      <c r="F65" s="1782">
        <f>'Expenditures 15-22'!G210</f>
        <v>95200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1827501</v>
      </c>
      <c r="G77" s="701"/>
    </row>
    <row r="78" spans="1:9" s="728" customFormat="1" ht="12" customHeight="1" thickTop="1" thickBot="1" x14ac:dyDescent="0.25">
      <c r="A78" s="1450"/>
      <c r="B78" s="1448"/>
      <c r="C78" s="1445"/>
      <c r="D78" s="1449" t="s">
        <v>2012</v>
      </c>
      <c r="E78" s="1447"/>
      <c r="F78" s="1788">
        <f>(F14-F77)</f>
        <v>6674707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842.5</v>
      </c>
      <c r="G79" s="733"/>
      <c r="H79" s="705"/>
      <c r="I79" s="705"/>
    </row>
    <row r="80" spans="1:9" s="728" customFormat="1" ht="12" customHeight="1" thickBot="1" x14ac:dyDescent="0.25">
      <c r="A80" s="1452"/>
      <c r="B80" s="1448"/>
      <c r="C80" s="1445"/>
      <c r="D80" s="1449" t="s">
        <v>2013</v>
      </c>
      <c r="E80" s="1447" t="s">
        <v>952</v>
      </c>
      <c r="F80" s="1790">
        <f>IF(F79&gt;0,F78/F79," Complete Line 79")</f>
        <v>7922.5008902077152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173597</v>
      </c>
      <c r="G95" s="745"/>
    </row>
    <row r="96" spans="1:7" x14ac:dyDescent="0.2">
      <c r="A96" s="741" t="s">
        <v>139</v>
      </c>
      <c r="B96" s="741" t="s">
        <v>174</v>
      </c>
      <c r="C96" s="743">
        <v>1700</v>
      </c>
      <c r="D96" s="751" t="str">
        <f>'Revenues 9-14'!A82</f>
        <v>Total District/School Activity Income</v>
      </c>
      <c r="E96" s="739"/>
      <c r="F96" s="1793">
        <f>SUM('Revenues 9-14'!C82,'Revenues 9-14'!D82)</f>
        <v>60222</v>
      </c>
      <c r="G96" s="745"/>
    </row>
    <row r="97" spans="1:7" x14ac:dyDescent="0.2">
      <c r="A97" s="741" t="s">
        <v>456</v>
      </c>
      <c r="B97" s="741" t="s">
        <v>175</v>
      </c>
      <c r="C97" s="743">
        <f>'Revenues 9-14'!B84</f>
        <v>1811</v>
      </c>
      <c r="D97" s="744" t="str">
        <f>'Revenues 9-14'!A84</f>
        <v>Rentals - Regular Textbooks</v>
      </c>
      <c r="E97" s="739"/>
      <c r="F97" s="1793">
        <f>'Revenues 9-14'!C84</f>
        <v>70543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182</v>
      </c>
      <c r="G101" s="745"/>
    </row>
    <row r="102" spans="1:7" x14ac:dyDescent="0.2">
      <c r="A102" s="741" t="s">
        <v>139</v>
      </c>
      <c r="B102" s="741" t="s">
        <v>180</v>
      </c>
      <c r="C102" s="743">
        <f>'Revenues 9-14'!B95</f>
        <v>1910</v>
      </c>
      <c r="D102" s="744" t="str">
        <f>'Revenues 9-14'!A95</f>
        <v>Rentals</v>
      </c>
      <c r="E102" s="739"/>
      <c r="F102" s="1793">
        <f>SUM('Revenues 9-14'!C95:D95)</f>
        <v>53965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4251</v>
      </c>
      <c r="G105" s="745"/>
    </row>
    <row r="106" spans="1:7" x14ac:dyDescent="0.2">
      <c r="A106" s="741" t="s">
        <v>500</v>
      </c>
      <c r="B106" s="741" t="s">
        <v>1910</v>
      </c>
      <c r="C106" s="746">
        <v>3100</v>
      </c>
      <c r="D106" s="752" t="str">
        <f>'Revenues 9-14'!A132</f>
        <v>Total Special Education</v>
      </c>
      <c r="E106" s="739"/>
      <c r="F106" s="1793">
        <f>SUM('Revenues 9-14'!C132:D132,'Revenues 9-14'!F132)</f>
        <v>22458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820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188147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112994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41355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177553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21476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5770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1905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540807.65</v>
      </c>
      <c r="G172" s="760"/>
    </row>
    <row r="173" spans="1:7" x14ac:dyDescent="0.2">
      <c r="A173" s="1529" t="s">
        <v>659</v>
      </c>
      <c r="B173" s="1530" t="s">
        <v>1885</v>
      </c>
      <c r="C173" s="1531">
        <v>3300</v>
      </c>
      <c r="D173" s="1532" t="s">
        <v>1888</v>
      </c>
      <c r="E173" s="739"/>
      <c r="F173" s="1794">
        <v>2176.08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1478221.73</v>
      </c>
    </row>
    <row r="176" spans="1:7" ht="12" customHeight="1" x14ac:dyDescent="0.2">
      <c r="A176" s="1443"/>
      <c r="B176" s="1453"/>
      <c r="C176" s="1454"/>
      <c r="D176" s="1455" t="s">
        <v>2014</v>
      </c>
      <c r="E176" s="1456"/>
      <c r="F176" s="1793">
        <f>'PCTC-OEPP 27-28'!F78-F175</f>
        <v>5196485.2699999996</v>
      </c>
    </row>
    <row r="177" spans="1:9" ht="12" customHeight="1" x14ac:dyDescent="0.2">
      <c r="A177" s="1443"/>
      <c r="B177" s="1453"/>
      <c r="C177" s="1454"/>
      <c r="D177" s="1455" t="s">
        <v>1794</v>
      </c>
      <c r="E177" s="1456"/>
      <c r="F177" s="1793">
        <f>'Cap Outlay Deprec 26'!I18</f>
        <v>531508</v>
      </c>
    </row>
    <row r="178" spans="1:9" ht="12" customHeight="1" x14ac:dyDescent="0.2">
      <c r="A178" s="1443"/>
      <c r="B178" s="1453"/>
      <c r="C178" s="1454"/>
      <c r="D178" s="1455" t="s">
        <v>2015</v>
      </c>
      <c r="E178" s="1456"/>
      <c r="F178" s="1793">
        <f>F176+F177</f>
        <v>5727993.2699999996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842.5</v>
      </c>
      <c r="G179" s="763"/>
      <c r="I179" s="701"/>
    </row>
    <row r="180" spans="1:9" ht="12" customHeight="1" thickBot="1" x14ac:dyDescent="0.25">
      <c r="A180" s="1443"/>
      <c r="B180" s="1457"/>
      <c r="C180" s="1454"/>
      <c r="D180" s="1455" t="s">
        <v>2017</v>
      </c>
      <c r="E180" s="1456" t="s">
        <v>1528</v>
      </c>
      <c r="F180" s="1798">
        <f>F178/F179</f>
        <v>6798.8050682492576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5" t="s">
        <v>2074</v>
      </c>
      <c r="B18" s="1908">
        <v>202540300</v>
      </c>
      <c r="C18" s="2036" t="s">
        <v>2075</v>
      </c>
      <c r="D18" s="1886">
        <v>33413.64</v>
      </c>
      <c r="E18" s="1906" t="str">
        <f t="shared" ref="E18:E81" si="0">IF(D18&lt;25000,D18,"25,000")</f>
        <v>25,000</v>
      </c>
      <c r="F18" s="1906">
        <f t="shared" ref="F18:F81" si="1">IF(D18&gt;=25000,(D18-E18),"0")</f>
        <v>8413.64</v>
      </c>
      <c r="G18" s="1887"/>
    </row>
    <row r="19" spans="1:7" x14ac:dyDescent="0.25">
      <c r="A19" s="2037" t="s">
        <v>2092</v>
      </c>
      <c r="B19" s="1908">
        <v>101000600</v>
      </c>
      <c r="C19" s="2036" t="s">
        <v>2076</v>
      </c>
      <c r="D19" s="1886">
        <v>82411</v>
      </c>
      <c r="E19" s="1906" t="str">
        <f t="shared" si="0"/>
        <v>25,000</v>
      </c>
      <c r="F19" s="1906">
        <f t="shared" si="1"/>
        <v>57411</v>
      </c>
    </row>
    <row r="20" spans="1:7" x14ac:dyDescent="0.25">
      <c r="A20" s="2035" t="s">
        <v>2079</v>
      </c>
      <c r="B20" s="1908">
        <v>402550400</v>
      </c>
      <c r="C20" s="2036" t="s">
        <v>2077</v>
      </c>
      <c r="D20" s="1886">
        <v>101617</v>
      </c>
      <c r="E20" s="1906" t="str">
        <f t="shared" si="0"/>
        <v>25,000</v>
      </c>
      <c r="F20" s="1906">
        <f t="shared" si="1"/>
        <v>76617</v>
      </c>
    </row>
    <row r="21" spans="1:7" x14ac:dyDescent="0.25">
      <c r="A21" s="2037" t="s">
        <v>2091</v>
      </c>
      <c r="B21" s="1908">
        <v>102100300</v>
      </c>
      <c r="C21" s="2036" t="s">
        <v>2078</v>
      </c>
      <c r="D21" s="1886">
        <v>71843</v>
      </c>
      <c r="E21" s="1906" t="str">
        <f t="shared" si="0"/>
        <v>25,000</v>
      </c>
      <c r="F21" s="1906">
        <f t="shared" si="1"/>
        <v>46843</v>
      </c>
    </row>
    <row r="22" spans="1:7" x14ac:dyDescent="0.25">
      <c r="A22" s="2035" t="s">
        <v>2080</v>
      </c>
      <c r="B22" s="1908">
        <v>102560400</v>
      </c>
      <c r="C22" s="2036" t="s">
        <v>2081</v>
      </c>
      <c r="D22" s="1886">
        <v>84696</v>
      </c>
      <c r="E22" s="1906" t="str">
        <f t="shared" si="0"/>
        <v>25,000</v>
      </c>
      <c r="F22" s="1906">
        <f t="shared" si="1"/>
        <v>59696</v>
      </c>
    </row>
    <row r="23" spans="1:7" hidden="1" x14ac:dyDescent="0.25">
      <c r="A23" s="2035"/>
      <c r="B23" s="1908"/>
      <c r="C23" s="2036"/>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373980.64</v>
      </c>
      <c r="E142" s="1893">
        <f>SUM(E18:E141)</f>
        <v>0</v>
      </c>
      <c r="F142" s="1894">
        <f>SUM(F18:F141)</f>
        <v>248980.64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142498.93</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38779.760000000002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4036737</v>
      </c>
      <c r="F19" s="1802"/>
      <c r="G19" s="1804">
        <f>'Expenditures 15-22'!K33-SUM('Expenditures 15-22'!G33,'Expenditures 15-22'!I33)+'Expenditures 15-22'!D229</f>
        <v>4036737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267452</v>
      </c>
      <c r="F21" s="1805"/>
      <c r="G21" s="1808">
        <f>'Expenditures 15-22'!K42-SUM('Expenditures 15-22'!G42,'Expenditures 15-22'!I42)+'Expenditures 15-22'!K120-SUM('Expenditures 15-22'!G120,'Expenditures 15-22'!I120)+'Expenditures 15-22'!K180-SUM('Expenditures 15-22'!G180,'Expenditures 15-22'!I180)+'Expenditures 15-22'!D238</f>
        <v>267452</v>
      </c>
      <c r="H21" s="817"/>
      <c r="I21" s="157"/>
    </row>
    <row r="22" spans="1:9" s="542" customFormat="1" ht="12" customHeight="1" x14ac:dyDescent="0.2">
      <c r="A22" s="824" t="s">
        <v>560</v>
      </c>
      <c r="B22" s="825"/>
      <c r="C22" s="823">
        <v>2200</v>
      </c>
      <c r="D22" s="1805"/>
      <c r="E22" s="1807">
        <f>'Expenditures 15-22'!K47-SUM('Expenditures 15-22'!G47,'Expenditures 15-22'!I47)+'Expenditures 15-22'!D243</f>
        <v>144797</v>
      </c>
      <c r="F22" s="1805"/>
      <c r="G22" s="1808">
        <f>'Expenditures 15-22'!K47-SUM('Expenditures 15-22'!G47,'Expenditures 15-22'!I47)+'Expenditures 15-22'!D243</f>
        <v>144797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498606</v>
      </c>
      <c r="F23" s="1805"/>
      <c r="G23" s="1807">
        <f>'Expenditures 15-22'!K53-SUM('Expenditures 15-22'!G53,'Expenditures 15-22'!I53)+'Expenditures 15-22'!D257+'Expenditures 15-22'!K330-SUM('Expenditures 15-22'!G330,'Expenditures 15-22'!I330)</f>
        <v>498606</v>
      </c>
      <c r="H23" s="817"/>
      <c r="I23" s="157"/>
    </row>
    <row r="24" spans="1:9" s="542" customFormat="1" ht="12" customHeight="1" x14ac:dyDescent="0.2">
      <c r="A24" s="824" t="s">
        <v>562</v>
      </c>
      <c r="B24" s="825"/>
      <c r="C24" s="823">
        <v>2400</v>
      </c>
      <c r="D24" s="1805"/>
      <c r="E24" s="1807">
        <f>'Expenditures 15-22'!K57-SUM('Expenditures 15-22'!G57,'Expenditures 15-22'!I57)+'Expenditures 15-22'!D261</f>
        <v>327815</v>
      </c>
      <c r="F24" s="1805"/>
      <c r="G24" s="1808">
        <f>'Expenditures 15-22'!K57-SUM('Expenditures 15-22'!G57,'Expenditures 15-22'!I57)+'Expenditures 15-22'!D261</f>
        <v>327815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79768</v>
      </c>
      <c r="E27" s="1807">
        <f>E8</f>
        <v>0</v>
      </c>
      <c r="F27" s="1807">
        <f>'Expenditures 15-22'!K60-SUM('Expenditures 15-22'!G60,'Expenditures 15-22'!I60)+'Expenditures 15-22'!D264-E8</f>
        <v>79768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517268</v>
      </c>
      <c r="F28" s="1809">
        <f>'Expenditures 15-22'!K61-SUM('Expenditures 15-22'!G61,'Expenditures 15-22'!I61)+'Expenditures 15-22'!K124-SUM('Expenditures 15-22'!G124,'Expenditures 15-22'!I124)+'Expenditures 15-22'!D266-E9</f>
        <v>517268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296747</v>
      </c>
      <c r="F29" s="1805"/>
      <c r="G29" s="1808">
        <f>'Expenditures 15-22'!K62-SUM('Expenditures 15-22'!G62,'Expenditures 15-22'!I62)+'Expenditures 15-22'!K125-SUM('Expenditures 15-22'!G125,'Expenditures 15-22'!I125)+'Expenditures 15-22'!K182-SUM('Expenditures 15-22'!G182,'Expenditures 15-22'!I182)+'Expenditures 15-22'!D267</f>
        <v>296747</v>
      </c>
      <c r="H29" s="815"/>
    </row>
    <row r="30" spans="1:9" ht="12" customHeight="1" x14ac:dyDescent="0.2">
      <c r="A30" s="824" t="s">
        <v>100</v>
      </c>
      <c r="B30" s="827"/>
      <c r="C30" s="823">
        <v>2560</v>
      </c>
      <c r="D30" s="1805"/>
      <c r="E30" s="1807">
        <f>'Expenditures 15-22'!K63-SUM('Expenditures 15-22'!G63,'Expenditures 15-22'!I63)+'Expenditures 15-22'!D268-E10</f>
        <v>170354.07</v>
      </c>
      <c r="F30" s="1805"/>
      <c r="G30" s="1807">
        <f>'Expenditures 15-22'!K63-SUM('Expenditures 15-22'!G63,'Expenditures 15-22'!I63)+'Expenditures 15-22'!D268-E10</f>
        <v>170354.07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4306</v>
      </c>
      <c r="F35" s="1805"/>
      <c r="G35" s="1807">
        <f>'Expenditures 15-22'!K69-SUM('Expenditures 15-22'!G69,'Expenditures 15-22'!I69)+'Expenditures 15-22'!D274</f>
        <v>4306</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104085</v>
      </c>
      <c r="E37" s="1807">
        <f>E14</f>
        <v>0</v>
      </c>
      <c r="F37" s="1807">
        <f>'Expenditures 15-22'!K71-SUM('Expenditures 15-22'!G71,'Expenditures 15-22'!I71)+'Expenditures 15-22'!D276-E14</f>
        <v>104085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-248980.64</v>
      </c>
      <c r="F40" s="1805"/>
      <c r="G40" s="1809">
        <f>-'Contracts Paid in CY 29'!F142</f>
        <v>-248980.64</v>
      </c>
    </row>
    <row r="41" spans="1:7" ht="12" customHeight="1" x14ac:dyDescent="0.2">
      <c r="A41" s="828" t="s">
        <v>155</v>
      </c>
      <c r="B41" s="829"/>
      <c r="C41" s="830"/>
      <c r="D41" s="1809">
        <f>SUM(D19:D39)</f>
        <v>183853</v>
      </c>
      <c r="E41" s="1809">
        <f>SUM(E19:E40)</f>
        <v>6015101.4300000006</v>
      </c>
      <c r="F41" s="1809">
        <f>SUM(F19:F39)</f>
        <v>701121</v>
      </c>
      <c r="G41" s="1809">
        <f>SUM(G19:G40)</f>
        <v>5497833.4300000006</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183853</v>
      </c>
      <c r="F43" s="1458" t="s">
        <v>470</v>
      </c>
      <c r="G43" s="1810">
        <f>F41</f>
        <v>701121</v>
      </c>
    </row>
    <row r="44" spans="1:7" ht="12" customHeight="1" x14ac:dyDescent="0.2">
      <c r="A44" s="817"/>
      <c r="B44" s="157"/>
      <c r="C44" s="831"/>
      <c r="D44" s="1458" t="s">
        <v>471</v>
      </c>
      <c r="E44" s="1810">
        <f>E41</f>
        <v>6015101.4300000006</v>
      </c>
      <c r="F44" s="1458" t="s">
        <v>471</v>
      </c>
      <c r="G44" s="1810">
        <f>G41</f>
        <v>5497833.4300000006</v>
      </c>
    </row>
    <row r="45" spans="1:7" ht="12" customHeight="1" x14ac:dyDescent="0.2">
      <c r="A45" s="817"/>
      <c r="B45" s="157"/>
      <c r="C45" s="157"/>
      <c r="D45" s="1459" t="s">
        <v>999</v>
      </c>
      <c r="E45" s="1811">
        <f>(E43/E44)</f>
        <v>3.0565236869164479E-2</v>
      </c>
      <c r="F45" s="1459" t="s">
        <v>999</v>
      </c>
      <c r="G45" s="1811">
        <f>(G43/G44)</f>
        <v>0.12752678103599802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Germantown Hills SD 69</v>
      </c>
      <c r="D6" s="2416"/>
      <c r="E6" s="2416"/>
      <c r="F6" s="1482"/>
      <c r="G6" s="1507"/>
      <c r="L6" s="1507"/>
      <c r="M6" s="1855"/>
      <c r="N6" s="1855"/>
      <c r="O6" s="1855"/>
    </row>
    <row r="7" spans="1:15" ht="11.25" customHeight="1" thickBot="1" x14ac:dyDescent="0.3">
      <c r="A7" s="1480"/>
      <c r="B7" s="1481"/>
      <c r="C7" s="2417">
        <f>COVER!A13</f>
        <v>53102069002</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Germantown Hills SD 69</v>
      </c>
      <c r="K6" s="2438"/>
      <c r="L6" s="2452"/>
      <c r="M6" s="838"/>
      <c r="N6" s="1998"/>
    </row>
    <row r="7" spans="1:14" x14ac:dyDescent="0.2">
      <c r="A7" s="2453" t="s">
        <v>864</v>
      </c>
      <c r="B7" s="2454"/>
      <c r="C7" s="2454"/>
      <c r="D7" s="2454"/>
      <c r="E7" s="2455"/>
      <c r="F7" s="839"/>
      <c r="G7" s="838"/>
      <c r="H7" s="838"/>
      <c r="I7" s="1924" t="s">
        <v>369</v>
      </c>
      <c r="J7" s="2440">
        <f>COVER!A13</f>
        <v>53102069002</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163319</v>
      </c>
      <c r="F12" s="1942"/>
      <c r="G12" s="1968">
        <f>G68</f>
        <v>36646</v>
      </c>
      <c r="H12" s="1944">
        <f t="shared" ref="H12:H18" si="0">SUM(E12:G12)</f>
        <v>199965</v>
      </c>
      <c r="I12" s="1943">
        <v>172061</v>
      </c>
      <c r="J12" s="1942"/>
      <c r="K12" s="1943">
        <v>47230</v>
      </c>
      <c r="L12" s="1944">
        <f t="shared" ref="L12:L18" si="1">SUM(I12:K12)</f>
        <v>219291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163319</v>
      </c>
      <c r="F19" s="1950">
        <f t="shared" si="2"/>
        <v>0</v>
      </c>
      <c r="G19" s="1950">
        <f t="shared" ref="G19" si="3">SUM(G12:G17)-G18</f>
        <v>36646</v>
      </c>
      <c r="H19" s="1950">
        <f t="shared" si="2"/>
        <v>199965</v>
      </c>
      <c r="I19" s="1950">
        <f t="shared" si="2"/>
        <v>172061</v>
      </c>
      <c r="J19" s="1950">
        <f t="shared" si="2"/>
        <v>0</v>
      </c>
      <c r="K19" s="1950">
        <f t="shared" si="2"/>
        <v>47230</v>
      </c>
      <c r="L19" s="1950">
        <f t="shared" si="2"/>
        <v>219291</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9.6646913209811711E-2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t="s">
        <v>2051</v>
      </c>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Germantown Hills SD 69</v>
      </c>
      <c r="M52" s="2438"/>
      <c r="N52" s="2439"/>
    </row>
    <row r="53" spans="1:14" x14ac:dyDescent="0.2">
      <c r="A53" s="1982"/>
      <c r="B53" s="1983"/>
      <c r="C53" s="1983"/>
      <c r="D53" s="1983"/>
      <c r="E53" s="1983"/>
      <c r="F53" s="1983"/>
      <c r="G53" s="1983"/>
      <c r="H53" s="1983"/>
      <c r="I53" s="1983"/>
      <c r="J53" s="1983"/>
      <c r="K53" s="1924" t="s">
        <v>369</v>
      </c>
      <c r="L53" s="2440">
        <f>J7</f>
        <v>53102069002</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30889</v>
      </c>
      <c r="F58" s="1972"/>
      <c r="G58" s="2031"/>
      <c r="H58" s="2032"/>
      <c r="I58" s="2032"/>
      <c r="J58" s="2032"/>
      <c r="K58" s="2032"/>
      <c r="L58" s="2032"/>
      <c r="M58" s="2032">
        <v>30889</v>
      </c>
      <c r="N58" s="1975">
        <f>IF((SUM(G58:M58))=E58,SUM(G58:M58),"Column N does not agree with Column E")</f>
        <v>30889</v>
      </c>
    </row>
    <row r="59" spans="1:14" ht="24.75" customHeight="1" x14ac:dyDescent="0.2">
      <c r="A59" s="2420" t="s">
        <v>297</v>
      </c>
      <c r="B59" s="2421"/>
      <c r="C59" s="2421"/>
      <c r="D59" s="1967">
        <v>2363</v>
      </c>
      <c r="E59" s="1977">
        <f>'Expenditures 15-22'!K321</f>
        <v>1840</v>
      </c>
      <c r="F59" s="1972"/>
      <c r="G59" s="2031"/>
      <c r="H59" s="2032"/>
      <c r="I59" s="2032"/>
      <c r="J59" s="2032"/>
      <c r="K59" s="2032"/>
      <c r="L59" s="2032"/>
      <c r="M59" s="2032">
        <v>1840</v>
      </c>
      <c r="N59" s="1975">
        <f>IF((SUM(G59:M59))=E59,SUM(G59:M59),"Column N does not agree with Column E")</f>
        <v>1840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181937</v>
      </c>
      <c r="F61" s="1972"/>
      <c r="G61" s="2031">
        <v>36646</v>
      </c>
      <c r="H61" s="2032"/>
      <c r="I61" s="2032"/>
      <c r="J61" s="2032"/>
      <c r="K61" s="2032"/>
      <c r="L61" s="2032"/>
      <c r="M61" s="2032">
        <v>145291</v>
      </c>
      <c r="N61" s="1975">
        <f t="shared" si="4"/>
        <v>181937</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60629</v>
      </c>
      <c r="F66" s="1972"/>
      <c r="G66" s="2031"/>
      <c r="H66" s="2032"/>
      <c r="I66" s="2032"/>
      <c r="J66" s="2032"/>
      <c r="K66" s="2032"/>
      <c r="L66" s="2032"/>
      <c r="M66" s="2032">
        <v>60629</v>
      </c>
      <c r="N66" s="1975">
        <f t="shared" si="4"/>
        <v>60629</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275295</v>
      </c>
      <c r="F68" s="1973"/>
      <c r="G68" s="1974">
        <f t="shared" ref="G68:N68" si="5">SUM(G57:G67)</f>
        <v>36646</v>
      </c>
      <c r="H68" s="1974">
        <f t="shared" si="5"/>
        <v>0</v>
      </c>
      <c r="I68" s="1974">
        <f t="shared" si="5"/>
        <v>0</v>
      </c>
      <c r="J68" s="1974">
        <f t="shared" si="5"/>
        <v>0</v>
      </c>
      <c r="K68" s="1974">
        <f t="shared" si="5"/>
        <v>0</v>
      </c>
      <c r="L68" s="1974">
        <f t="shared" si="5"/>
        <v>0</v>
      </c>
      <c r="M68" s="1974">
        <f t="shared" si="5"/>
        <v>238649</v>
      </c>
      <c r="N68" s="1988">
        <f t="shared" si="5"/>
        <v>275295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2093</v>
      </c>
    </row>
    <row r="6" spans="1:2" x14ac:dyDescent="0.2">
      <c r="A6" s="847">
        <v>2</v>
      </c>
      <c r="B6" s="307" t="s">
        <v>2082</v>
      </c>
    </row>
    <row r="7" spans="1:2" x14ac:dyDescent="0.2">
      <c r="A7" s="847">
        <v>3</v>
      </c>
      <c r="B7" s="307" t="s">
        <v>2083</v>
      </c>
    </row>
    <row r="8" spans="1:2" x14ac:dyDescent="0.2">
      <c r="A8" s="847">
        <v>4</v>
      </c>
      <c r="B8" s="307" t="s">
        <v>2084</v>
      </c>
    </row>
    <row r="9" spans="1:2" x14ac:dyDescent="0.2">
      <c r="A9" s="847">
        <v>5</v>
      </c>
      <c r="B9" s="307" t="s">
        <v>2085</v>
      </c>
    </row>
    <row r="10" spans="1:2" x14ac:dyDescent="0.2">
      <c r="A10" s="847">
        <v>6</v>
      </c>
      <c r="B10" s="307" t="s">
        <v>2086</v>
      </c>
    </row>
    <row r="11" spans="1:2" x14ac:dyDescent="0.2">
      <c r="A11" s="847">
        <v>7</v>
      </c>
      <c r="B11" s="307" t="s">
        <v>2087</v>
      </c>
    </row>
    <row r="12" spans="1:2" x14ac:dyDescent="0.2">
      <c r="A12" s="847">
        <v>8</v>
      </c>
      <c r="B12" s="307" t="s">
        <v>2094</v>
      </c>
    </row>
    <row r="13" spans="1:2" x14ac:dyDescent="0.2">
      <c r="A13" s="847">
        <v>9</v>
      </c>
      <c r="B13" s="307" t="s">
        <v>2088</v>
      </c>
    </row>
    <row r="14" spans="1:2" x14ac:dyDescent="0.2">
      <c r="A14" s="847">
        <v>10</v>
      </c>
      <c r="B14" s="307" t="s">
        <v>2089</v>
      </c>
    </row>
    <row r="15" spans="1:2" x14ac:dyDescent="0.2">
      <c r="A15" s="847">
        <v>11</v>
      </c>
      <c r="B15" s="307" t="s">
        <v>2090</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Germantown Hills SD 69</v>
      </c>
    </row>
    <row r="65" spans="2:2" x14ac:dyDescent="0.2">
      <c r="B65" s="849">
        <f>COVER!A13</f>
        <v>53102069002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5786747</v>
      </c>
      <c r="C8" s="1813">
        <f>'Acct Summary 7-8'!D8</f>
        <v>593984</v>
      </c>
      <c r="D8" s="1813">
        <f>'Acct Summary 7-8'!F8</f>
        <v>390795</v>
      </c>
      <c r="E8" s="1813">
        <f>'Acct Summary 7-8'!I8</f>
        <v>12761</v>
      </c>
      <c r="F8" s="1813">
        <f>SUM(B8:E8)</f>
        <v>6784287</v>
      </c>
    </row>
    <row r="9" spans="1:8" s="858" customFormat="1" ht="14.25" customHeight="1" thickBot="1" x14ac:dyDescent="0.25">
      <c r="A9" s="857" t="s">
        <v>1353</v>
      </c>
      <c r="B9" s="1814">
        <f>'Acct Summary 7-8'!C17</f>
        <v>5954563</v>
      </c>
      <c r="C9" s="1814">
        <f>'Acct Summary 7-8'!D17</f>
        <v>520389</v>
      </c>
      <c r="D9" s="1814">
        <f>'Acct Summary 7-8'!F17</f>
        <v>404233</v>
      </c>
      <c r="E9" s="1813"/>
      <c r="F9" s="1813">
        <f>SUM(B9:E9)</f>
        <v>6879185</v>
      </c>
    </row>
    <row r="10" spans="1:8" s="858" customFormat="1" ht="14.25" thickTop="1" thickBot="1" x14ac:dyDescent="0.25">
      <c r="A10" s="859" t="s">
        <v>1354</v>
      </c>
      <c r="B10" s="1815">
        <f>(B8-B9)</f>
        <v>-167816</v>
      </c>
      <c r="C10" s="1815">
        <f>(C8-C9)</f>
        <v>73595</v>
      </c>
      <c r="D10" s="1815">
        <f>(D8-D9)</f>
        <v>-13438</v>
      </c>
      <c r="E10" s="1814">
        <f>(E8-E9)</f>
        <v>12761</v>
      </c>
      <c r="F10" s="1816">
        <f>SUM(F8-F9)</f>
        <v>-94898</v>
      </c>
    </row>
    <row r="11" spans="1:8" s="858" customFormat="1" ht="14.25" thickTop="1" thickBot="1" x14ac:dyDescent="0.25">
      <c r="A11" s="860" t="s">
        <v>1903</v>
      </c>
      <c r="B11" s="1817">
        <f>'Acct Summary 7-8'!C81</f>
        <v>2948190</v>
      </c>
      <c r="C11" s="1817">
        <f>'Acct Summary 7-8'!D81</f>
        <v>2306894</v>
      </c>
      <c r="D11" s="1817">
        <f>'Acct Summary 7-8'!F81</f>
        <v>487060</v>
      </c>
      <c r="E11" s="1817">
        <f>'Acct Summary 7-8'!I81</f>
        <v>1040609</v>
      </c>
      <c r="F11" s="1818">
        <f>SUM(B11:E11)</f>
        <v>6782753</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53102069002</v>
      </c>
      <c r="E2" s="1542">
        <v>2020</v>
      </c>
      <c r="F2" s="1542">
        <v>1</v>
      </c>
      <c r="G2" s="1899">
        <v>101000300</v>
      </c>
    </row>
    <row r="3" spans="1:7" ht="15" x14ac:dyDescent="0.25">
      <c r="A3" t="s">
        <v>950</v>
      </c>
      <c r="B3" s="135" t="str">
        <f>COVER!A15</f>
        <v>Woodford</v>
      </c>
      <c r="E3" s="1830" t="s">
        <v>1971</v>
      </c>
      <c r="F3" s="1830" t="s">
        <v>1970</v>
      </c>
      <c r="G3" s="1899">
        <v>101000400</v>
      </c>
    </row>
    <row r="4" spans="1:7" ht="15" x14ac:dyDescent="0.25">
      <c r="A4" t="s">
        <v>1000</v>
      </c>
      <c r="B4" s="135" t="str">
        <f>COVER!A17</f>
        <v>Germantown Hills SD 69</v>
      </c>
      <c r="E4" s="1828">
        <v>44119</v>
      </c>
      <c r="F4" s="1829">
        <v>44151</v>
      </c>
      <c r="G4" s="1899">
        <v>101000600</v>
      </c>
    </row>
    <row r="5" spans="1:7" ht="15" x14ac:dyDescent="0.25">
      <c r="A5" t="s">
        <v>699</v>
      </c>
      <c r="B5" s="135" t="str">
        <f>COVER!A38</f>
        <v>Dan Mair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2948190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2948190</v>
      </c>
      <c r="D92" s="2" t="str">
        <f t="shared" si="0"/>
        <v>Error?</v>
      </c>
      <c r="G92" s="1899">
        <v>102640600</v>
      </c>
    </row>
    <row r="93" spans="1:7" ht="15" x14ac:dyDescent="0.25">
      <c r="A93" s="5">
        <v>32</v>
      </c>
      <c r="B93" s="1832">
        <f>'Assets-Liab 5-6'!C41</f>
        <v>2948190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2306894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2306894</v>
      </c>
      <c r="D123" s="2" t="str">
        <f t="shared" si="0"/>
        <v>Error?</v>
      </c>
      <c r="G123" s="1899">
        <v>203000400</v>
      </c>
    </row>
    <row r="124" spans="1:7" ht="15" x14ac:dyDescent="0.25">
      <c r="A124" s="5">
        <v>63</v>
      </c>
      <c r="B124" s="1832">
        <f>'Assets-Liab 5-6'!D41</f>
        <v>2306894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450285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39296</v>
      </c>
      <c r="D140" s="2" t="str">
        <f t="shared" si="1"/>
        <v>Error?</v>
      </c>
    </row>
    <row r="141" spans="1:7" x14ac:dyDescent="0.2">
      <c r="A141" s="5">
        <v>80</v>
      </c>
      <c r="B141" s="1832">
        <f>'Assets-Liab 5-6'!E41</f>
        <v>450285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487060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487060</v>
      </c>
      <c r="D170" s="2" t="str">
        <f t="shared" si="1"/>
        <v>Error?</v>
      </c>
    </row>
    <row r="171" spans="1:4" x14ac:dyDescent="0.2">
      <c r="A171" s="5">
        <v>110</v>
      </c>
      <c r="B171" s="1832">
        <f>'Assets-Liab 5-6'!F41</f>
        <v>487060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77559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77559</v>
      </c>
      <c r="D189" s="2" t="str">
        <f t="shared" si="1"/>
        <v>Error?</v>
      </c>
    </row>
    <row r="190" spans="1:4" x14ac:dyDescent="0.2">
      <c r="A190" s="5">
        <v>129</v>
      </c>
      <c r="B190" s="1832">
        <f>'Assets-Liab 5-6'!G41</f>
        <v>77559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50094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94</v>
      </c>
      <c r="D212" s="2" t="str">
        <f t="shared" si="2"/>
        <v>Error?</v>
      </c>
    </row>
    <row r="213" spans="1:4" x14ac:dyDescent="0.2">
      <c r="A213" s="12">
        <v>152</v>
      </c>
      <c r="B213" s="1832">
        <f>'Assets-Liab 5-6'!H41</f>
        <v>50094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137521</v>
      </c>
      <c r="D273" s="2" t="str">
        <f t="shared" si="3"/>
        <v>Error?</v>
      </c>
    </row>
    <row r="274" spans="1:4" x14ac:dyDescent="0.2">
      <c r="A274" s="5">
        <v>213</v>
      </c>
      <c r="B274" s="1832">
        <f>'Assets-Liab 5-6'!M17</f>
        <v>18194621</v>
      </c>
      <c r="D274" s="2" t="str">
        <f t="shared" si="3"/>
        <v>Error?</v>
      </c>
    </row>
    <row r="275" spans="1:4" x14ac:dyDescent="0.2">
      <c r="A275" s="5">
        <v>214</v>
      </c>
      <c r="B275" s="1832">
        <f>'Assets-Liab 5-6'!M18</f>
        <v>281840</v>
      </c>
      <c r="D275" s="2" t="str">
        <f t="shared" si="3"/>
        <v>Error?</v>
      </c>
    </row>
    <row r="276" spans="1:4" x14ac:dyDescent="0.2">
      <c r="A276" s="5">
        <v>215</v>
      </c>
      <c r="B276" s="1832">
        <f>'Assets-Liab 5-6'!M19</f>
        <v>1550725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20164707</v>
      </c>
      <c r="C279" s="2" t="s">
        <v>569</v>
      </c>
      <c r="D279" s="2" t="str">
        <f t="shared" si="3"/>
        <v>Error?</v>
      </c>
    </row>
    <row r="280" spans="1:4" x14ac:dyDescent="0.2">
      <c r="A280" s="5">
        <v>219</v>
      </c>
      <c r="B280" s="1832">
        <f>'Assets-Liab 5-6'!M40</f>
        <v>20164707</v>
      </c>
      <c r="D280" s="2" t="str">
        <f t="shared" si="3"/>
        <v>Error?</v>
      </c>
    </row>
    <row r="281" spans="1:4" x14ac:dyDescent="0.2">
      <c r="A281" s="5">
        <v>220</v>
      </c>
      <c r="B281" s="1832">
        <f>'Assets-Liab 5-6'!M41</f>
        <v>20164707</v>
      </c>
      <c r="C281" s="2" t="s">
        <v>569</v>
      </c>
      <c r="D281" s="2" t="str">
        <f t="shared" si="3"/>
        <v>Error?</v>
      </c>
    </row>
    <row r="282" spans="1:4" x14ac:dyDescent="0.2">
      <c r="A282" s="5">
        <v>221</v>
      </c>
      <c r="B282" s="1832">
        <f>'Assets-Liab 5-6'!N21</f>
        <v>450285</v>
      </c>
      <c r="D282" s="2" t="str">
        <f t="shared" si="3"/>
        <v>Error?</v>
      </c>
    </row>
    <row r="283" spans="1:4" x14ac:dyDescent="0.2">
      <c r="A283" s="5">
        <v>222</v>
      </c>
      <c r="B283" s="1832">
        <f>'Assets-Liab 5-6'!N22</f>
        <v>4687815</v>
      </c>
      <c r="D283" s="2" t="str">
        <f t="shared" si="3"/>
        <v>Error?</v>
      </c>
    </row>
    <row r="284" spans="1:4" x14ac:dyDescent="0.2">
      <c r="A284" s="5">
        <v>223</v>
      </c>
      <c r="B284" s="1832">
        <f>'Assets-Liab 5-6'!N23</f>
        <v>5138100</v>
      </c>
      <c r="C284" s="2" t="s">
        <v>569</v>
      </c>
      <c r="D284" s="2" t="str">
        <f t="shared" si="3"/>
        <v>Error?</v>
      </c>
    </row>
    <row r="285" spans="1:4" x14ac:dyDescent="0.2">
      <c r="A285" s="5">
        <v>224</v>
      </c>
      <c r="B285" s="1832">
        <f>'Assets-Liab 5-6'!N36</f>
        <v>5138100</v>
      </c>
      <c r="D285" s="2" t="str">
        <f t="shared" si="3"/>
        <v>Error?</v>
      </c>
    </row>
    <row r="286" spans="1:4" x14ac:dyDescent="0.2">
      <c r="A286" s="10">
        <v>225</v>
      </c>
      <c r="B286" s="1832"/>
      <c r="D286" s="2" t="str">
        <f t="shared" si="3"/>
        <v>OK</v>
      </c>
    </row>
    <row r="287" spans="1:4" x14ac:dyDescent="0.2">
      <c r="A287" s="5">
        <v>226</v>
      </c>
      <c r="B287" s="1832">
        <f>'Assets-Liab 5-6'!N37</f>
        <v>5138100</v>
      </c>
      <c r="C287" s="2" t="s">
        <v>569</v>
      </c>
      <c r="D287" s="2" t="str">
        <f t="shared" si="3"/>
        <v>Error?</v>
      </c>
    </row>
    <row r="288" spans="1:4" x14ac:dyDescent="0.2">
      <c r="A288" s="5">
        <v>227</v>
      </c>
      <c r="B288" s="1832">
        <f>'Assets-Liab 5-6'!N41</f>
        <v>5138100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2330359</v>
      </c>
      <c r="D705" s="2" t="str">
        <f t="shared" si="10"/>
        <v>Error?</v>
      </c>
    </row>
    <row r="706" spans="1:4" x14ac:dyDescent="0.2">
      <c r="A706" s="5">
        <v>645</v>
      </c>
      <c r="B706" s="1832">
        <f>'Expenditures 15-22'!C16</f>
        <v>1200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84205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3047658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88031</v>
      </c>
      <c r="D722" s="2" t="str">
        <f t="shared" si="10"/>
        <v>Error?</v>
      </c>
    </row>
    <row r="723" spans="1:4" x14ac:dyDescent="0.2">
      <c r="A723" s="5">
        <v>662</v>
      </c>
      <c r="B723" s="1832">
        <f>'Expenditures 15-22'!C38</f>
        <v>34836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65426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188293</v>
      </c>
      <c r="C727" s="2" t="s">
        <v>569</v>
      </c>
      <c r="D727" s="2" t="str">
        <f t="shared" si="10"/>
        <v>Error?</v>
      </c>
    </row>
    <row r="728" spans="1:4" x14ac:dyDescent="0.2">
      <c r="A728" s="5">
        <v>667</v>
      </c>
      <c r="B728" s="1832">
        <f>'Expenditures 15-22'!C44</f>
        <v>44920</v>
      </c>
      <c r="D728" s="2" t="str">
        <f t="shared" si="10"/>
        <v>Error?</v>
      </c>
    </row>
    <row r="729" spans="1:4" x14ac:dyDescent="0.2">
      <c r="A729" s="5">
        <v>668</v>
      </c>
      <c r="B729" s="1832">
        <f>'Expenditures 15-22'!C45</f>
        <v>67485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112405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133719</v>
      </c>
      <c r="D733" s="2" t="str">
        <f t="shared" si="10"/>
        <v>Error?</v>
      </c>
    </row>
    <row r="734" spans="1:4" x14ac:dyDescent="0.2">
      <c r="A734" s="5">
        <v>673</v>
      </c>
      <c r="B734" s="1832">
        <f>'Expenditures 15-22'!C53</f>
        <v>133719</v>
      </c>
      <c r="C734" s="2" t="s">
        <v>569</v>
      </c>
      <c r="D734" s="2" t="str">
        <f t="shared" si="10"/>
        <v>Error?</v>
      </c>
    </row>
    <row r="735" spans="1:4" x14ac:dyDescent="0.2">
      <c r="A735" s="5">
        <v>674</v>
      </c>
      <c r="B735" s="1832">
        <f>'Expenditures 15-22'!C55</f>
        <v>222527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222527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58206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130820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189026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3803</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75189</v>
      </c>
      <c r="D751" s="2" t="str">
        <f t="shared" si="10"/>
        <v>Error?</v>
      </c>
    </row>
    <row r="752" spans="1:4" x14ac:dyDescent="0.2">
      <c r="A752" s="10">
        <v>691</v>
      </c>
      <c r="B752" s="1832"/>
      <c r="D752" s="2" t="str">
        <f t="shared" si="10"/>
        <v>OK</v>
      </c>
    </row>
    <row r="753" spans="1:4" x14ac:dyDescent="0.2">
      <c r="A753" s="5">
        <v>692</v>
      </c>
      <c r="B753" s="1832">
        <f>'Expenditures 15-22'!C72</f>
        <v>78992</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924962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3972620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503074</v>
      </c>
      <c r="D763" s="2" t="str">
        <f t="shared" si="10"/>
        <v>Error?</v>
      </c>
    </row>
    <row r="764" spans="1:4" x14ac:dyDescent="0.2">
      <c r="A764" s="5">
        <v>703</v>
      </c>
      <c r="B764" s="1832">
        <f>'Expenditures 15-22'!D16</f>
        <v>140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8067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655287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18994</v>
      </c>
      <c r="D780" s="2" t="str">
        <f t="shared" si="11"/>
        <v>Error?</v>
      </c>
    </row>
    <row r="781" spans="1:4" x14ac:dyDescent="0.2">
      <c r="A781" s="5">
        <v>720</v>
      </c>
      <c r="B781" s="1832">
        <f>'Expenditures 15-22'!D38</f>
        <v>83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7838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26915</v>
      </c>
      <c r="C785" s="2" t="s">
        <v>569</v>
      </c>
      <c r="D785" s="2" t="str">
        <f t="shared" si="11"/>
        <v>Error?</v>
      </c>
    </row>
    <row r="786" spans="1:4" x14ac:dyDescent="0.2">
      <c r="A786" s="5">
        <v>725</v>
      </c>
      <c r="B786" s="1832">
        <f>'Expenditures 15-22'!D44</f>
        <v>7420</v>
      </c>
      <c r="D786" s="2" t="str">
        <f t="shared" si="11"/>
        <v>Error?</v>
      </c>
    </row>
    <row r="787" spans="1:4" x14ac:dyDescent="0.2">
      <c r="A787" s="5">
        <v>726</v>
      </c>
      <c r="B787" s="1832">
        <f>'Expenditures 15-22'!D45</f>
        <v>15766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23186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26571</v>
      </c>
      <c r="D791" s="2" t="str">
        <f t="shared" si="11"/>
        <v>Error?</v>
      </c>
    </row>
    <row r="792" spans="1:4" x14ac:dyDescent="0.2">
      <c r="A792" s="5">
        <v>731</v>
      </c>
      <c r="B792" s="1832">
        <f>'Expenditures 15-22'!D53</f>
        <v>26571</v>
      </c>
      <c r="C792" s="2" t="s">
        <v>569</v>
      </c>
      <c r="D792" s="2" t="str">
        <f t="shared" si="11"/>
        <v>Error?</v>
      </c>
    </row>
    <row r="793" spans="1:4" x14ac:dyDescent="0.2">
      <c r="A793" s="5">
        <v>732</v>
      </c>
      <c r="B793" s="1832">
        <f>'Expenditures 15-22'!D55</f>
        <v>55449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55449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4748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12070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16818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448</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15378</v>
      </c>
      <c r="D809" s="2" t="str">
        <f t="shared" si="11"/>
        <v>Error?</v>
      </c>
    </row>
    <row r="810" spans="1:4" x14ac:dyDescent="0.2">
      <c r="A810" s="10">
        <v>749</v>
      </c>
      <c r="B810" s="1832"/>
      <c r="D810" s="2" t="str">
        <f t="shared" si="11"/>
        <v>OK</v>
      </c>
    </row>
    <row r="811" spans="1:4" x14ac:dyDescent="0.2">
      <c r="A811" s="5">
        <v>750</v>
      </c>
      <c r="B811" s="1832">
        <f>'Expenditures 15-22'!D72</f>
        <v>15826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164765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820052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27395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9989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37883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1375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35922</v>
      </c>
      <c r="D842" s="2" t="str">
        <f t="shared" si="12"/>
        <v>Error?</v>
      </c>
    </row>
    <row r="843" spans="1:4" x14ac:dyDescent="0.2">
      <c r="A843" s="5">
        <v>782</v>
      </c>
      <c r="B843" s="1832">
        <f>'Expenditures 15-22'!E42</f>
        <v>37297</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25430</v>
      </c>
      <c r="D848" s="2" t="str">
        <f t="shared" si="12"/>
        <v>Error?</v>
      </c>
    </row>
    <row r="849" spans="1:4" x14ac:dyDescent="0.2">
      <c r="A849" s="5">
        <v>788</v>
      </c>
      <c r="B849" s="1832">
        <f>'Expenditures 15-22'!E50</f>
        <v>1344</v>
      </c>
      <c r="D849" s="2" t="str">
        <f t="shared" si="12"/>
        <v>Error?</v>
      </c>
    </row>
    <row r="850" spans="1:4" x14ac:dyDescent="0.2">
      <c r="A850" s="5">
        <v>789</v>
      </c>
      <c r="B850" s="1832">
        <f>'Expenditures 15-22'!E53</f>
        <v>26774</v>
      </c>
      <c r="C850" s="2" t="s">
        <v>569</v>
      </c>
      <c r="D850" s="2" t="str">
        <f t="shared" si="12"/>
        <v>Error?</v>
      </c>
    </row>
    <row r="851" spans="1:4" x14ac:dyDescent="0.2">
      <c r="A851" s="5">
        <v>790</v>
      </c>
      <c r="B851" s="1832">
        <f>'Expenditures 15-22'!E55</f>
        <v>27153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27153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194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91418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400753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77422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24414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103772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3406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118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3524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4481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4481</v>
      </c>
      <c r="C905" s="2" t="s">
        <v>569</v>
      </c>
      <c r="D905" s="2" t="str">
        <f t="shared" si="13"/>
        <v>Error?</v>
      </c>
    </row>
    <row r="906" spans="1:4" x14ac:dyDescent="0.2">
      <c r="A906" s="5">
        <v>845</v>
      </c>
      <c r="B906" s="1832">
        <f>'Expenditures 15-22'!F49</f>
        <v>950</v>
      </c>
      <c r="D906" s="2" t="str">
        <f t="shared" si="13"/>
        <v>Error?</v>
      </c>
    </row>
    <row r="907" spans="1:4" x14ac:dyDescent="0.2">
      <c r="A907" s="5">
        <v>846</v>
      </c>
      <c r="B907" s="1832">
        <f>'Expenditures 15-22'!F50</f>
        <v>285</v>
      </c>
      <c r="D907" s="2" t="str">
        <f t="shared" si="13"/>
        <v>Error?</v>
      </c>
    </row>
    <row r="908" spans="1:4" x14ac:dyDescent="0.2">
      <c r="A908" s="5">
        <v>847</v>
      </c>
      <c r="B908" s="1832">
        <f>'Expenditures 15-22'!F53</f>
        <v>1235</v>
      </c>
      <c r="C908" s="2" t="s">
        <v>569</v>
      </c>
      <c r="D908" s="2" t="str">
        <f t="shared" si="13"/>
        <v>Error?</v>
      </c>
    </row>
    <row r="909" spans="1:4" x14ac:dyDescent="0.2">
      <c r="A909" s="5">
        <v>848</v>
      </c>
      <c r="B909" s="1832">
        <f>'Expenditures 15-22'!F55</f>
        <v>1645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1645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5954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152722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158676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169561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273333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28326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28326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28326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17601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6631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116647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225</v>
      </c>
      <c r="D1015" s="2" t="str">
        <f t="shared" si="14"/>
        <v>Error?</v>
      </c>
    </row>
    <row r="1016" spans="1:4" x14ac:dyDescent="0.2">
      <c r="A1016" s="5">
        <v>955</v>
      </c>
      <c r="B1016" s="1832">
        <f>'Expenditures 15-22'!H41</f>
        <v>2568</v>
      </c>
      <c r="D1016" s="2" t="str">
        <f t="shared" si="14"/>
        <v>Error?</v>
      </c>
    </row>
    <row r="1017" spans="1:4" x14ac:dyDescent="0.2">
      <c r="A1017" s="5">
        <v>956</v>
      </c>
      <c r="B1017" s="1832">
        <f>'Expenditures 15-22'!H42</f>
        <v>2793</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22915</v>
      </c>
      <c r="D1022" s="2" t="str">
        <f t="shared" si="14"/>
        <v>Error?</v>
      </c>
    </row>
    <row r="1023" spans="1:4" x14ac:dyDescent="0.2">
      <c r="A1023" s="5">
        <v>962</v>
      </c>
      <c r="B1023" s="1832">
        <f>'Expenditures 15-22'!H50</f>
        <v>1400</v>
      </c>
      <c r="D1023" s="2" t="str">
        <f t="shared" ref="D1023:D1086" si="15">IF(ISBLANK(B1023),"OK",IF(A1023-B1023=0,"OK","Error?"))</f>
        <v>Error?</v>
      </c>
    </row>
    <row r="1024" spans="1:4" x14ac:dyDescent="0.2">
      <c r="A1024" s="5">
        <v>963</v>
      </c>
      <c r="B1024" s="1832">
        <f>'Expenditures 15-22'!H53</f>
        <v>24315</v>
      </c>
      <c r="C1024" s="2" t="s">
        <v>569</v>
      </c>
      <c r="D1024" s="2" t="str">
        <f t="shared" si="15"/>
        <v>Error?</v>
      </c>
    </row>
    <row r="1025" spans="1:4" x14ac:dyDescent="0.2">
      <c r="A1025" s="5">
        <v>964</v>
      </c>
      <c r="B1025" s="1832">
        <f>'Expenditures 15-22'!H55</f>
        <v>299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423</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423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27830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315002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459479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2984177</v>
      </c>
      <c r="C1093" s="2" t="s">
        <v>569</v>
      </c>
      <c r="D1093" s="2" t="str">
        <f t="shared" si="16"/>
        <v>Error?</v>
      </c>
    </row>
    <row r="1094" spans="1:4" x14ac:dyDescent="0.2">
      <c r="A1094" s="5">
        <v>1033</v>
      </c>
      <c r="B1094" s="1832">
        <f>'Expenditures 15-22'!K16</f>
        <v>1340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133306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3989573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107025</v>
      </c>
      <c r="C1110" s="2" t="s">
        <v>569</v>
      </c>
      <c r="D1110" s="2" t="str">
        <f t="shared" si="16"/>
        <v>Error?</v>
      </c>
    </row>
    <row r="1111" spans="1:4" x14ac:dyDescent="0.2">
      <c r="A1111" s="5">
        <v>1050</v>
      </c>
      <c r="B1111" s="1832">
        <f>'Expenditures 15-22'!K38</f>
        <v>39700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73607</v>
      </c>
      <c r="C1113" s="2" t="s">
        <v>569</v>
      </c>
      <c r="D1113" s="2" t="str">
        <f t="shared" si="16"/>
        <v>Error?</v>
      </c>
    </row>
    <row r="1114" spans="1:4" x14ac:dyDescent="0.2">
      <c r="A1114" s="5">
        <v>1053</v>
      </c>
      <c r="B1114" s="1832">
        <f>'Expenditures 15-22'!K41</f>
        <v>38490</v>
      </c>
      <c r="C1114" s="2" t="s">
        <v>569</v>
      </c>
      <c r="D1114" s="2" t="str">
        <f t="shared" si="16"/>
        <v>Error?</v>
      </c>
    </row>
    <row r="1115" spans="1:4" x14ac:dyDescent="0.2">
      <c r="A1115" s="5">
        <v>1054</v>
      </c>
      <c r="B1115" s="1832">
        <f>'Expenditures 15-22'!K42</f>
        <v>258822</v>
      </c>
      <c r="C1115" s="2" t="s">
        <v>569</v>
      </c>
      <c r="D1115" s="2" t="str">
        <f t="shared" si="16"/>
        <v>Error?</v>
      </c>
    </row>
    <row r="1116" spans="1:4" x14ac:dyDescent="0.2">
      <c r="A1116" s="5">
        <v>1055</v>
      </c>
      <c r="B1116" s="1832">
        <f>'Expenditures 15-22'!K44</f>
        <v>52340</v>
      </c>
      <c r="C1116" s="2" t="s">
        <v>569</v>
      </c>
      <c r="D1116" s="2" t="str">
        <f t="shared" si="16"/>
        <v>Error?</v>
      </c>
    </row>
    <row r="1117" spans="1:4" x14ac:dyDescent="0.2">
      <c r="A1117" s="5">
        <v>1056</v>
      </c>
      <c r="B1117" s="1832">
        <f>'Expenditures 15-22'!K45</f>
        <v>87732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140072</v>
      </c>
      <c r="C1119" s="2" t="s">
        <v>569</v>
      </c>
      <c r="D1119" s="2" t="str">
        <f t="shared" si="16"/>
        <v>Error?</v>
      </c>
    </row>
    <row r="1120" spans="1:4" x14ac:dyDescent="0.2">
      <c r="A1120" s="5">
        <v>1059</v>
      </c>
      <c r="B1120" s="1832">
        <f>'Expenditures 15-22'!K49</f>
        <v>49295</v>
      </c>
      <c r="C1120" s="2" t="s">
        <v>569</v>
      </c>
      <c r="D1120" s="2" t="str">
        <f t="shared" si="16"/>
        <v>Error?</v>
      </c>
    </row>
    <row r="1121" spans="1:4" x14ac:dyDescent="0.2">
      <c r="A1121" s="5">
        <v>1060</v>
      </c>
      <c r="B1121" s="1832">
        <f>'Expenditures 15-22'!K50</f>
        <v>163319</v>
      </c>
      <c r="C1121" s="2" t="s">
        <v>569</v>
      </c>
      <c r="D1121" s="2" t="str">
        <f t="shared" si="16"/>
        <v>Error?</v>
      </c>
    </row>
    <row r="1122" spans="1:4" x14ac:dyDescent="0.2">
      <c r="A1122" s="5">
        <v>1061</v>
      </c>
      <c r="B1122" s="1832">
        <f>'Expenditures 15-22'!K53</f>
        <v>212614</v>
      </c>
      <c r="C1122" s="2" t="s">
        <v>569</v>
      </c>
      <c r="D1122" s="2" t="str">
        <f t="shared" si="16"/>
        <v>Error?</v>
      </c>
    </row>
    <row r="1123" spans="1:4" x14ac:dyDescent="0.2">
      <c r="A1123" s="5">
        <v>1062</v>
      </c>
      <c r="B1123" s="1832">
        <f>'Expenditures 15-22'!K55</f>
        <v>307073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307073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68908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296229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365137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4251</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90567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94818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1378536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586454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5954563</v>
      </c>
      <c r="C1152" s="2" t="s">
        <v>569</v>
      </c>
      <c r="D1152" s="2" t="str">
        <f t="shared" si="17"/>
        <v>Error?</v>
      </c>
    </row>
    <row r="1153" spans="1:4" x14ac:dyDescent="0.2">
      <c r="A1153" s="5">
        <v>1092</v>
      </c>
      <c r="B1153" s="1832">
        <f>'Expenditures 15-22'!K115</f>
        <v>-167816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194828</v>
      </c>
      <c r="D1221" s="2" t="str">
        <f t="shared" si="18"/>
        <v>Error?</v>
      </c>
    </row>
    <row r="1222" spans="1:4" x14ac:dyDescent="0.2">
      <c r="A1222" s="10">
        <v>1161</v>
      </c>
      <c r="B1222" s="1832"/>
      <c r="D1222" s="2" t="str">
        <f t="shared" si="18"/>
        <v>OK</v>
      </c>
    </row>
    <row r="1223" spans="1:4" x14ac:dyDescent="0.2">
      <c r="A1223" s="5">
        <v>1162</v>
      </c>
      <c r="B1223" s="1832">
        <f>'Expenditures 15-22'!C127</f>
        <v>194828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194828</v>
      </c>
      <c r="C1225" s="2" t="s">
        <v>569</v>
      </c>
      <c r="D1225" s="2" t="str">
        <f t="shared" si="18"/>
        <v>Error?</v>
      </c>
    </row>
    <row r="1226" spans="1:4" x14ac:dyDescent="0.2">
      <c r="A1226" s="5">
        <v>1165</v>
      </c>
      <c r="B1226" s="1832">
        <f>'Expenditures 15-22'!C151</f>
        <v>194828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27697</v>
      </c>
      <c r="D1229" s="2" t="str">
        <f t="shared" si="18"/>
        <v>Error?</v>
      </c>
    </row>
    <row r="1230" spans="1:4" x14ac:dyDescent="0.2">
      <c r="A1230" s="10">
        <v>1169</v>
      </c>
      <c r="B1230" s="1832"/>
      <c r="D1230" s="2" t="str">
        <f t="shared" si="18"/>
        <v>OK</v>
      </c>
    </row>
    <row r="1231" spans="1:4" x14ac:dyDescent="0.2">
      <c r="A1231" s="5">
        <v>1170</v>
      </c>
      <c r="B1231" s="1832">
        <f>'Expenditures 15-22'!D127</f>
        <v>27697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27697</v>
      </c>
      <c r="C1233" s="2" t="s">
        <v>569</v>
      </c>
      <c r="D1233" s="2" t="str">
        <f t="shared" si="18"/>
        <v>Error?</v>
      </c>
    </row>
    <row r="1234" spans="1:4" x14ac:dyDescent="0.2">
      <c r="A1234" s="5">
        <v>1173</v>
      </c>
      <c r="B1234" s="1832">
        <f>'Expenditures 15-22'!D151</f>
        <v>27697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11369</v>
      </c>
      <c r="D1236" s="2" t="str">
        <f t="shared" si="18"/>
        <v>Error?</v>
      </c>
    </row>
    <row r="1237" spans="1:4" x14ac:dyDescent="0.2">
      <c r="A1237" s="5">
        <v>1176</v>
      </c>
      <c r="B1237" s="1832">
        <f>'Expenditures 15-22'!E124</f>
        <v>85801</v>
      </c>
      <c r="D1237" s="2" t="str">
        <f t="shared" si="18"/>
        <v>Error?</v>
      </c>
    </row>
    <row r="1238" spans="1:4" x14ac:dyDescent="0.2">
      <c r="A1238" s="10">
        <v>1177</v>
      </c>
      <c r="B1238" s="1832"/>
      <c r="D1238" s="2" t="str">
        <f t="shared" si="18"/>
        <v>OK</v>
      </c>
    </row>
    <row r="1239" spans="1:4" x14ac:dyDescent="0.2">
      <c r="A1239" s="5">
        <v>1178</v>
      </c>
      <c r="B1239" s="1832">
        <f>'Expenditures 15-22'!E127</f>
        <v>97170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97170</v>
      </c>
      <c r="C1241" s="2" t="s">
        <v>569</v>
      </c>
      <c r="D1241" s="2" t="str">
        <f t="shared" si="18"/>
        <v>Error?</v>
      </c>
    </row>
    <row r="1242" spans="1:4" x14ac:dyDescent="0.2">
      <c r="A1242" s="5">
        <v>1181</v>
      </c>
      <c r="B1242" s="1832">
        <f>'Expenditures 15-22'!E151</f>
        <v>97170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40667</v>
      </c>
      <c r="D1244" s="2" t="str">
        <f t="shared" si="18"/>
        <v>Error?</v>
      </c>
    </row>
    <row r="1245" spans="1:4" x14ac:dyDescent="0.2">
      <c r="A1245" s="5">
        <v>1184</v>
      </c>
      <c r="B1245" s="1832">
        <f>'Expenditures 15-22'!F124</f>
        <v>156877</v>
      </c>
      <c r="D1245" s="2" t="str">
        <f t="shared" si="18"/>
        <v>Error?</v>
      </c>
    </row>
    <row r="1246" spans="1:4" x14ac:dyDescent="0.2">
      <c r="A1246" s="10">
        <v>1185</v>
      </c>
      <c r="B1246" s="1832"/>
      <c r="D1246" s="2" t="str">
        <f t="shared" si="18"/>
        <v>OK</v>
      </c>
    </row>
    <row r="1247" spans="1:4" x14ac:dyDescent="0.2">
      <c r="A1247" s="5">
        <v>1186</v>
      </c>
      <c r="B1247" s="1832">
        <f>'Expenditures 15-22'!F127</f>
        <v>197544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197544</v>
      </c>
      <c r="C1249" s="2" t="s">
        <v>569</v>
      </c>
      <c r="D1249" s="2" t="str">
        <f t="shared" si="18"/>
        <v>Error?</v>
      </c>
    </row>
    <row r="1250" spans="1:4" x14ac:dyDescent="0.2">
      <c r="A1250" s="5">
        <v>1189</v>
      </c>
      <c r="B1250" s="1832">
        <f>'Expenditures 15-22'!F151</f>
        <v>197544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2280</v>
      </c>
      <c r="D1252" s="2" t="str">
        <f t="shared" si="18"/>
        <v>Error?</v>
      </c>
    </row>
    <row r="1253" spans="1:4" x14ac:dyDescent="0.2">
      <c r="A1253" s="5">
        <v>1192</v>
      </c>
      <c r="B1253" s="1832">
        <f>'Expenditures 15-22'!G124</f>
        <v>870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3150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3150</v>
      </c>
      <c r="C1258" s="2" t="s">
        <v>569</v>
      </c>
      <c r="D1258" s="2" t="str">
        <f t="shared" si="18"/>
        <v>Error?</v>
      </c>
    </row>
    <row r="1259" spans="1:4" x14ac:dyDescent="0.2">
      <c r="A1259" s="5">
        <v>1198</v>
      </c>
      <c r="B1259" s="1832">
        <f>'Expenditures 15-22'!G151</f>
        <v>3150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54316</v>
      </c>
      <c r="C1275" s="2" t="s">
        <v>569</v>
      </c>
      <c r="D1275" s="2" t="str">
        <f t="shared" si="18"/>
        <v>Error?</v>
      </c>
    </row>
    <row r="1276" spans="1:4" x14ac:dyDescent="0.2">
      <c r="A1276" s="5">
        <v>1215</v>
      </c>
      <c r="B1276" s="1832">
        <f>'Expenditures 15-22'!K124</f>
        <v>466073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520389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520389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520389</v>
      </c>
      <c r="C1288" s="2" t="s">
        <v>569</v>
      </c>
      <c r="D1288" s="2" t="str">
        <f t="shared" si="19"/>
        <v>Error?</v>
      </c>
    </row>
    <row r="1289" spans="1:4" x14ac:dyDescent="0.2">
      <c r="A1289" s="5">
        <v>1228</v>
      </c>
      <c r="B1289" s="1832">
        <f>'Expenditures 15-22'!K152</f>
        <v>73595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123066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990000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1113066</v>
      </c>
      <c r="C1317" s="2" t="s">
        <v>569</v>
      </c>
      <c r="D1317" s="2" t="str">
        <f t="shared" si="19"/>
        <v>Error?</v>
      </c>
    </row>
    <row r="1318" spans="1:4" x14ac:dyDescent="0.2">
      <c r="A1318" s="5">
        <v>1257</v>
      </c>
      <c r="B1318" s="1832">
        <f>'Expenditures 15-22'!H174</f>
        <v>1113066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123066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990000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1113066</v>
      </c>
      <c r="C1331" s="2" t="s">
        <v>569</v>
      </c>
      <c r="D1331" s="2" t="str">
        <f t="shared" si="19"/>
        <v>Error?</v>
      </c>
    </row>
    <row r="1332" spans="1:4" x14ac:dyDescent="0.2">
      <c r="A1332" s="5">
        <v>1271</v>
      </c>
      <c r="B1332" s="1832">
        <f>'Expenditures 15-22'!K174</f>
        <v>1113066</v>
      </c>
      <c r="C1332" s="2" t="s">
        <v>569</v>
      </c>
      <c r="D1332" s="2" t="str">
        <f t="shared" si="19"/>
        <v>Error?</v>
      </c>
    </row>
    <row r="1333" spans="1:4" x14ac:dyDescent="0.2">
      <c r="A1333" s="5">
        <v>1272</v>
      </c>
      <c r="B1333" s="1832">
        <f>'Expenditures 15-22'!K175</f>
        <v>245533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192578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192578</v>
      </c>
      <c r="C1339" s="2" t="s">
        <v>569</v>
      </c>
      <c r="D1339" s="2" t="str">
        <f t="shared" si="19"/>
        <v>Error?</v>
      </c>
    </row>
    <row r="1340" spans="1:4" x14ac:dyDescent="0.2">
      <c r="A1340" s="5">
        <v>1279</v>
      </c>
      <c r="B1340" s="1832">
        <f>'Expenditures 15-22'!C210</f>
        <v>192578</v>
      </c>
      <c r="C1340" s="2" t="s">
        <v>569</v>
      </c>
      <c r="D1340" s="2" t="str">
        <f t="shared" si="19"/>
        <v>Error?</v>
      </c>
    </row>
    <row r="1341" spans="1:4" x14ac:dyDescent="0.2">
      <c r="A1341" s="5">
        <v>1280</v>
      </c>
      <c r="B1341" s="1832">
        <f>'Expenditures 15-22'!D182</f>
        <v>18076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18076</v>
      </c>
      <c r="C1345" s="2" t="s">
        <v>569</v>
      </c>
      <c r="D1345" s="2" t="str">
        <f t="shared" si="20"/>
        <v>Error?</v>
      </c>
    </row>
    <row r="1346" spans="1:4" x14ac:dyDescent="0.2">
      <c r="A1346" s="5">
        <v>1285</v>
      </c>
      <c r="B1346" s="1832">
        <f>'Expenditures 15-22'!D210</f>
        <v>18076</v>
      </c>
      <c r="C1346" s="2" t="s">
        <v>569</v>
      </c>
      <c r="D1346" s="2" t="str">
        <f t="shared" si="20"/>
        <v>Error?</v>
      </c>
    </row>
    <row r="1347" spans="1:4" x14ac:dyDescent="0.2">
      <c r="A1347" s="5">
        <v>1286</v>
      </c>
      <c r="B1347" s="1832">
        <f>'Expenditures 15-22'!E182</f>
        <v>4927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4927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4927</v>
      </c>
      <c r="C1353" s="2" t="s">
        <v>569</v>
      </c>
      <c r="D1353" s="2" t="str">
        <f t="shared" si="20"/>
        <v>Error?</v>
      </c>
    </row>
    <row r="1354" spans="1:4" x14ac:dyDescent="0.2">
      <c r="A1354" s="5">
        <v>1293</v>
      </c>
      <c r="B1354" s="1832">
        <f>'Expenditures 15-22'!F182</f>
        <v>59910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59910</v>
      </c>
      <c r="C1358" s="2" t="s">
        <v>569</v>
      </c>
      <c r="D1358" s="2" t="str">
        <f t="shared" si="20"/>
        <v>Error?</v>
      </c>
    </row>
    <row r="1359" spans="1:4" x14ac:dyDescent="0.2">
      <c r="A1359" s="5">
        <v>1298</v>
      </c>
      <c r="B1359" s="1832">
        <f>'Expenditures 15-22'!F210</f>
        <v>59910</v>
      </c>
      <c r="C1359" s="2" t="s">
        <v>569</v>
      </c>
      <c r="D1359" s="2" t="str">
        <f t="shared" si="20"/>
        <v>Error?</v>
      </c>
    </row>
    <row r="1360" spans="1:4" x14ac:dyDescent="0.2">
      <c r="A1360" s="5">
        <v>1299</v>
      </c>
      <c r="B1360" s="1832">
        <f>'Expenditures 15-22'!G182</f>
        <v>95200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95200</v>
      </c>
      <c r="C1364" s="2" t="s">
        <v>569</v>
      </c>
      <c r="D1364" s="2" t="str">
        <f t="shared" si="20"/>
        <v>Error?</v>
      </c>
    </row>
    <row r="1365" spans="1:4" x14ac:dyDescent="0.2">
      <c r="A1365" s="5">
        <v>1304</v>
      </c>
      <c r="B1365" s="1832">
        <f>'Expenditures 15-22'!G210</f>
        <v>95200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33542</v>
      </c>
      <c r="C1375" s="2" t="s">
        <v>569</v>
      </c>
      <c r="D1375" s="2" t="str">
        <f t="shared" si="20"/>
        <v>Error?</v>
      </c>
    </row>
    <row r="1376" spans="1:4" x14ac:dyDescent="0.2">
      <c r="A1376" s="5">
        <v>1315</v>
      </c>
      <c r="B1376" s="1832">
        <f>'Expenditures 15-22'!H210</f>
        <v>33542</v>
      </c>
      <c r="C1376" s="2" t="s">
        <v>569</v>
      </c>
      <c r="D1376" s="2" t="str">
        <f t="shared" si="20"/>
        <v>Error?</v>
      </c>
    </row>
    <row r="1377" spans="1:4" x14ac:dyDescent="0.2">
      <c r="A1377" s="5">
        <v>1316</v>
      </c>
      <c r="B1377" s="1832">
        <f>'Expenditures 15-22'!K182</f>
        <v>370691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370691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33542</v>
      </c>
      <c r="C1387" s="2" t="s">
        <v>569</v>
      </c>
      <c r="D1387" s="2" t="str">
        <f t="shared" si="20"/>
        <v>Error?</v>
      </c>
    </row>
    <row r="1388" spans="1:4" x14ac:dyDescent="0.2">
      <c r="A1388" s="5">
        <v>1327</v>
      </c>
      <c r="B1388" s="1832">
        <f>'Expenditures 15-22'!K210</f>
        <v>404233</v>
      </c>
      <c r="C1388" s="2" t="s">
        <v>569</v>
      </c>
      <c r="D1388" s="2" t="str">
        <f t="shared" si="20"/>
        <v>Error?</v>
      </c>
    </row>
    <row r="1389" spans="1:4" x14ac:dyDescent="0.2">
      <c r="A1389" s="5">
        <v>1328</v>
      </c>
      <c r="B1389" s="1832">
        <f>'Expenditures 15-22'!K211</f>
        <v>-13438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17</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3162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75490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1209</v>
      </c>
      <c r="D1412" s="2" t="str">
        <f t="shared" si="21"/>
        <v>Error?</v>
      </c>
    </row>
    <row r="1413" spans="1:4" x14ac:dyDescent="0.2">
      <c r="A1413" s="5">
        <v>1352</v>
      </c>
      <c r="B1413" s="1832">
        <f>'Expenditures 15-22'!D234</f>
        <v>6570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851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8630</v>
      </c>
      <c r="C1417" s="2" t="s">
        <v>569</v>
      </c>
      <c r="D1417" s="2" t="str">
        <f t="shared" si="21"/>
        <v>Error?</v>
      </c>
    </row>
    <row r="1418" spans="1:4" x14ac:dyDescent="0.2">
      <c r="A1418" s="5">
        <v>1357</v>
      </c>
      <c r="B1418" s="1832">
        <f>'Expenditures 15-22'!D240</f>
        <v>651</v>
      </c>
      <c r="D1418" s="2" t="str">
        <f t="shared" si="21"/>
        <v>Error?</v>
      </c>
    </row>
    <row r="1419" spans="1:4" x14ac:dyDescent="0.2">
      <c r="A1419" s="5">
        <v>1358</v>
      </c>
      <c r="B1419" s="1832">
        <f>'Expenditures 15-22'!D241</f>
        <v>4074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4725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10697</v>
      </c>
      <c r="D1423" s="2" t="str">
        <f t="shared" si="21"/>
        <v>Error?</v>
      </c>
    </row>
    <row r="1424" spans="1:4" x14ac:dyDescent="0.2">
      <c r="A1424" s="5">
        <v>1363</v>
      </c>
      <c r="B1424" s="1832">
        <f>'Expenditures 15-22'!D257</f>
        <v>10697</v>
      </c>
      <c r="C1424" s="2" t="s">
        <v>569</v>
      </c>
      <c r="D1424" s="2" t="str">
        <f t="shared" si="21"/>
        <v>Error?</v>
      </c>
    </row>
    <row r="1425" spans="1:4" x14ac:dyDescent="0.2">
      <c r="A1425" s="5">
        <v>1364</v>
      </c>
      <c r="B1425" s="1832">
        <f>'Expenditures 15-22'!D259</f>
        <v>20742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20742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10860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52065</v>
      </c>
      <c r="D1431" s="2" t="str">
        <f t="shared" si="21"/>
        <v>Error?</v>
      </c>
    </row>
    <row r="1432" spans="1:4" x14ac:dyDescent="0.2">
      <c r="A1432" s="5">
        <v>1371</v>
      </c>
      <c r="B1432" s="1832">
        <f>'Expenditures 15-22'!D267</f>
        <v>21256</v>
      </c>
      <c r="D1432" s="2" t="str">
        <f t="shared" si="21"/>
        <v>Error?</v>
      </c>
    </row>
    <row r="1433" spans="1:4" x14ac:dyDescent="0.2">
      <c r="A1433" s="5">
        <v>1372</v>
      </c>
      <c r="B1433" s="1832">
        <f>'Expenditures 15-22'!D268</f>
        <v>16624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100805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55</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13518</v>
      </c>
      <c r="D1442" s="2" t="str">
        <f t="shared" si="21"/>
        <v>Error?</v>
      </c>
    </row>
    <row r="1443" spans="1:4" x14ac:dyDescent="0.2">
      <c r="A1443" s="10">
        <v>1382</v>
      </c>
      <c r="B1443" s="1832"/>
      <c r="D1443" s="2" t="str">
        <f t="shared" si="21"/>
        <v>OK</v>
      </c>
    </row>
    <row r="1444" spans="1:4" x14ac:dyDescent="0.2">
      <c r="A1444" s="5">
        <v>1383</v>
      </c>
      <c r="B1444" s="1832">
        <f>'Expenditures 15-22'!D277</f>
        <v>13573</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159172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234662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17</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3162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75490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1209</v>
      </c>
      <c r="C1476" s="2" t="s">
        <v>569</v>
      </c>
      <c r="D1476" s="2" t="str">
        <f t="shared" si="22"/>
        <v>Error?</v>
      </c>
    </row>
    <row r="1477" spans="1:4" x14ac:dyDescent="0.2">
      <c r="A1477" s="5">
        <v>1416</v>
      </c>
      <c r="B1477" s="1832">
        <f>'Expenditures 15-22'!K234</f>
        <v>6570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851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8630</v>
      </c>
      <c r="C1481" s="2" t="s">
        <v>569</v>
      </c>
      <c r="D1481" s="2" t="str">
        <f t="shared" si="22"/>
        <v>Error?</v>
      </c>
    </row>
    <row r="1482" spans="1:4" x14ac:dyDescent="0.2">
      <c r="A1482" s="5">
        <v>1421</v>
      </c>
      <c r="B1482" s="1832">
        <f>'Expenditures 15-22'!K240</f>
        <v>651</v>
      </c>
      <c r="C1482" s="2" t="s">
        <v>569</v>
      </c>
      <c r="D1482" s="2" t="str">
        <f t="shared" si="22"/>
        <v>Error?</v>
      </c>
    </row>
    <row r="1483" spans="1:4" x14ac:dyDescent="0.2">
      <c r="A1483" s="5">
        <v>1422</v>
      </c>
      <c r="B1483" s="1832">
        <f>'Expenditures 15-22'!K241</f>
        <v>4074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4725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10697</v>
      </c>
      <c r="C1487" s="2" t="s">
        <v>569</v>
      </c>
      <c r="D1487" s="2" t="str">
        <f t="shared" si="22"/>
        <v>Error?</v>
      </c>
    </row>
    <row r="1488" spans="1:4" x14ac:dyDescent="0.2">
      <c r="A1488" s="5">
        <v>1427</v>
      </c>
      <c r="B1488" s="1832">
        <f>'Expenditures 15-22'!K257</f>
        <v>10697</v>
      </c>
      <c r="C1488" s="2" t="s">
        <v>569</v>
      </c>
      <c r="D1488" s="2" t="str">
        <f t="shared" si="22"/>
        <v>Error?</v>
      </c>
    </row>
    <row r="1489" spans="1:4" x14ac:dyDescent="0.2">
      <c r="A1489" s="5">
        <v>1428</v>
      </c>
      <c r="B1489" s="1832">
        <f>'Expenditures 15-22'!K259</f>
        <v>20742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20742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10860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52065</v>
      </c>
      <c r="C1495" s="2" t="s">
        <v>569</v>
      </c>
      <c r="D1495" s="2" t="str">
        <f t="shared" si="22"/>
        <v>Error?</v>
      </c>
    </row>
    <row r="1496" spans="1:4" x14ac:dyDescent="0.2">
      <c r="A1496" s="5">
        <v>1435</v>
      </c>
      <c r="B1496" s="1832">
        <f>'Expenditures 15-22'!K267</f>
        <v>21256</v>
      </c>
      <c r="C1496" s="2" t="s">
        <v>569</v>
      </c>
      <c r="D1496" s="2" t="str">
        <f t="shared" si="22"/>
        <v>Error?</v>
      </c>
    </row>
    <row r="1497" spans="1:4" x14ac:dyDescent="0.2">
      <c r="A1497" s="5">
        <v>1436</v>
      </c>
      <c r="B1497" s="1832">
        <f>'Expenditures 15-22'!K268</f>
        <v>16624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100805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55</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13518</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13573</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159172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234662</v>
      </c>
      <c r="C1517" s="2" t="s">
        <v>569</v>
      </c>
      <c r="D1517" s="2" t="str">
        <f t="shared" si="22"/>
        <v>Error?</v>
      </c>
    </row>
    <row r="1518" spans="1:4" x14ac:dyDescent="0.2">
      <c r="A1518" s="5">
        <v>1457</v>
      </c>
      <c r="B1518" s="1832">
        <f>'Expenditures 15-22'!K296</f>
        <v>-56848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145000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145000</v>
      </c>
      <c r="C1547" s="2" t="s">
        <v>569</v>
      </c>
      <c r="D1547" s="2" t="str">
        <f t="shared" si="23"/>
        <v>Error?</v>
      </c>
    </row>
    <row r="1548" spans="1:4" x14ac:dyDescent="0.2">
      <c r="A1548" s="5">
        <v>1487</v>
      </c>
      <c r="B1548" s="1832">
        <f>'Expenditures 15-22'!G312</f>
        <v>145000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145000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145000</v>
      </c>
      <c r="C1559" s="2" t="s">
        <v>569</v>
      </c>
      <c r="D1559" s="2" t="str">
        <f t="shared" si="23"/>
        <v>Error?</v>
      </c>
    </row>
    <row r="1560" spans="1:4" x14ac:dyDescent="0.2">
      <c r="A1560" s="5">
        <v>1499</v>
      </c>
      <c r="B1560" s="1832">
        <f>'Expenditures 15-22'!K312</f>
        <v>145000</v>
      </c>
      <c r="C1560" s="2" t="s">
        <v>569</v>
      </c>
      <c r="D1560" s="2" t="str">
        <f t="shared" si="23"/>
        <v>Error?</v>
      </c>
    </row>
    <row r="1561" spans="1:4" x14ac:dyDescent="0.2">
      <c r="A1561" s="5">
        <v>1500</v>
      </c>
      <c r="B1561" s="1832">
        <f>'Expenditures 15-22'!K313</f>
        <v>-94906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3116006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2948190</v>
      </c>
      <c r="C1630" s="2" t="s">
        <v>569</v>
      </c>
      <c r="D1630" s="2" t="str">
        <f t="shared" si="24"/>
        <v>Error?</v>
      </c>
    </row>
    <row r="1631" spans="1:4" x14ac:dyDescent="0.2">
      <c r="A1631" s="5">
        <v>1570</v>
      </c>
      <c r="B1631" s="1832">
        <f>'Acct Summary 7-8'!D79</f>
        <v>2378299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2306894</v>
      </c>
      <c r="C1644" s="2" t="s">
        <v>569</v>
      </c>
      <c r="D1644" s="2" t="str">
        <f t="shared" si="24"/>
        <v>Error?</v>
      </c>
    </row>
    <row r="1645" spans="1:4" x14ac:dyDescent="0.2">
      <c r="A1645" s="5">
        <v>1584</v>
      </c>
      <c r="B1645" s="1832">
        <f>'Acct Summary 7-8'!E79</f>
        <v>204752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450285</v>
      </c>
      <c r="C1658" s="2" t="s">
        <v>569</v>
      </c>
      <c r="D1658" s="2" t="str">
        <f t="shared" si="24"/>
        <v>Error?</v>
      </c>
    </row>
    <row r="1659" spans="1:4" x14ac:dyDescent="0.2">
      <c r="A1659" s="5">
        <v>1598</v>
      </c>
      <c r="B1659" s="1832">
        <f>'Acct Summary 7-8'!F79</f>
        <v>500498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487060</v>
      </c>
      <c r="C1672" s="2" t="s">
        <v>569</v>
      </c>
      <c r="D1672" s="2" t="str">
        <f t="shared" si="25"/>
        <v>Error?</v>
      </c>
    </row>
    <row r="1673" spans="1:4" x14ac:dyDescent="0.2">
      <c r="A1673" s="5">
        <v>1612</v>
      </c>
      <c r="B1673" s="1832">
        <f>'Acct Summary 7-8'!G79</f>
        <v>134407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77559</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50094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2812315</v>
      </c>
      <c r="C1744" s="2" t="s">
        <v>569</v>
      </c>
      <c r="D1744" s="2" t="str">
        <f t="shared" si="26"/>
        <v>Error?</v>
      </c>
    </row>
    <row r="1745" spans="1:5" x14ac:dyDescent="0.2">
      <c r="A1745" s="5">
        <v>1684</v>
      </c>
      <c r="B1745" s="1832">
        <f>'Tax Sched 23'!B5</f>
        <v>498576</v>
      </c>
      <c r="C1745" s="2" t="s">
        <v>569</v>
      </c>
      <c r="D1745" s="2" t="str">
        <f t="shared" si="26"/>
        <v>Error?</v>
      </c>
    </row>
    <row r="1746" spans="1:5" x14ac:dyDescent="0.2">
      <c r="A1746" s="5">
        <v>1685</v>
      </c>
      <c r="B1746" s="1832">
        <f>'Tax Sched 23'!B6</f>
        <v>1110294</v>
      </c>
      <c r="C1746" s="2" t="s">
        <v>569</v>
      </c>
      <c r="D1746" s="2" t="str">
        <f t="shared" si="26"/>
        <v>Error?</v>
      </c>
    </row>
    <row r="1747" spans="1:5" x14ac:dyDescent="0.2">
      <c r="A1747" s="5">
        <v>1686</v>
      </c>
      <c r="B1747" s="1832">
        <f>'Tax Sched 23'!B7</f>
        <v>195073</v>
      </c>
      <c r="C1747" s="2" t="s">
        <v>569</v>
      </c>
      <c r="D1747" s="2" t="str">
        <f t="shared" si="26"/>
        <v>Error?</v>
      </c>
    </row>
    <row r="1748" spans="1:5" x14ac:dyDescent="0.2">
      <c r="A1748" s="5">
        <v>1687</v>
      </c>
      <c r="B1748" s="1832">
        <f>'Tax Sched 23'!B8</f>
        <v>129719</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304150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32513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5139705</v>
      </c>
      <c r="C1759" s="2" t="s">
        <v>569</v>
      </c>
      <c r="D1759" s="2" t="str">
        <f t="shared" si="26"/>
        <v>Error?</v>
      </c>
    </row>
    <row r="1760" spans="1:5" x14ac:dyDescent="0.2">
      <c r="A1760" s="5">
        <v>1699</v>
      </c>
      <c r="B1760" s="1832">
        <f>'Tax Sched 23'!D4</f>
        <v>2812315</v>
      </c>
      <c r="C1760" s="2" t="s">
        <v>569</v>
      </c>
      <c r="D1760" s="2" t="str">
        <f t="shared" si="26"/>
        <v>Error?</v>
      </c>
    </row>
    <row r="1761" spans="1:7" x14ac:dyDescent="0.2">
      <c r="A1761" s="5">
        <v>1700</v>
      </c>
      <c r="B1761" s="1832">
        <f>'Tax Sched 23'!D5</f>
        <v>498576</v>
      </c>
      <c r="C1761" s="2" t="s">
        <v>569</v>
      </c>
      <c r="D1761" s="2" t="str">
        <f t="shared" si="26"/>
        <v>Error?</v>
      </c>
    </row>
    <row r="1762" spans="1:7" s="8" customFormat="1" x14ac:dyDescent="0.2">
      <c r="A1762" s="5">
        <v>1701</v>
      </c>
      <c r="B1762" s="1832">
        <f>'Tax Sched 23'!D6</f>
        <v>1110294</v>
      </c>
      <c r="C1762" s="2" t="s">
        <v>569</v>
      </c>
      <c r="D1762" s="2" t="str">
        <f t="shared" si="26"/>
        <v>Error?</v>
      </c>
      <c r="E1762" s="9"/>
      <c r="G1762"/>
    </row>
    <row r="1763" spans="1:7" x14ac:dyDescent="0.2">
      <c r="A1763" s="5">
        <v>1702</v>
      </c>
      <c r="B1763" s="1832">
        <f>'Tax Sched 23'!D7</f>
        <v>195073</v>
      </c>
      <c r="C1763" s="2" t="s">
        <v>569</v>
      </c>
      <c r="D1763" s="2" t="str">
        <f t="shared" si="26"/>
        <v>Error?</v>
      </c>
    </row>
    <row r="1764" spans="1:7" x14ac:dyDescent="0.2">
      <c r="A1764" s="5">
        <v>1703</v>
      </c>
      <c r="B1764" s="1832">
        <f>'Tax Sched 23'!D8</f>
        <v>129719</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304150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32513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5139705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2744844</v>
      </c>
      <c r="C1792" s="2" t="s">
        <v>569</v>
      </c>
      <c r="D1792" s="2" t="str">
        <f t="shared" si="27"/>
        <v>Error?</v>
      </c>
    </row>
    <row r="1793" spans="1:4" x14ac:dyDescent="0.2">
      <c r="A1793" s="5">
        <v>1732</v>
      </c>
      <c r="B1793" s="1832">
        <f>'Tax Sched 23'!F5</f>
        <v>500101</v>
      </c>
      <c r="C1793" s="2" t="s">
        <v>569</v>
      </c>
      <c r="D1793" s="2" t="str">
        <f t="shared" si="27"/>
        <v>Error?</v>
      </c>
    </row>
    <row r="1794" spans="1:4" x14ac:dyDescent="0.2">
      <c r="A1794" s="5">
        <v>1733</v>
      </c>
      <c r="B1794" s="1832">
        <f>'Tax Sched 23'!F6</f>
        <v>926266</v>
      </c>
      <c r="C1794" s="2" t="s">
        <v>569</v>
      </c>
      <c r="D1794" s="2" t="str">
        <f t="shared" si="27"/>
        <v>Error?</v>
      </c>
    </row>
    <row r="1795" spans="1:4" x14ac:dyDescent="0.2">
      <c r="A1795" s="5">
        <v>1734</v>
      </c>
      <c r="B1795" s="1832">
        <f>'Tax Sched 23'!F7</f>
        <v>190394</v>
      </c>
      <c r="C1795" s="2" t="s">
        <v>569</v>
      </c>
      <c r="D1795" s="2" t="str">
        <f t="shared" si="27"/>
        <v>Error?</v>
      </c>
    </row>
    <row r="1796" spans="1:4" x14ac:dyDescent="0.2">
      <c r="A1796" s="5">
        <v>1735</v>
      </c>
      <c r="B1796" s="1832">
        <f>'Tax Sched 23'!F8</f>
        <v>50137</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335093</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31732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5004977</v>
      </c>
      <c r="C1807" s="2" t="s">
        <v>569</v>
      </c>
      <c r="D1807" s="2" t="str">
        <f t="shared" si="27"/>
        <v>Error?</v>
      </c>
    </row>
    <row r="1808" spans="1:4" x14ac:dyDescent="0.2">
      <c r="A1808" s="5">
        <v>1747</v>
      </c>
      <c r="B1808" s="1832">
        <f>'Tax Sched 23'!E4</f>
        <v>2744844</v>
      </c>
      <c r="D1808" s="2" t="str">
        <f t="shared" si="27"/>
        <v>Error?</v>
      </c>
    </row>
    <row r="1809" spans="1:4" x14ac:dyDescent="0.2">
      <c r="A1809" s="5">
        <v>1748</v>
      </c>
      <c r="B1809" s="1832">
        <f>'Tax Sched 23'!E5</f>
        <v>500101</v>
      </c>
      <c r="D1809" s="2" t="str">
        <f t="shared" si="27"/>
        <v>Error?</v>
      </c>
    </row>
    <row r="1810" spans="1:4" x14ac:dyDescent="0.2">
      <c r="A1810" s="5">
        <v>1749</v>
      </c>
      <c r="B1810" s="1832">
        <f>'Tax Sched 23'!E6</f>
        <v>926266</v>
      </c>
      <c r="D1810" s="2" t="str">
        <f t="shared" si="27"/>
        <v>Error?</v>
      </c>
    </row>
    <row r="1811" spans="1:4" x14ac:dyDescent="0.2">
      <c r="A1811" s="5">
        <v>1750</v>
      </c>
      <c r="B1811" s="1832">
        <f>'Tax Sched 23'!E7</f>
        <v>190394</v>
      </c>
      <c r="D1811" s="2" t="str">
        <f t="shared" si="27"/>
        <v>Error?</v>
      </c>
    </row>
    <row r="1812" spans="1:4" x14ac:dyDescent="0.2">
      <c r="A1812" s="5">
        <v>1751</v>
      </c>
      <c r="B1812" s="1832">
        <f>'Tax Sched 23'!E8</f>
        <v>50137</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335093</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31732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5004977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6119696</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32513</v>
      </c>
      <c r="D1972" s="2" t="str">
        <f t="shared" si="29"/>
        <v>Error?</v>
      </c>
    </row>
    <row r="1973" spans="1:5" x14ac:dyDescent="0.2">
      <c r="A1973" s="5">
        <v>1912</v>
      </c>
      <c r="B1973" s="1832">
        <f>'Rest Tax Levies-Tort Im 25'!H6</f>
        <v>22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32535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32535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137521</v>
      </c>
      <c r="D2008" s="2" t="str">
        <f t="shared" si="30"/>
        <v>Error?</v>
      </c>
    </row>
    <row r="2009" spans="1:4" x14ac:dyDescent="0.2">
      <c r="A2009" s="5">
        <v>1948</v>
      </c>
      <c r="B2009" s="1832">
        <f>'Cap Outlay Deprec 26'!C8</f>
        <v>18194621</v>
      </c>
      <c r="D2009" s="2" t="str">
        <f t="shared" si="30"/>
        <v>Error?</v>
      </c>
    </row>
    <row r="2010" spans="1:4" x14ac:dyDescent="0.2">
      <c r="A2010" s="5">
        <v>1949</v>
      </c>
      <c r="B2010" s="1832">
        <f>'Cap Outlay Deprec 26'!C10</f>
        <v>134560</v>
      </c>
      <c r="D2010" s="2" t="str">
        <f t="shared" si="30"/>
        <v>Error?</v>
      </c>
    </row>
    <row r="2011" spans="1:4" x14ac:dyDescent="0.2">
      <c r="A2011" s="5">
        <v>1950</v>
      </c>
      <c r="B2011" s="1832">
        <f>'Cap Outlay Deprec 26'!C12</f>
        <v>748826</v>
      </c>
      <c r="D2011" s="2" t="str">
        <f t="shared" si="30"/>
        <v>Error?</v>
      </c>
    </row>
    <row r="2012" spans="1:4" x14ac:dyDescent="0.2">
      <c r="A2012" s="5">
        <v>1951</v>
      </c>
      <c r="B2012" s="1832">
        <f>'Cap Outlay Deprec 26'!C13</f>
        <v>688104</v>
      </c>
      <c r="D2012" s="2" t="str">
        <f t="shared" si="30"/>
        <v>Error?</v>
      </c>
    </row>
    <row r="2013" spans="1:4" x14ac:dyDescent="0.2">
      <c r="A2013" s="5">
        <v>1952</v>
      </c>
      <c r="B2013" s="1832">
        <f>'Cap Outlay Deprec 26'!C16</f>
        <v>19903632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147280</v>
      </c>
      <c r="D2016" s="2" t="str">
        <f t="shared" si="30"/>
        <v>Error?</v>
      </c>
    </row>
    <row r="2017" spans="1:4" x14ac:dyDescent="0.2">
      <c r="A2017" s="5">
        <v>1956</v>
      </c>
      <c r="B2017" s="1832">
        <f>'Cap Outlay Deprec 26'!D12</f>
        <v>29196</v>
      </c>
      <c r="D2017" s="2" t="str">
        <f t="shared" si="30"/>
        <v>Error?</v>
      </c>
    </row>
    <row r="2018" spans="1:4" x14ac:dyDescent="0.2">
      <c r="A2018" s="5">
        <v>1957</v>
      </c>
      <c r="B2018" s="1832">
        <f>'Cap Outlay Deprec 26'!D13</f>
        <v>95200</v>
      </c>
      <c r="D2018" s="2" t="str">
        <f t="shared" si="30"/>
        <v>Error?</v>
      </c>
    </row>
    <row r="2019" spans="1:4" x14ac:dyDescent="0.2">
      <c r="A2019" s="5">
        <v>1958</v>
      </c>
      <c r="B2019" s="1832">
        <f>'Cap Outlay Deprec 26'!D16</f>
        <v>271676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10601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10601</v>
      </c>
      <c r="C2025" s="2" t="s">
        <v>569</v>
      </c>
      <c r="D2025" s="2" t="str">
        <f t="shared" si="30"/>
        <v>Error?</v>
      </c>
    </row>
    <row r="2026" spans="1:4" x14ac:dyDescent="0.2">
      <c r="A2026" s="5">
        <v>1965</v>
      </c>
      <c r="B2026" s="1832">
        <f>'Cap Outlay Deprec 26'!F5</f>
        <v>137521</v>
      </c>
      <c r="C2026" s="2" t="s">
        <v>569</v>
      </c>
      <c r="D2026" s="2" t="str">
        <f t="shared" si="30"/>
        <v>Error?</v>
      </c>
    </row>
    <row r="2027" spans="1:4" x14ac:dyDescent="0.2">
      <c r="A2027" s="5">
        <v>1966</v>
      </c>
      <c r="B2027" s="1832">
        <f>'Cap Outlay Deprec 26'!F8</f>
        <v>18194621</v>
      </c>
      <c r="C2027" s="2" t="s">
        <v>569</v>
      </c>
      <c r="D2027" s="2" t="str">
        <f t="shared" si="30"/>
        <v>Error?</v>
      </c>
    </row>
    <row r="2028" spans="1:4" x14ac:dyDescent="0.2">
      <c r="A2028" s="5">
        <v>1967</v>
      </c>
      <c r="B2028" s="1832">
        <f>'Cap Outlay Deprec 26'!F10</f>
        <v>281840</v>
      </c>
      <c r="C2028" s="2" t="s">
        <v>569</v>
      </c>
      <c r="D2028" s="2" t="str">
        <f t="shared" si="30"/>
        <v>Error?</v>
      </c>
    </row>
    <row r="2029" spans="1:4" x14ac:dyDescent="0.2">
      <c r="A2029" s="5">
        <v>1968</v>
      </c>
      <c r="B2029" s="1832">
        <f>'Cap Outlay Deprec 26'!F12</f>
        <v>767421</v>
      </c>
      <c r="C2029" s="2" t="s">
        <v>569</v>
      </c>
      <c r="D2029" s="2" t="str">
        <f t="shared" si="30"/>
        <v>Error?</v>
      </c>
    </row>
    <row r="2030" spans="1:4" x14ac:dyDescent="0.2">
      <c r="A2030" s="5">
        <v>1969</v>
      </c>
      <c r="B2030" s="1832">
        <f>'Cap Outlay Deprec 26'!F13</f>
        <v>783304</v>
      </c>
      <c r="C2030" s="2" t="s">
        <v>569</v>
      </c>
      <c r="D2030" s="2" t="str">
        <f t="shared" si="30"/>
        <v>Error?</v>
      </c>
    </row>
    <row r="2031" spans="1:4" x14ac:dyDescent="0.2">
      <c r="A2031" s="5">
        <v>1970</v>
      </c>
      <c r="B2031" s="1832">
        <f>'Cap Outlay Deprec 26'!F16</f>
        <v>20164707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5049669</v>
      </c>
      <c r="D2033" s="2" t="str">
        <f t="shared" si="30"/>
        <v>Error?</v>
      </c>
    </row>
    <row r="2034" spans="1:4" x14ac:dyDescent="0.2">
      <c r="A2034" s="5">
        <v>1973</v>
      </c>
      <c r="B2034" s="1832">
        <f>'Cap Outlay Deprec 26'!H10</f>
        <v>38513</v>
      </c>
      <c r="D2034" s="2" t="str">
        <f t="shared" si="30"/>
        <v>Error?</v>
      </c>
    </row>
    <row r="2035" spans="1:4" x14ac:dyDescent="0.2">
      <c r="A2035" s="5">
        <v>1974</v>
      </c>
      <c r="B2035" s="1832">
        <f>'Cap Outlay Deprec 26'!H12</f>
        <v>222475</v>
      </c>
      <c r="D2035" s="2" t="str">
        <f t="shared" si="30"/>
        <v>Error?</v>
      </c>
    </row>
    <row r="2036" spans="1:4" x14ac:dyDescent="0.2">
      <c r="A2036" s="5">
        <v>1975</v>
      </c>
      <c r="B2036" s="1832">
        <f>'Cap Outlay Deprec 26'!H13</f>
        <v>517246</v>
      </c>
      <c r="D2036" s="2" t="str">
        <f t="shared" si="30"/>
        <v>Error?</v>
      </c>
    </row>
    <row r="2037" spans="1:4" x14ac:dyDescent="0.2">
      <c r="A2037" s="5">
        <v>1976</v>
      </c>
      <c r="B2037" s="1832">
        <f>'Cap Outlay Deprec 26'!H16</f>
        <v>5827903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357383</v>
      </c>
      <c r="D2039" s="2" t="str">
        <f t="shared" si="30"/>
        <v>Error?</v>
      </c>
    </row>
    <row r="2040" spans="1:4" x14ac:dyDescent="0.2">
      <c r="A2040" s="5">
        <v>1979</v>
      </c>
      <c r="B2040" s="1832">
        <f>'Cap Outlay Deprec 26'!I10</f>
        <v>13797</v>
      </c>
      <c r="D2040" s="2" t="str">
        <f t="shared" si="30"/>
        <v>Error?</v>
      </c>
    </row>
    <row r="2041" spans="1:4" x14ac:dyDescent="0.2">
      <c r="A2041" s="5">
        <v>1980</v>
      </c>
      <c r="B2041" s="1832">
        <f>'Cap Outlay Deprec 26'!I12</f>
        <v>72170</v>
      </c>
      <c r="D2041" s="2" t="str">
        <f t="shared" si="30"/>
        <v>Error?</v>
      </c>
    </row>
    <row r="2042" spans="1:4" x14ac:dyDescent="0.2">
      <c r="A2042" s="5">
        <v>1981</v>
      </c>
      <c r="B2042" s="1832">
        <f>'Cap Outlay Deprec 26'!I13</f>
        <v>88158</v>
      </c>
      <c r="D2042" s="2" t="str">
        <f t="shared" si="30"/>
        <v>Error?</v>
      </c>
    </row>
    <row r="2043" spans="1:4" x14ac:dyDescent="0.2">
      <c r="A2043" s="5">
        <v>1982</v>
      </c>
      <c r="B2043" s="1832">
        <f>'Cap Outlay Deprec 26'!I16</f>
        <v>531508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10601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10601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5407052</v>
      </c>
      <c r="C2051" s="2" t="s">
        <v>569</v>
      </c>
      <c r="D2051" s="2" t="str">
        <f t="shared" si="31"/>
        <v>Error?</v>
      </c>
    </row>
    <row r="2052" spans="1:4" x14ac:dyDescent="0.2">
      <c r="A2052" s="5">
        <v>1991</v>
      </c>
      <c r="B2052" s="1832">
        <f>'Cap Outlay Deprec 26'!K10</f>
        <v>52310</v>
      </c>
      <c r="C2052" s="2" t="s">
        <v>569</v>
      </c>
      <c r="D2052" s="2" t="str">
        <f t="shared" si="31"/>
        <v>Error?</v>
      </c>
    </row>
    <row r="2053" spans="1:4" x14ac:dyDescent="0.2">
      <c r="A2053" s="5">
        <v>1992</v>
      </c>
      <c r="B2053" s="1832">
        <f>'Cap Outlay Deprec 26'!K12</f>
        <v>284044</v>
      </c>
      <c r="C2053" s="2" t="s">
        <v>569</v>
      </c>
      <c r="D2053" s="2" t="str">
        <f t="shared" si="31"/>
        <v>Error?</v>
      </c>
    </row>
    <row r="2054" spans="1:4" x14ac:dyDescent="0.2">
      <c r="A2054" s="5">
        <v>1993</v>
      </c>
      <c r="B2054" s="1832">
        <f>'Cap Outlay Deprec 26'!K13</f>
        <v>605404</v>
      </c>
      <c r="C2054" s="2" t="s">
        <v>569</v>
      </c>
      <c r="D2054" s="2" t="str">
        <f t="shared" si="31"/>
        <v>Error?</v>
      </c>
    </row>
    <row r="2055" spans="1:4" x14ac:dyDescent="0.2">
      <c r="A2055" s="5">
        <v>1994</v>
      </c>
      <c r="B2055" s="1832">
        <f>'Cap Outlay Deprec 26'!K16</f>
        <v>6348810</v>
      </c>
      <c r="C2055" s="2" t="s">
        <v>569</v>
      </c>
      <c r="D2055" s="2" t="str">
        <f t="shared" si="31"/>
        <v>Error?</v>
      </c>
    </row>
    <row r="2056" spans="1:4" x14ac:dyDescent="0.2">
      <c r="A2056" s="5">
        <v>1995</v>
      </c>
      <c r="B2056" s="1832">
        <f>'Cap Outlay Deprec 26'!L5</f>
        <v>137521</v>
      </c>
      <c r="C2056" s="2" t="s">
        <v>569</v>
      </c>
      <c r="D2056" s="2" t="str">
        <f t="shared" si="31"/>
        <v>Error?</v>
      </c>
    </row>
    <row r="2057" spans="1:4" x14ac:dyDescent="0.2">
      <c r="A2057" s="5">
        <v>1996</v>
      </c>
      <c r="B2057" s="1832">
        <f>'Cap Outlay Deprec 26'!L8</f>
        <v>12787569</v>
      </c>
      <c r="C2057" s="2" t="s">
        <v>569</v>
      </c>
      <c r="D2057" s="2" t="str">
        <f t="shared" si="31"/>
        <v>Error?</v>
      </c>
    </row>
    <row r="2058" spans="1:4" x14ac:dyDescent="0.2">
      <c r="A2058" s="5">
        <v>1997</v>
      </c>
      <c r="B2058" s="1832">
        <f>'Cap Outlay Deprec 26'!L10</f>
        <v>229530</v>
      </c>
      <c r="C2058" s="2" t="s">
        <v>569</v>
      </c>
      <c r="D2058" s="2" t="str">
        <f t="shared" si="31"/>
        <v>Error?</v>
      </c>
    </row>
    <row r="2059" spans="1:4" x14ac:dyDescent="0.2">
      <c r="A2059" s="5">
        <v>1998</v>
      </c>
      <c r="B2059" s="1832">
        <f>'Cap Outlay Deprec 26'!L12</f>
        <v>483377</v>
      </c>
      <c r="C2059" s="2" t="s">
        <v>569</v>
      </c>
      <c r="D2059" s="2" t="str">
        <f t="shared" si="31"/>
        <v>Error?</v>
      </c>
    </row>
    <row r="2060" spans="1:4" x14ac:dyDescent="0.2">
      <c r="A2060" s="5">
        <v>1999</v>
      </c>
      <c r="B2060" s="1832">
        <f>'Cap Outlay Deprec 26'!L13</f>
        <v>177900</v>
      </c>
      <c r="C2060" s="2" t="s">
        <v>569</v>
      </c>
      <c r="D2060" s="2" t="str">
        <f t="shared" si="31"/>
        <v>Error?</v>
      </c>
    </row>
    <row r="2061" spans="1:4" x14ac:dyDescent="0.2">
      <c r="A2061" s="5">
        <v>2000</v>
      </c>
      <c r="B2061" s="1832">
        <f>'Cap Outlay Deprec 26'!L16</f>
        <v>13815897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271452</v>
      </c>
      <c r="C2088" s="2" t="s">
        <v>569</v>
      </c>
      <c r="D2088" s="2" t="str">
        <f t="shared" si="31"/>
        <v>Error?</v>
      </c>
    </row>
    <row r="2089" spans="1:4" x14ac:dyDescent="0.2">
      <c r="A2089" s="5">
        <v>2028</v>
      </c>
      <c r="B2089" s="1832">
        <f>'Expenditures 15-22'!K92</f>
        <v>315002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410989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3347250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2068506</v>
      </c>
      <c r="C2553" s="2" t="s">
        <v>569</v>
      </c>
      <c r="D2553" s="2" t="str">
        <f t="shared" si="38"/>
        <v>Error?</v>
      </c>
    </row>
    <row r="2554" spans="1:4" x14ac:dyDescent="0.2">
      <c r="A2554" s="5">
        <v>2493</v>
      </c>
      <c r="B2554" s="1832">
        <f>'Acct Summary 7-8'!C7</f>
        <v>370991</v>
      </c>
      <c r="C2554" s="2" t="s">
        <v>569</v>
      </c>
      <c r="D2554" s="2" t="str">
        <f t="shared" si="38"/>
        <v>Error?</v>
      </c>
    </row>
    <row r="2555" spans="1:4" x14ac:dyDescent="0.2">
      <c r="A2555" s="5">
        <v>2494</v>
      </c>
      <c r="B2555" s="1832">
        <f>'Acct Summary 7-8'!C8</f>
        <v>5786747</v>
      </c>
      <c r="C2555" s="2" t="s">
        <v>569</v>
      </c>
      <c r="D2555" s="2" t="str">
        <f t="shared" si="38"/>
        <v>Error?</v>
      </c>
    </row>
    <row r="2556" spans="1:4" x14ac:dyDescent="0.2">
      <c r="A2556" s="5">
        <v>2495</v>
      </c>
      <c r="B2556" s="1832">
        <f>'Acct Summary 7-8'!C12</f>
        <v>3989573</v>
      </c>
      <c r="C2556" s="2" t="s">
        <v>569</v>
      </c>
      <c r="D2556" s="2" t="str">
        <f t="shared" si="38"/>
        <v>Error?</v>
      </c>
    </row>
    <row r="2557" spans="1:4" x14ac:dyDescent="0.2">
      <c r="A2557" s="5">
        <v>2496</v>
      </c>
      <c r="B2557" s="1832">
        <f>'Acct Summary 7-8'!C13</f>
        <v>1378536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586454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5954563</v>
      </c>
      <c r="C2561" s="2" t="s">
        <v>569</v>
      </c>
      <c r="D2561" s="2" t="str">
        <f t="shared" si="39"/>
        <v>Error?</v>
      </c>
    </row>
    <row r="2562" spans="1:4" x14ac:dyDescent="0.2">
      <c r="A2562" s="5">
        <v>2501</v>
      </c>
      <c r="B2562" s="1832">
        <f>'Acct Summary 7-8'!C20</f>
        <v>-167816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593984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593984</v>
      </c>
      <c r="C2568" s="2" t="s">
        <v>569</v>
      </c>
      <c r="D2568" s="2" t="str">
        <f t="shared" si="39"/>
        <v>Error?</v>
      </c>
    </row>
    <row r="2569" spans="1:4" x14ac:dyDescent="0.2">
      <c r="A2569" s="5">
        <v>2508</v>
      </c>
      <c r="B2569" s="1832">
        <f>'Acct Summary 7-8'!D13</f>
        <v>520389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520389</v>
      </c>
      <c r="C2573" s="2" t="s">
        <v>569</v>
      </c>
      <c r="D2573" s="2" t="str">
        <f t="shared" si="39"/>
        <v>Error?</v>
      </c>
    </row>
    <row r="2574" spans="1:4" x14ac:dyDescent="0.2">
      <c r="A2574" s="5">
        <v>2513</v>
      </c>
      <c r="B2574" s="1832">
        <f>'Acct Summary 7-8'!D20</f>
        <v>73595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202648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188147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390795</v>
      </c>
      <c r="C2595" s="2" t="s">
        <v>569</v>
      </c>
      <c r="D2595" s="2" t="str">
        <f t="shared" si="39"/>
        <v>Error?</v>
      </c>
    </row>
    <row r="2596" spans="1:4" x14ac:dyDescent="0.2">
      <c r="A2596" s="5">
        <v>2535</v>
      </c>
      <c r="B2596" s="1832">
        <f>'Acct Summary 7-8'!F13</f>
        <v>370691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33542</v>
      </c>
      <c r="C2599" s="2" t="s">
        <v>569</v>
      </c>
      <c r="D2599" s="2" t="str">
        <f t="shared" si="39"/>
        <v>Error?</v>
      </c>
    </row>
    <row r="2600" spans="1:4" x14ac:dyDescent="0.2">
      <c r="A2600" s="5">
        <v>2539</v>
      </c>
      <c r="B2600" s="1832">
        <f>'Acct Summary 7-8'!F17</f>
        <v>404233</v>
      </c>
      <c r="C2600" s="2" t="s">
        <v>569</v>
      </c>
      <c r="D2600" s="2" t="str">
        <f t="shared" si="39"/>
        <v>Error?</v>
      </c>
    </row>
    <row r="2601" spans="1:4" x14ac:dyDescent="0.2">
      <c r="A2601" s="5">
        <v>2540</v>
      </c>
      <c r="B2601" s="1832">
        <f>'Acct Summary 7-8'!F20</f>
        <v>-13438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177814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177814</v>
      </c>
      <c r="C2606" s="2" t="s">
        <v>569</v>
      </c>
      <c r="D2606" s="2" t="str">
        <f t="shared" si="39"/>
        <v>Error?</v>
      </c>
    </row>
    <row r="2607" spans="1:4" x14ac:dyDescent="0.2">
      <c r="A2607" s="5">
        <v>2546</v>
      </c>
      <c r="B2607" s="1832">
        <f>'Acct Summary 7-8'!G12</f>
        <v>75490</v>
      </c>
      <c r="C2607" s="2" t="s">
        <v>569</v>
      </c>
      <c r="D2607" s="2" t="str">
        <f t="shared" si="39"/>
        <v>Error?</v>
      </c>
    </row>
    <row r="2608" spans="1:4" x14ac:dyDescent="0.2">
      <c r="A2608" s="5">
        <v>2547</v>
      </c>
      <c r="B2608" s="1832">
        <f>'Acct Summary 7-8'!G13</f>
        <v>159172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234662</v>
      </c>
      <c r="C2612" s="2" t="s">
        <v>569</v>
      </c>
      <c r="D2612" s="2" t="str">
        <f t="shared" si="39"/>
        <v>Error?</v>
      </c>
    </row>
    <row r="2613" spans="1:4" x14ac:dyDescent="0.2">
      <c r="A2613" s="5">
        <v>2552</v>
      </c>
      <c r="B2613" s="1832">
        <f>'Acct Summary 7-8'!G20</f>
        <v>-56848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1358599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1358599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1113066</v>
      </c>
      <c r="C2634" s="2" t="s">
        <v>569</v>
      </c>
      <c r="D2634" s="2" t="str">
        <f t="shared" si="40"/>
        <v>Error?</v>
      </c>
    </row>
    <row r="2635" spans="1:4" x14ac:dyDescent="0.2">
      <c r="A2635" s="5">
        <v>2574</v>
      </c>
      <c r="B2635" s="1832">
        <f>'Acct Summary 7-8'!E17</f>
        <v>1113066</v>
      </c>
      <c r="C2635" s="2" t="s">
        <v>569</v>
      </c>
      <c r="D2635" s="2" t="str">
        <f t="shared" si="40"/>
        <v>Error?</v>
      </c>
    </row>
    <row r="2636" spans="1:4" x14ac:dyDescent="0.2">
      <c r="A2636" s="5">
        <v>2575</v>
      </c>
      <c r="B2636" s="1832">
        <f>'Acct Summary 7-8'!E20</f>
        <v>245533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50094</v>
      </c>
      <c r="C2658" s="2" t="s">
        <v>569</v>
      </c>
      <c r="D2658" s="2" t="str">
        <f t="shared" si="40"/>
        <v>Error?</v>
      </c>
    </row>
    <row r="2659" spans="1:4" x14ac:dyDescent="0.2">
      <c r="A2659" s="5">
        <v>2598</v>
      </c>
      <c r="B2659" s="1832">
        <f>'Acct Summary 7-8'!H13</f>
        <v>145000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145000</v>
      </c>
      <c r="C2661" s="2" t="s">
        <v>569</v>
      </c>
      <c r="D2661" s="2" t="str">
        <f t="shared" si="40"/>
        <v>Error?</v>
      </c>
    </row>
    <row r="2662" spans="1:4" x14ac:dyDescent="0.2">
      <c r="A2662" s="5">
        <v>2601</v>
      </c>
      <c r="B2662" s="1832">
        <f>'Acct Summary 7-8'!H20</f>
        <v>-94906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271452</v>
      </c>
      <c r="C2789" s="2" t="s">
        <v>569</v>
      </c>
      <c r="D2789" s="2" t="str">
        <f t="shared" si="42"/>
        <v>Error?</v>
      </c>
    </row>
    <row r="2790" spans="1:4" x14ac:dyDescent="0.2">
      <c r="A2790" s="5">
        <v>2729</v>
      </c>
      <c r="B2790" s="1832">
        <f>'Expenditures 15-22'!E102</f>
        <v>271452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1040609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90963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1040609</v>
      </c>
      <c r="D2912" s="2" t="str">
        <f t="shared" si="44"/>
        <v>Error?</v>
      </c>
    </row>
    <row r="2913" spans="1:4" x14ac:dyDescent="0.2">
      <c r="A2913" s="5">
        <v>2852</v>
      </c>
      <c r="B2913" s="1832">
        <f>'Assets-Liab 5-6'!I41</f>
        <v>1040609</v>
      </c>
      <c r="C2913" s="2" t="s">
        <v>569</v>
      </c>
      <c r="D2913" s="2" t="str">
        <f t="shared" si="44"/>
        <v>Error?</v>
      </c>
    </row>
    <row r="2914" spans="1:4" x14ac:dyDescent="0.2">
      <c r="A2914" s="5">
        <v>2853</v>
      </c>
      <c r="B2914" s="1832">
        <f>'Assets-Liab 5-6'!L33</f>
        <v>80993</v>
      </c>
      <c r="D2914" s="2" t="str">
        <f t="shared" si="44"/>
        <v>Error?</v>
      </c>
    </row>
    <row r="2915" spans="1:4" x14ac:dyDescent="0.2">
      <c r="A2915" s="10">
        <v>2854</v>
      </c>
      <c r="B2915" s="1832"/>
      <c r="D2915" s="2" t="str">
        <f t="shared" si="44"/>
        <v>OK</v>
      </c>
    </row>
    <row r="2916" spans="1:4" x14ac:dyDescent="0.2">
      <c r="A2916" s="5">
        <v>2855</v>
      </c>
      <c r="B2916" s="1832">
        <f>'Assets-Liab 5-6'!L34</f>
        <v>80993</v>
      </c>
      <c r="C2916" s="2" t="s">
        <v>569</v>
      </c>
      <c r="D2916" s="2" t="str">
        <f t="shared" si="44"/>
        <v>Error?</v>
      </c>
    </row>
    <row r="2917" spans="1:4" x14ac:dyDescent="0.2">
      <c r="A2917" s="5">
        <v>2856</v>
      </c>
      <c r="B2917" s="1832">
        <f>'Assets-Liab 5-6'!L41</f>
        <v>90963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8814</v>
      </c>
      <c r="D2949" s="2" t="str">
        <f t="shared" si="45"/>
        <v>Error?</v>
      </c>
    </row>
    <row r="2950" spans="1:4" x14ac:dyDescent="0.2">
      <c r="A2950" s="5">
        <v>2889</v>
      </c>
      <c r="B2950" s="1832">
        <f>'Expenditures 15-22'!E79</f>
        <v>262638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8814</v>
      </c>
      <c r="C2973" s="2" t="s">
        <v>569</v>
      </c>
      <c r="D2973" s="2" t="str">
        <f t="shared" si="45"/>
        <v>Error?</v>
      </c>
    </row>
    <row r="2974" spans="1:4" x14ac:dyDescent="0.2">
      <c r="A2974" s="5">
        <v>2913</v>
      </c>
      <c r="B2974" s="1832">
        <f>'Expenditures 15-22'!K79</f>
        <v>262638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47727</v>
      </c>
      <c r="D3055" s="2" t="str">
        <f t="shared" si="46"/>
        <v>Error?</v>
      </c>
    </row>
    <row r="3056" spans="1:4" x14ac:dyDescent="0.2">
      <c r="A3056" s="5">
        <v>2995</v>
      </c>
      <c r="B3056" s="1832">
        <f>'Expenditures 15-22'!D10</f>
        <v>18685</v>
      </c>
      <c r="D3056" s="2" t="str">
        <f t="shared" si="46"/>
        <v>Error?</v>
      </c>
    </row>
    <row r="3057" spans="1:4" x14ac:dyDescent="0.2">
      <c r="A3057" s="5">
        <v>2996</v>
      </c>
      <c r="B3057" s="1832">
        <f>'Expenditures 15-22'!E10</f>
        <v>499</v>
      </c>
      <c r="D3057" s="2" t="str">
        <f t="shared" si="46"/>
        <v>Error?</v>
      </c>
    </row>
    <row r="3058" spans="1:4" x14ac:dyDescent="0.2">
      <c r="A3058" s="5">
        <v>2997</v>
      </c>
      <c r="B3058" s="1832">
        <f>'Expenditures 15-22'!F10</f>
        <v>929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67840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557</v>
      </c>
      <c r="D3064" s="2" t="str">
        <f t="shared" si="46"/>
        <v>Error?</v>
      </c>
    </row>
    <row r="3065" spans="1:4" x14ac:dyDescent="0.2">
      <c r="A3065" s="5">
        <v>3004</v>
      </c>
      <c r="B3065" s="1832">
        <f>'Expenditures 15-22'!K219</f>
        <v>557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9970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12761</v>
      </c>
      <c r="C3225" s="2" t="s">
        <v>569</v>
      </c>
      <c r="D3225" s="2" t="str">
        <f t="shared" si="49"/>
        <v>Error?</v>
      </c>
    </row>
    <row r="3226" spans="1:4" x14ac:dyDescent="0.2">
      <c r="A3226" s="5">
        <v>3165</v>
      </c>
      <c r="B3226" s="1832">
        <f>'Acct Summary 7-8'!I8</f>
        <v>12761</v>
      </c>
      <c r="C3226" s="2" t="s">
        <v>569</v>
      </c>
      <c r="D3226" s="2" t="str">
        <f t="shared" si="49"/>
        <v>Error?</v>
      </c>
    </row>
    <row r="3227" spans="1:4" x14ac:dyDescent="0.2">
      <c r="A3227" s="5">
        <v>3166</v>
      </c>
      <c r="B3227" s="1832">
        <f>'Acct Summary 7-8'!I20</f>
        <v>12761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-167816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145000</v>
      </c>
      <c r="C3237" s="2" t="s">
        <v>569</v>
      </c>
      <c r="D3237" s="2" t="str">
        <f t="shared" si="49"/>
        <v>Error?</v>
      </c>
    </row>
    <row r="3238" spans="1:4" x14ac:dyDescent="0.2">
      <c r="A3238" s="5">
        <v>3177</v>
      </c>
      <c r="B3238" s="1832">
        <f>'Acct Summary 7-8'!D77</f>
        <v>-145000</v>
      </c>
      <c r="C3238" s="2" t="s">
        <v>569</v>
      </c>
      <c r="D3238" s="2" t="str">
        <f t="shared" si="49"/>
        <v>Error?</v>
      </c>
    </row>
    <row r="3239" spans="1:4" x14ac:dyDescent="0.2">
      <c r="A3239" s="5">
        <v>3178</v>
      </c>
      <c r="B3239" s="1832">
        <f>'Acct Summary 7-8'!D78</f>
        <v>-71405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-13438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-56848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245533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145000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145000</v>
      </c>
      <c r="C3299" s="2" t="s">
        <v>569</v>
      </c>
      <c r="D3299" s="2" t="str">
        <f t="shared" si="50"/>
        <v>Error?</v>
      </c>
    </row>
    <row r="3300" spans="1:4" x14ac:dyDescent="0.2">
      <c r="A3300" s="5">
        <v>3239</v>
      </c>
      <c r="B3300" s="1832">
        <f>'Acct Summary 7-8'!H78</f>
        <v>50094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12761</v>
      </c>
      <c r="C3320" s="2" t="s">
        <v>569</v>
      </c>
      <c r="D3320" s="2" t="str">
        <f t="shared" si="50"/>
        <v>Error?</v>
      </c>
    </row>
    <row r="3321" spans="1:4" x14ac:dyDescent="0.2">
      <c r="A3321" s="5">
        <v>3260</v>
      </c>
      <c r="B3321" s="1832">
        <f>'Acct Summary 7-8'!I79</f>
        <v>1027848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1040609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584167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125321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1007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710495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36919</v>
      </c>
      <c r="D3387" s="2" t="str">
        <f t="shared" si="51"/>
        <v>Error?</v>
      </c>
    </row>
    <row r="3388" spans="1:4" x14ac:dyDescent="0.2">
      <c r="A3388" s="5">
        <v>3327</v>
      </c>
      <c r="B3388" s="1832">
        <f>'Expenditures 15-22'!D217</f>
        <v>34835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36919</v>
      </c>
      <c r="C3390" s="2" t="s">
        <v>569</v>
      </c>
      <c r="D3390" s="2" t="str">
        <f t="shared" si="51"/>
        <v>Error?</v>
      </c>
    </row>
    <row r="3391" spans="1:4" x14ac:dyDescent="0.2">
      <c r="A3391" s="5">
        <v>3330</v>
      </c>
      <c r="B3391" s="1832">
        <f>'Expenditures 15-22'!K217</f>
        <v>34835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2948190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2306894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450285</v>
      </c>
      <c r="D3417" s="2" t="str">
        <f t="shared" si="52"/>
        <v>Error?</v>
      </c>
    </row>
    <row r="3418" spans="1:4" x14ac:dyDescent="0.2">
      <c r="A3418" s="10">
        <v>3357</v>
      </c>
      <c r="B3418" s="1832"/>
      <c r="D3418" s="2" t="str">
        <f t="shared" si="52"/>
        <v>OK</v>
      </c>
    </row>
    <row r="3419" spans="1:4" x14ac:dyDescent="0.2">
      <c r="A3419" s="5">
        <v>3358</v>
      </c>
      <c r="B3419" s="1832">
        <f>'Assets-Liab 5-6'!F4</f>
        <v>487060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77559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50094</v>
      </c>
      <c r="D3425" s="2" t="str">
        <f t="shared" si="52"/>
        <v>Error?</v>
      </c>
    </row>
    <row r="3426" spans="1:4" x14ac:dyDescent="0.2">
      <c r="A3426" s="10">
        <v>3365</v>
      </c>
      <c r="B3426" s="1832"/>
      <c r="D3426" s="2" t="str">
        <f t="shared" si="52"/>
        <v>OK</v>
      </c>
    </row>
    <row r="3427" spans="1:4" x14ac:dyDescent="0.2">
      <c r="A3427" s="5">
        <v>3366</v>
      </c>
      <c r="B3427" s="1832">
        <f>'Assets-Liab 5-6'!I4</f>
        <v>1040609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90963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39996</v>
      </c>
      <c r="C3446" s="2" t="s">
        <v>569</v>
      </c>
      <c r="D3446" s="2" t="str">
        <f t="shared" si="52"/>
        <v>Error?</v>
      </c>
    </row>
    <row r="3447" spans="1:4" x14ac:dyDescent="0.2">
      <c r="A3447" s="5">
        <v>3386</v>
      </c>
      <c r="B3447" s="1832">
        <f>'Tax Sched 23'!D16</f>
        <v>39996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184999</v>
      </c>
      <c r="C3449" s="2" t="s">
        <v>569</v>
      </c>
      <c r="D3449" s="2" t="str">
        <f t="shared" si="52"/>
        <v>Error?</v>
      </c>
    </row>
    <row r="3450" spans="1:4" x14ac:dyDescent="0.2">
      <c r="A3450" s="5">
        <v>3389</v>
      </c>
      <c r="B3450" s="1832">
        <f>'Tax Sched 23'!E16</f>
        <v>184999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16419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16419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16419</v>
      </c>
      <c r="D3567" s="2" t="str">
        <f t="shared" si="54"/>
        <v>Error?</v>
      </c>
    </row>
    <row r="3568" spans="1:4" x14ac:dyDescent="0.2">
      <c r="A3568" s="5">
        <v>3507</v>
      </c>
      <c r="B3568" s="1832">
        <f>'Assets-Liab 5-6'!K41</f>
        <v>16419</v>
      </c>
      <c r="C3568" s="2" t="s">
        <v>569</v>
      </c>
      <c r="D3568" s="2" t="str">
        <f t="shared" si="54"/>
        <v>Error?</v>
      </c>
    </row>
    <row r="3569" spans="1:4" x14ac:dyDescent="0.2">
      <c r="A3569" s="5">
        <v>3508</v>
      </c>
      <c r="B3569" s="1832">
        <f>'Acct Summary 7-8'!K4</f>
        <v>201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201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201</v>
      </c>
      <c r="C3588" s="2" t="s">
        <v>569</v>
      </c>
      <c r="D3588" s="2" t="str">
        <f t="shared" si="55"/>
        <v>Error?</v>
      </c>
    </row>
    <row r="3589" spans="1:4" x14ac:dyDescent="0.2">
      <c r="A3589" s="5">
        <v>3528</v>
      </c>
      <c r="B3589" s="1832">
        <f>'Acct Summary 7-8'!K79</f>
        <v>16218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16419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17069</v>
      </c>
      <c r="C3725" s="2" t="s">
        <v>569</v>
      </c>
      <c r="D3725" s="2" t="str">
        <f t="shared" si="57"/>
        <v>Error?</v>
      </c>
    </row>
    <row r="3726" spans="1:4" x14ac:dyDescent="0.2">
      <c r="A3726" s="5">
        <v>3665</v>
      </c>
      <c r="B3726" s="1832">
        <f>'Tax Sched 23'!D13</f>
        <v>17069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41411</v>
      </c>
      <c r="C3728" s="2" t="s">
        <v>569</v>
      </c>
      <c r="D3728" s="2" t="str">
        <f t="shared" si="57"/>
        <v>Error?</v>
      </c>
    </row>
    <row r="3729" spans="1:4" x14ac:dyDescent="0.2">
      <c r="A3729" s="5">
        <v>3668</v>
      </c>
      <c r="B3729" s="1832">
        <f>'Tax Sched 23'!E13</f>
        <v>41411</v>
      </c>
      <c r="D3729" s="2" t="str">
        <f t="shared" si="57"/>
        <v>Error?</v>
      </c>
    </row>
    <row r="3730" spans="1:4" x14ac:dyDescent="0.2">
      <c r="A3730" s="5">
        <v>3669</v>
      </c>
      <c r="B3730" s="1832">
        <f>'ICR Computation 30'!E10</f>
        <v>142498.93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2983607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8770354</v>
      </c>
      <c r="C4122" s="2" t="s">
        <v>569</v>
      </c>
      <c r="D4122" s="2" t="str">
        <f t="shared" si="63"/>
        <v>Error?</v>
      </c>
    </row>
    <row r="4123" spans="1:4" x14ac:dyDescent="0.2">
      <c r="A4123" s="5">
        <v>4062</v>
      </c>
      <c r="B4123" s="1832">
        <f>'Acct Summary 7-8'!D10</f>
        <v>593984</v>
      </c>
      <c r="C4123" s="2" t="s">
        <v>569</v>
      </c>
      <c r="D4123" s="2" t="str">
        <f t="shared" si="63"/>
        <v>Error?</v>
      </c>
    </row>
    <row r="4124" spans="1:4" x14ac:dyDescent="0.2">
      <c r="A4124" s="5">
        <v>4063</v>
      </c>
      <c r="B4124" s="1832">
        <f>'Acct Summary 7-8'!E10</f>
        <v>1358599</v>
      </c>
      <c r="C4124" s="2" t="s">
        <v>569</v>
      </c>
      <c r="D4124" s="2" t="str">
        <f t="shared" si="63"/>
        <v>Error?</v>
      </c>
    </row>
    <row r="4125" spans="1:4" x14ac:dyDescent="0.2">
      <c r="A4125" s="5">
        <v>4064</v>
      </c>
      <c r="B4125" s="1832">
        <f>'Acct Summary 7-8'!F10</f>
        <v>390795</v>
      </c>
      <c r="C4125" s="2" t="s">
        <v>569</v>
      </c>
      <c r="D4125" s="2" t="str">
        <f t="shared" si="63"/>
        <v>Error?</v>
      </c>
    </row>
    <row r="4126" spans="1:4" x14ac:dyDescent="0.2">
      <c r="A4126" s="5">
        <v>4065</v>
      </c>
      <c r="B4126" s="1832">
        <f>'Acct Summary 7-8'!G10</f>
        <v>177814</v>
      </c>
      <c r="C4126" s="2" t="s">
        <v>569</v>
      </c>
      <c r="D4126" s="2" t="str">
        <f t="shared" si="63"/>
        <v>Error?</v>
      </c>
    </row>
    <row r="4127" spans="1:4" x14ac:dyDescent="0.2">
      <c r="A4127" s="5">
        <v>4066</v>
      </c>
      <c r="B4127" s="1832">
        <f>'Acct Summary 7-8'!H10</f>
        <v>50094</v>
      </c>
      <c r="C4127" s="2" t="s">
        <v>569</v>
      </c>
      <c r="D4127" s="2" t="str">
        <f t="shared" si="63"/>
        <v>Error?</v>
      </c>
    </row>
    <row r="4128" spans="1:4" x14ac:dyDescent="0.2">
      <c r="A4128" s="5">
        <v>4067</v>
      </c>
      <c r="B4128" s="1832">
        <f>'Acct Summary 7-8'!I10</f>
        <v>12761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201</v>
      </c>
      <c r="C4130" s="2" t="s">
        <v>569</v>
      </c>
      <c r="D4130" s="2" t="str">
        <f t="shared" si="63"/>
        <v>Error?</v>
      </c>
    </row>
    <row r="4131" spans="1:4" x14ac:dyDescent="0.2">
      <c r="A4131" s="5">
        <v>4070</v>
      </c>
      <c r="B4131" s="1832">
        <f>'Acct Summary 7-8'!C18</f>
        <v>2983607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8938170</v>
      </c>
      <c r="C4136" s="2" t="s">
        <v>569</v>
      </c>
      <c r="D4136" s="2" t="str">
        <f t="shared" si="63"/>
        <v>Error?</v>
      </c>
    </row>
    <row r="4137" spans="1:4" x14ac:dyDescent="0.2">
      <c r="A4137" s="5">
        <v>4076</v>
      </c>
      <c r="B4137" s="1832">
        <f>'Acct Summary 7-8'!D19</f>
        <v>520389</v>
      </c>
      <c r="C4137" s="2" t="s">
        <v>569</v>
      </c>
      <c r="D4137" s="2" t="str">
        <f t="shared" si="63"/>
        <v>Error?</v>
      </c>
    </row>
    <row r="4138" spans="1:4" x14ac:dyDescent="0.2">
      <c r="A4138" s="5">
        <v>4077</v>
      </c>
      <c r="B4138" s="1832">
        <f>'Acct Summary 7-8'!E19</f>
        <v>1113066</v>
      </c>
      <c r="C4138" s="2" t="s">
        <v>569</v>
      </c>
      <c r="D4138" s="2" t="str">
        <f t="shared" si="63"/>
        <v>Error?</v>
      </c>
    </row>
    <row r="4139" spans="1:4" x14ac:dyDescent="0.2">
      <c r="A4139" s="5">
        <v>4078</v>
      </c>
      <c r="B4139" s="1832">
        <f>'Acct Summary 7-8'!F19</f>
        <v>404233</v>
      </c>
      <c r="C4139" s="2" t="s">
        <v>569</v>
      </c>
      <c r="D4139" s="2" t="str">
        <f t="shared" si="63"/>
        <v>Error?</v>
      </c>
    </row>
    <row r="4140" spans="1:4" x14ac:dyDescent="0.2">
      <c r="A4140" s="5">
        <v>4079</v>
      </c>
      <c r="B4140" s="1832">
        <f>'Acct Summary 7-8'!G19</f>
        <v>234662</v>
      </c>
      <c r="C4140" s="2" t="s">
        <v>569</v>
      </c>
      <c r="D4140" s="2" t="str">
        <f t="shared" si="63"/>
        <v>Error?</v>
      </c>
    </row>
    <row r="4141" spans="1:4" x14ac:dyDescent="0.2">
      <c r="A4141" s="5">
        <v>4080</v>
      </c>
      <c r="B4141" s="1832">
        <f>'Acct Summary 7-8'!H19</f>
        <v>145000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5138100</v>
      </c>
      <c r="C4171" s="2" t="s">
        <v>569</v>
      </c>
      <c r="D4171" s="2" t="str">
        <f t="shared" si="64"/>
        <v>Error?</v>
      </c>
    </row>
    <row r="4172" spans="1:4" x14ac:dyDescent="0.2">
      <c r="A4172" s="5">
        <v>4111</v>
      </c>
      <c r="B4172" s="1832">
        <f>'Short-Term Long-Term Debt 24'!J49</f>
        <v>4687815</v>
      </c>
      <c r="C4172" s="2" t="s">
        <v>569</v>
      </c>
      <c r="D4172" s="2" t="str">
        <f t="shared" si="64"/>
        <v>Error?</v>
      </c>
    </row>
    <row r="4173" spans="1:4" x14ac:dyDescent="0.2">
      <c r="A4173" s="5">
        <v>4112</v>
      </c>
      <c r="B4173" s="1832">
        <f>'Short-Term Long-Term Debt 24'!H49</f>
        <v>990000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8404</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31956</v>
      </c>
      <c r="D4210" s="2" t="str">
        <f t="shared" si="64"/>
        <v>Error?</v>
      </c>
    </row>
    <row r="4211" spans="1:4" x14ac:dyDescent="0.2">
      <c r="A4211" s="5">
        <v>4150</v>
      </c>
      <c r="B4211" s="1832">
        <f>'Expenditures 15-22'!K206</f>
        <v>31956</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1730</v>
      </c>
      <c r="C4265" s="2" t="s">
        <v>569</v>
      </c>
      <c r="D4265" s="2" t="str">
        <f t="shared" si="65"/>
        <v>Error?</v>
      </c>
      <c r="E4265" s="125"/>
    </row>
    <row r="4266" spans="1:5" x14ac:dyDescent="0.2">
      <c r="A4266" s="12">
        <v>4205</v>
      </c>
      <c r="B4266" s="1832">
        <f>('FP Info 3'!F10)*100000</f>
        <v>315.2</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2165</v>
      </c>
      <c r="C4268" s="2" t="s">
        <v>569</v>
      </c>
      <c r="D4268" s="2" t="str">
        <f t="shared" si="65"/>
        <v>Error?</v>
      </c>
    </row>
    <row r="4269" spans="1:5" x14ac:dyDescent="0.2">
      <c r="A4269" s="12">
        <v>4208</v>
      </c>
      <c r="B4269" s="1832">
        <f>'FP Info 3'!J16</f>
        <v>6782753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5770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1905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21476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158661493</v>
      </c>
      <c r="D4995" s="2" t="str">
        <f t="shared" si="77"/>
        <v>Error?</v>
      </c>
    </row>
    <row r="4996" spans="1:4" x14ac:dyDescent="0.2">
      <c r="A4996" s="12">
        <v>4935</v>
      </c>
      <c r="B4996" s="1832">
        <f>'FP Info 3'!H31</f>
        <v>10947643.017000001</v>
      </c>
      <c r="D4996" s="2" t="str">
        <f t="shared" si="77"/>
        <v>Error?</v>
      </c>
    </row>
    <row r="4997" spans="1:4" x14ac:dyDescent="0.2">
      <c r="A4997" s="12">
        <v>4936</v>
      </c>
      <c r="B4997" s="1832">
        <f>'FP Info 3'!H37</f>
        <v>5138100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17069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2812315</v>
      </c>
      <c r="D5061" s="2" t="str">
        <f t="shared" si="78"/>
        <v>Error?</v>
      </c>
    </row>
    <row r="5062" spans="1:4" x14ac:dyDescent="0.2">
      <c r="A5062" s="10">
        <v>5001</v>
      </c>
      <c r="B5062" s="1832"/>
      <c r="D5062" s="2" t="str">
        <f t="shared" si="78"/>
        <v>OK</v>
      </c>
    </row>
    <row r="5063" spans="1:4" x14ac:dyDescent="0.2">
      <c r="A5063" s="5">
        <v>5002</v>
      </c>
      <c r="B5063" s="1832">
        <f>'Revenues 9-14'!C7</f>
        <v>32513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2861897</v>
      </c>
      <c r="C5066" s="2" t="s">
        <v>569</v>
      </c>
      <c r="D5066" s="2" t="str">
        <f t="shared" si="78"/>
        <v>Error?</v>
      </c>
    </row>
    <row r="5067" spans="1:4" x14ac:dyDescent="0.2">
      <c r="A5067" s="5">
        <v>5006</v>
      </c>
      <c r="B5067" s="1832">
        <f>'Revenues 9-14'!C14</f>
        <v>1399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9718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11117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53568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53568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4025</v>
      </c>
      <c r="D5094" s="2" t="str">
        <f t="shared" si="78"/>
        <v>Error?</v>
      </c>
    </row>
    <row r="5095" spans="1:4" x14ac:dyDescent="0.2">
      <c r="A5095" s="5">
        <v>5034</v>
      </c>
      <c r="B5095" s="1832">
        <f>'Revenues 9-14'!C74</f>
        <v>8278</v>
      </c>
      <c r="D5095" s="2" t="str">
        <f t="shared" si="78"/>
        <v>Error?</v>
      </c>
    </row>
    <row r="5096" spans="1:4" x14ac:dyDescent="0.2">
      <c r="A5096" s="5">
        <v>5035</v>
      </c>
      <c r="B5096" s="1832">
        <f>'Revenues 9-14'!C75</f>
        <v>173597</v>
      </c>
      <c r="C5096" s="2" t="s">
        <v>569</v>
      </c>
      <c r="D5096" s="2" t="str">
        <f t="shared" si="78"/>
        <v>Error?</v>
      </c>
    </row>
    <row r="5097" spans="1:4" x14ac:dyDescent="0.2">
      <c r="A5097" s="5">
        <v>5036</v>
      </c>
      <c r="B5097" s="1832">
        <f>'Revenues 9-14'!C77</f>
        <v>19147</v>
      </c>
      <c r="D5097" s="2" t="str">
        <f t="shared" si="78"/>
        <v>Error?</v>
      </c>
    </row>
    <row r="5098" spans="1:4" x14ac:dyDescent="0.2">
      <c r="A5098" s="5">
        <v>5037</v>
      </c>
      <c r="B5098" s="1832">
        <f>'Revenues 9-14'!C78</f>
        <v>500</v>
      </c>
      <c r="D5098" s="2" t="str">
        <f t="shared" si="78"/>
        <v>Error?</v>
      </c>
    </row>
    <row r="5099" spans="1:4" x14ac:dyDescent="0.2">
      <c r="A5099" s="5">
        <v>5038</v>
      </c>
      <c r="B5099" s="1832">
        <f>'Revenues 9-14'!C79</f>
        <v>6905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33670</v>
      </c>
      <c r="D5101" s="2" t="str">
        <f t="shared" si="78"/>
        <v>Error?</v>
      </c>
    </row>
    <row r="5102" spans="1:4" x14ac:dyDescent="0.2">
      <c r="A5102" s="5">
        <v>5041</v>
      </c>
      <c r="B5102" s="1832">
        <f>'Revenues 9-14'!C82</f>
        <v>60222</v>
      </c>
      <c r="C5102" s="2" t="s">
        <v>569</v>
      </c>
      <c r="D5102" s="2" t="str">
        <f t="shared" si="78"/>
        <v>Error?</v>
      </c>
    </row>
    <row r="5103" spans="1:4" x14ac:dyDescent="0.2">
      <c r="A5103" s="5">
        <v>5042</v>
      </c>
      <c r="B5103" s="1832">
        <f>'Revenues 9-14'!C84</f>
        <v>70543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182</v>
      </c>
      <c r="D5111" s="2" t="str">
        <f t="shared" si="78"/>
        <v>Error?</v>
      </c>
    </row>
    <row r="5112" spans="1:4" x14ac:dyDescent="0.2">
      <c r="A5112" s="5">
        <v>5051</v>
      </c>
      <c r="B5112" s="1832">
        <f>'Revenues 9-14'!C93</f>
        <v>70725</v>
      </c>
      <c r="C5112" s="2" t="s">
        <v>569</v>
      </c>
      <c r="D5112" s="2" t="str">
        <f t="shared" si="78"/>
        <v>Error?</v>
      </c>
    </row>
    <row r="5113" spans="1:4" x14ac:dyDescent="0.2">
      <c r="A5113" s="5">
        <v>5052</v>
      </c>
      <c r="B5113" s="1832">
        <f>'Revenues 9-14'!C95</f>
        <v>250</v>
      </c>
      <c r="D5113" s="2" t="str">
        <f t="shared" si="78"/>
        <v>Error?</v>
      </c>
    </row>
    <row r="5114" spans="1:4" x14ac:dyDescent="0.2">
      <c r="A5114" s="5">
        <v>5053</v>
      </c>
      <c r="B5114" s="1832">
        <f>'Revenues 9-14'!C96</f>
        <v>1250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109427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4251</v>
      </c>
      <c r="D5118" s="2" t="str">
        <f t="shared" si="78"/>
        <v>Error?</v>
      </c>
    </row>
    <row r="5119" spans="1:4" x14ac:dyDescent="0.2">
      <c r="A5119" s="5">
        <v>5058</v>
      </c>
      <c r="B5119" s="1832">
        <f>'Revenues 9-14'!C107</f>
        <v>946</v>
      </c>
      <c r="D5119" s="2" t="str">
        <f t="shared" ref="D5119:D5182" si="79">IF(ISBLANK(B5119),"OK",IF(A5119-B5119=0,"OK","Error?"))</f>
        <v>Error?</v>
      </c>
    </row>
    <row r="5120" spans="1:4" x14ac:dyDescent="0.2">
      <c r="A5120" s="5">
        <v>5059</v>
      </c>
      <c r="B5120" s="1832">
        <f>'Revenues 9-14'!C108</f>
        <v>116124</v>
      </c>
      <c r="C5120" s="2" t="s">
        <v>569</v>
      </c>
      <c r="D5120" s="2" t="str">
        <f t="shared" si="79"/>
        <v>Error?</v>
      </c>
    </row>
    <row r="5121" spans="1:4" x14ac:dyDescent="0.2">
      <c r="A5121" s="5">
        <v>5060</v>
      </c>
      <c r="B5121" s="1832">
        <f>'Revenues 9-14'!C109</f>
        <v>3347250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2045228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2045228</v>
      </c>
      <c r="C5132" s="2" t="s">
        <v>569</v>
      </c>
      <c r="D5132" s="2" t="str">
        <f t="shared" si="79"/>
        <v>Error?</v>
      </c>
    </row>
    <row r="5133" spans="1:4" x14ac:dyDescent="0.2">
      <c r="A5133" s="5">
        <v>5072</v>
      </c>
      <c r="B5133" s="1832">
        <f>'Revenues 9-14'!C125</f>
        <v>21833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625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22458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820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23278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2068506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78117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34877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112994</v>
      </c>
      <c r="C5246" s="2" t="s">
        <v>569</v>
      </c>
      <c r="D5246" s="2" t="str">
        <f t="shared" si="80"/>
        <v>Error?</v>
      </c>
    </row>
    <row r="5247" spans="1:4" x14ac:dyDescent="0.2">
      <c r="A5247" s="5">
        <v>5186</v>
      </c>
      <c r="B5247" s="1832">
        <f>'Revenues 9-14'!C200</f>
        <v>41355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41355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9938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177553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187491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370991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370991</v>
      </c>
      <c r="C5326" s="2" t="s">
        <v>569</v>
      </c>
      <c r="D5326" s="2" t="str">
        <f t="shared" si="82"/>
        <v>Error?</v>
      </c>
    </row>
    <row r="5327" spans="1:5" x14ac:dyDescent="0.2">
      <c r="A5327" s="5">
        <v>5266</v>
      </c>
      <c r="B5327" s="1832">
        <f>'Revenues 9-14'!C268</f>
        <v>5786747</v>
      </c>
      <c r="C5327" s="2" t="s">
        <v>569</v>
      </c>
      <c r="D5327" s="2" t="str">
        <f t="shared" si="82"/>
        <v>Error?</v>
      </c>
    </row>
    <row r="5328" spans="1:5" x14ac:dyDescent="0.2">
      <c r="A5328" s="5">
        <v>5267</v>
      </c>
      <c r="B5328" s="1832">
        <f>'Revenues 9-14'!D5</f>
        <v>498576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498576</v>
      </c>
      <c r="C5334" s="2" t="s">
        <v>569</v>
      </c>
      <c r="D5334" s="2" t="str">
        <f t="shared" si="82"/>
        <v>Error?</v>
      </c>
    </row>
    <row r="5335" spans="1:4" x14ac:dyDescent="0.2">
      <c r="A5335" s="5">
        <v>5274</v>
      </c>
      <c r="B5335" s="1832">
        <f>'Revenues 9-14'!D14</f>
        <v>244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244</v>
      </c>
      <c r="C5339" s="2" t="s">
        <v>569</v>
      </c>
      <c r="D5339" s="2" t="str">
        <f t="shared" si="82"/>
        <v>Error?</v>
      </c>
    </row>
    <row r="5340" spans="1:4" x14ac:dyDescent="0.2">
      <c r="A5340" s="5">
        <v>5279</v>
      </c>
      <c r="B5340" s="1832">
        <f>'Revenues 9-14'!D65</f>
        <v>31205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31205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53715</v>
      </c>
      <c r="D5349" s="2" t="str">
        <f t="shared" si="82"/>
        <v>Error?</v>
      </c>
    </row>
    <row r="5350" spans="1:4" x14ac:dyDescent="0.2">
      <c r="A5350" s="5">
        <v>5289</v>
      </c>
      <c r="B5350" s="1832">
        <f>'Revenues 9-14'!D96</f>
        <v>740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9504</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63959</v>
      </c>
      <c r="C5355" s="2" t="s">
        <v>569</v>
      </c>
      <c r="D5355" s="2" t="str">
        <f t="shared" si="82"/>
        <v>Error?</v>
      </c>
    </row>
    <row r="5356" spans="1:4" x14ac:dyDescent="0.2">
      <c r="A5356" s="5">
        <v>5295</v>
      </c>
      <c r="B5356" s="1832">
        <f>'Revenues 9-14'!D109</f>
        <v>593984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593984</v>
      </c>
      <c r="C5508" s="2" t="s">
        <v>569</v>
      </c>
      <c r="D5508" s="2" t="str">
        <f t="shared" si="85"/>
        <v>Error?</v>
      </c>
    </row>
    <row r="5509" spans="1:4" x14ac:dyDescent="0.2">
      <c r="A5509" s="5">
        <v>5448</v>
      </c>
      <c r="B5509" s="1832">
        <f>'Revenues 9-14'!E5</f>
        <v>1110294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1110294</v>
      </c>
      <c r="C5513" s="2" t="s">
        <v>569</v>
      </c>
      <c r="D5513" s="2" t="str">
        <f t="shared" si="85"/>
        <v>Error?</v>
      </c>
    </row>
    <row r="5514" spans="1:4" x14ac:dyDescent="0.2">
      <c r="A5514" s="5">
        <v>5453</v>
      </c>
      <c r="B5514" s="1832">
        <f>'Revenues 9-14'!E14</f>
        <v>543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543</v>
      </c>
      <c r="C5518" s="2" t="s">
        <v>569</v>
      </c>
      <c r="D5518" s="2" t="str">
        <f t="shared" si="85"/>
        <v>Error?</v>
      </c>
    </row>
    <row r="5519" spans="1:4" x14ac:dyDescent="0.2">
      <c r="A5519" s="5">
        <v>5458</v>
      </c>
      <c r="B5519" s="1832">
        <f>'Revenues 9-14'!E65</f>
        <v>7819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7819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239943</v>
      </c>
      <c r="C5526" s="2" t="s">
        <v>569</v>
      </c>
      <c r="D5526" s="2" t="str">
        <f t="shared" si="85"/>
        <v>Error?</v>
      </c>
    </row>
    <row r="5527" spans="1:4" x14ac:dyDescent="0.2">
      <c r="A5527" s="5">
        <v>5466</v>
      </c>
      <c r="B5527" s="1832">
        <f>'Revenues 9-14'!E109</f>
        <v>1358599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1358599</v>
      </c>
      <c r="C5552" s="2" t="s">
        <v>569</v>
      </c>
      <c r="D5552" s="2" t="str">
        <f t="shared" si="85"/>
        <v>Error?</v>
      </c>
    </row>
    <row r="5553" spans="1:4" x14ac:dyDescent="0.2">
      <c r="A5553" s="5">
        <v>5492</v>
      </c>
      <c r="B5553" s="1832">
        <f>'Revenues 9-14'!F5</f>
        <v>195073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195073</v>
      </c>
      <c r="C5557" s="2" t="s">
        <v>569</v>
      </c>
      <c r="D5557" s="2" t="str">
        <f t="shared" si="85"/>
        <v>Error?</v>
      </c>
    </row>
    <row r="5558" spans="1:4" x14ac:dyDescent="0.2">
      <c r="A5558" s="5">
        <v>5497</v>
      </c>
      <c r="B5558" s="1832">
        <f>'Revenues 9-14'!F14</f>
        <v>95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95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6810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6810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670</v>
      </c>
      <c r="D5586" s="2" t="str">
        <f t="shared" si="86"/>
        <v>Error?</v>
      </c>
    </row>
    <row r="5587" spans="1:4" x14ac:dyDescent="0.2">
      <c r="A5587" s="5">
        <v>5526</v>
      </c>
      <c r="B5587" s="1832">
        <f>'Revenues 9-14'!F108</f>
        <v>670</v>
      </c>
      <c r="C5587" s="2" t="s">
        <v>569</v>
      </c>
      <c r="D5587" s="2" t="str">
        <f t="shared" si="86"/>
        <v>Error?</v>
      </c>
    </row>
    <row r="5588" spans="1:4" x14ac:dyDescent="0.2">
      <c r="A5588" s="5">
        <v>5527</v>
      </c>
      <c r="B5588" s="1832">
        <f>'Revenues 9-14'!F109</f>
        <v>202648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112527</v>
      </c>
      <c r="D5615" s="2" t="str">
        <f t="shared" si="86"/>
        <v>Error?</v>
      </c>
    </row>
    <row r="5616" spans="1:4" x14ac:dyDescent="0.2">
      <c r="A5616" s="10">
        <v>5555</v>
      </c>
      <c r="B5616" s="1832"/>
      <c r="D5616" s="2" t="str">
        <f t="shared" si="86"/>
        <v>OK</v>
      </c>
    </row>
    <row r="5617" spans="1:5" x14ac:dyDescent="0.2">
      <c r="A5617" s="5">
        <v>5556</v>
      </c>
      <c r="B5617" s="1832">
        <f>'Revenues 9-14'!F153</f>
        <v>75620</v>
      </c>
      <c r="D5617" s="2" t="str">
        <f t="shared" si="86"/>
        <v>Error?</v>
      </c>
    </row>
    <row r="5618" spans="1:5" x14ac:dyDescent="0.2">
      <c r="A5618" s="5">
        <v>5557</v>
      </c>
      <c r="B5618" s="1832">
        <f>'Revenues 9-14'!F155</f>
        <v>188147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188147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188147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390795</v>
      </c>
      <c r="C5720" s="2" t="s">
        <v>569</v>
      </c>
      <c r="D5720" s="2" t="str">
        <f t="shared" si="88"/>
        <v>Error?</v>
      </c>
    </row>
    <row r="5721" spans="1:4" x14ac:dyDescent="0.2">
      <c r="A5721" s="5">
        <v>5660</v>
      </c>
      <c r="B5721" s="1832">
        <f>'Revenues 9-14'!G5</f>
        <v>129719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39996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169715</v>
      </c>
      <c r="C5725" s="2" t="s">
        <v>569</v>
      </c>
      <c r="D5725" s="2" t="str">
        <f t="shared" si="88"/>
        <v>Error?</v>
      </c>
    </row>
    <row r="5726" spans="1:4" x14ac:dyDescent="0.2">
      <c r="A5726" s="5">
        <v>5665</v>
      </c>
      <c r="B5726" s="1832">
        <f>'Revenues 9-14'!G14</f>
        <v>83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5583</v>
      </c>
      <c r="C5730" s="2" t="s">
        <v>569</v>
      </c>
      <c r="D5730" s="2" t="str">
        <f t="shared" si="88"/>
        <v>Error?</v>
      </c>
    </row>
    <row r="5731" spans="1:4" x14ac:dyDescent="0.2">
      <c r="A5731" s="5">
        <v>5670</v>
      </c>
      <c r="B5731" s="1832">
        <f>'Revenues 9-14'!G65</f>
        <v>2516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2516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177814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50094</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12761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12761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12761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201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201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201</v>
      </c>
      <c r="C6023" s="2" t="s">
        <v>569</v>
      </c>
      <c r="D6023" s="2" t="str">
        <f t="shared" si="93"/>
        <v>Error?</v>
      </c>
    </row>
    <row r="6024" spans="1:5" x14ac:dyDescent="0.2">
      <c r="A6024" s="5">
        <v>5963</v>
      </c>
      <c r="B6024" s="1832">
        <f>'Revenues 9-14'!G109</f>
        <v>177814</v>
      </c>
      <c r="C6024" s="2" t="s">
        <v>569</v>
      </c>
      <c r="D6024" s="2" t="str">
        <f t="shared" si="93"/>
        <v>Error?</v>
      </c>
    </row>
    <row r="6025" spans="1:5" x14ac:dyDescent="0.2">
      <c r="A6025" s="5">
        <v>5964</v>
      </c>
      <c r="B6025" s="1832">
        <f>'Revenues 9-14'!H109</f>
        <v>94</v>
      </c>
      <c r="C6025" s="2" t="s">
        <v>569</v>
      </c>
      <c r="D6025" s="2" t="str">
        <f t="shared" si="93"/>
        <v>Error?</v>
      </c>
    </row>
    <row r="6026" spans="1:5" x14ac:dyDescent="0.2">
      <c r="A6026" s="5">
        <v>5965</v>
      </c>
      <c r="B6026" s="1832">
        <f>'Revenues 9-14'!I109</f>
        <v>12761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161294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38779.760000000002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842.5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88600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88600</v>
      </c>
      <c r="D6215" s="2" t="str">
        <f t="shared" si="96"/>
        <v>Error?</v>
      </c>
      <c r="E6215" s="2" t="s">
        <v>189</v>
      </c>
    </row>
    <row r="6216" spans="1:5" x14ac:dyDescent="0.2">
      <c r="A6216">
        <v>6155</v>
      </c>
      <c r="B6216" s="1832">
        <f>'Assets-Liab 5-6'!J41</f>
        <v>88600</v>
      </c>
      <c r="D6216" s="2" t="str">
        <f t="shared" si="96"/>
        <v>Error?</v>
      </c>
      <c r="E6216" s="2" t="s">
        <v>189</v>
      </c>
    </row>
    <row r="6217" spans="1:5" x14ac:dyDescent="0.2">
      <c r="A6217">
        <v>6156</v>
      </c>
      <c r="B6217" s="1832">
        <f>'Assets-Liab 5-6'!J4</f>
        <v>88600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307607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307607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307607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275295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275295</v>
      </c>
      <c r="D6229" s="2" t="str">
        <f t="shared" si="96"/>
        <v>Error?</v>
      </c>
      <c r="E6229" s="2" t="s">
        <v>189</v>
      </c>
    </row>
    <row r="6230" spans="1:5" x14ac:dyDescent="0.2">
      <c r="A6230">
        <v>6169</v>
      </c>
      <c r="B6230" s="1832">
        <f>'Acct Summary 7-8'!J20</f>
        <v>32312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32312</v>
      </c>
      <c r="D6263" s="2" t="str">
        <f t="shared" si="96"/>
        <v>Error?</v>
      </c>
      <c r="E6263" s="2" t="s">
        <v>189</v>
      </c>
    </row>
    <row r="6264" spans="1:5" x14ac:dyDescent="0.2">
      <c r="A6264">
        <v>6203</v>
      </c>
      <c r="B6264" s="1832">
        <f>'Acct Summary 7-8'!J79</f>
        <v>56288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88600</v>
      </c>
      <c r="D6266" s="2" t="str">
        <f t="shared" si="96"/>
        <v>Error?</v>
      </c>
      <c r="E6266" s="2" t="s">
        <v>189</v>
      </c>
    </row>
    <row r="6267" spans="1:5" x14ac:dyDescent="0.2">
      <c r="A6267">
        <v>6206</v>
      </c>
      <c r="B6267" s="1832">
        <f>'Acct Summary 7-8'!C82</f>
        <v>-167816</v>
      </c>
      <c r="D6267" s="2" t="str">
        <f t="shared" si="96"/>
        <v>Error?</v>
      </c>
      <c r="E6267" s="2" t="s">
        <v>189</v>
      </c>
    </row>
    <row r="6268" spans="1:5" x14ac:dyDescent="0.2">
      <c r="A6268">
        <v>6207</v>
      </c>
      <c r="B6268" s="1832">
        <f>'Acct Summary 7-8'!D82</f>
        <v>-71405</v>
      </c>
      <c r="D6268" s="2" t="str">
        <f t="shared" si="96"/>
        <v>Error?</v>
      </c>
      <c r="E6268" s="2" t="s">
        <v>189</v>
      </c>
    </row>
    <row r="6269" spans="1:5" x14ac:dyDescent="0.2">
      <c r="A6269">
        <v>6208</v>
      </c>
      <c r="B6269" s="1832">
        <f>'Acct Summary 7-8'!E82</f>
        <v>245533</v>
      </c>
      <c r="D6269" s="2" t="str">
        <f t="shared" si="96"/>
        <v>Error?</v>
      </c>
      <c r="E6269" s="2" t="s">
        <v>189</v>
      </c>
    </row>
    <row r="6270" spans="1:5" x14ac:dyDescent="0.2">
      <c r="A6270">
        <v>6209</v>
      </c>
      <c r="B6270" s="1832">
        <f>'Acct Summary 7-8'!F82</f>
        <v>-13438</v>
      </c>
      <c r="D6270" s="2" t="str">
        <f t="shared" si="96"/>
        <v>Error?</v>
      </c>
      <c r="E6270" s="2" t="s">
        <v>189</v>
      </c>
    </row>
    <row r="6271" spans="1:5" x14ac:dyDescent="0.2">
      <c r="A6271">
        <v>6210</v>
      </c>
      <c r="B6271" s="1832">
        <f>'Acct Summary 7-8'!G82</f>
        <v>-56848</v>
      </c>
      <c r="D6271" s="2" t="str">
        <f t="shared" ref="D6271:D6334" si="97">IF(ISBLANK(B6271),"OK",IF(A6271-B6271=0,"OK","Error?"))</f>
        <v>Error?</v>
      </c>
      <c r="E6271" s="2" t="s">
        <v>189</v>
      </c>
    </row>
    <row r="6272" spans="1:5" x14ac:dyDescent="0.2">
      <c r="A6272">
        <v>6211</v>
      </c>
      <c r="B6272" s="1832">
        <f>'Acct Summary 7-8'!H82</f>
        <v>50094</v>
      </c>
      <c r="D6272" s="2" t="str">
        <f t="shared" si="97"/>
        <v>Error?</v>
      </c>
      <c r="E6272" s="2" t="s">
        <v>189</v>
      </c>
    </row>
    <row r="6273" spans="1:5" x14ac:dyDescent="0.2">
      <c r="A6273">
        <v>6212</v>
      </c>
      <c r="B6273" s="1832">
        <f>'Acct Summary 7-8'!I82</f>
        <v>12761</v>
      </c>
      <c r="D6273" s="2" t="str">
        <f t="shared" si="97"/>
        <v>Error?</v>
      </c>
      <c r="E6273" s="2" t="s">
        <v>189</v>
      </c>
    </row>
    <row r="6274" spans="1:5" x14ac:dyDescent="0.2">
      <c r="A6274">
        <v>6213</v>
      </c>
      <c r="B6274" s="1832">
        <f>'Acct Summary 7-8'!J82</f>
        <v>32312</v>
      </c>
      <c r="D6274" s="2" t="str">
        <f t="shared" si="97"/>
        <v>Error?</v>
      </c>
      <c r="E6274" s="2" t="s">
        <v>189</v>
      </c>
    </row>
    <row r="6275" spans="1:5" x14ac:dyDescent="0.2">
      <c r="A6275">
        <v>6214</v>
      </c>
      <c r="B6275" s="1832">
        <f>'Acct Summary 7-8'!K82</f>
        <v>201</v>
      </c>
      <c r="D6275" s="2" t="str">
        <f t="shared" si="97"/>
        <v>Error?</v>
      </c>
      <c r="E6275" s="2" t="s">
        <v>189</v>
      </c>
    </row>
    <row r="6276" spans="1:5" x14ac:dyDescent="0.2">
      <c r="A6276">
        <v>6215</v>
      </c>
      <c r="B6276" s="1832">
        <f>'Acct Summary 7-8'!C83</f>
        <v>-5.6921704503441091E-2</v>
      </c>
      <c r="D6276" s="2" t="str">
        <f t="shared" si="97"/>
        <v>Error?</v>
      </c>
      <c r="E6276" s="2" t="s">
        <v>189</v>
      </c>
    </row>
    <row r="6277" spans="1:5" x14ac:dyDescent="0.2">
      <c r="A6277">
        <v>6216</v>
      </c>
      <c r="B6277" s="1832">
        <f>'Acct Summary 7-8'!D83</f>
        <v>-3.0952874297648699E-2</v>
      </c>
      <c r="D6277" s="2" t="str">
        <f t="shared" si="97"/>
        <v>Error?</v>
      </c>
      <c r="E6277" s="2" t="s">
        <v>189</v>
      </c>
    </row>
    <row r="6278" spans="1:5" x14ac:dyDescent="0.2">
      <c r="A6278">
        <v>6217</v>
      </c>
      <c r="B6278" s="1832">
        <f>'Acct Summary 7-8'!E83</f>
        <v>0.54528354264521361</v>
      </c>
      <c r="D6278" s="2" t="str">
        <f t="shared" si="97"/>
        <v>Error?</v>
      </c>
      <c r="E6278" s="2" t="s">
        <v>189</v>
      </c>
    </row>
    <row r="6279" spans="1:5" x14ac:dyDescent="0.2">
      <c r="A6279">
        <v>6218</v>
      </c>
      <c r="B6279" s="1832">
        <f>'Acct Summary 7-8'!F83</f>
        <v>-2.7590029975773006E-2</v>
      </c>
      <c r="D6279" s="2" t="str">
        <f t="shared" si="97"/>
        <v>Error?</v>
      </c>
      <c r="E6279" s="2" t="s">
        <v>189</v>
      </c>
    </row>
    <row r="6280" spans="1:5" x14ac:dyDescent="0.2">
      <c r="A6280">
        <v>6219</v>
      </c>
      <c r="B6280" s="1832">
        <f>'Acct Summary 7-8'!G83</f>
        <v>-0.73296458180224089</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1.2263011371225888E-2</v>
      </c>
      <c r="D6282" s="2" t="str">
        <f t="shared" si="97"/>
        <v>Error?</v>
      </c>
      <c r="E6282" s="2" t="s">
        <v>189</v>
      </c>
    </row>
    <row r="6283" spans="1:5" x14ac:dyDescent="0.2">
      <c r="A6283">
        <v>6222</v>
      </c>
      <c r="B6283" s="1832">
        <f>'Acct Summary 7-8'!J83</f>
        <v>0.36469525959367943</v>
      </c>
      <c r="D6283" s="2" t="str">
        <f t="shared" si="97"/>
        <v>Error?</v>
      </c>
      <c r="E6283" s="2" t="s">
        <v>189</v>
      </c>
    </row>
    <row r="6284" spans="1:5" x14ac:dyDescent="0.2">
      <c r="A6284">
        <v>6223</v>
      </c>
      <c r="B6284" s="1832">
        <f>'Acct Summary 7-8'!K83</f>
        <v>1.2241914854741458E-2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145000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304150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304150</v>
      </c>
      <c r="D6301" s="2" t="str">
        <f t="shared" si="97"/>
        <v>Error?</v>
      </c>
      <c r="E6301" s="2" t="s">
        <v>189</v>
      </c>
    </row>
    <row r="6302" spans="1:5" x14ac:dyDescent="0.2">
      <c r="A6302">
        <v>6241</v>
      </c>
      <c r="B6302" s="1832">
        <f>'Revenues 9-14'!J14</f>
        <v>149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149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1917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1917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1391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1391</v>
      </c>
      <c r="D6351" s="2" t="str">
        <f t="shared" si="98"/>
        <v>Error?</v>
      </c>
      <c r="E6351" s="2" t="s">
        <v>189</v>
      </c>
    </row>
    <row r="6352" spans="1:5" x14ac:dyDescent="0.2">
      <c r="A6352">
        <v>6291</v>
      </c>
      <c r="B6352" s="1832">
        <f>'Revenues 9-14'!J109</f>
        <v>307607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92415</v>
      </c>
      <c r="D6880" s="2" t="str">
        <f t="shared" si="106"/>
        <v>Error?</v>
      </c>
    </row>
    <row r="6881" spans="1:4" x14ac:dyDescent="0.2">
      <c r="A6881">
        <v>6820</v>
      </c>
      <c r="B6881" s="1832">
        <f>'Expenditures 15-22'!K22</f>
        <v>92415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315002</v>
      </c>
      <c r="D6983" s="2" t="str">
        <f t="shared" si="108"/>
        <v>Error?</v>
      </c>
    </row>
    <row r="6984" spans="1:4" x14ac:dyDescent="0.2">
      <c r="A6984">
        <v>6923</v>
      </c>
      <c r="B6984" s="1832">
        <f>'Expenditures 15-22'!K86</f>
        <v>315002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315002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275295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307607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1586</v>
      </c>
      <c r="D7067" s="2" t="str">
        <f t="shared" si="109"/>
        <v>Error?</v>
      </c>
    </row>
    <row r="7068" spans="1:4" x14ac:dyDescent="0.2">
      <c r="A7068">
        <v>7007</v>
      </c>
      <c r="B7068" s="1832">
        <f>'Expenditures 15-22'!K205</f>
        <v>1586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30889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30889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1840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1840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149610</v>
      </c>
      <c r="D7154" s="2" t="str">
        <f t="shared" si="110"/>
        <v>Error?</v>
      </c>
    </row>
    <row r="7155" spans="1:4" x14ac:dyDescent="0.2">
      <c r="A7155">
        <v>7094</v>
      </c>
      <c r="B7155" s="1832">
        <f>'Expenditures 15-22'!D323</f>
        <v>31733</v>
      </c>
      <c r="D7155" s="2" t="str">
        <f t="shared" si="110"/>
        <v>Error?</v>
      </c>
    </row>
    <row r="7156" spans="1:4" x14ac:dyDescent="0.2">
      <c r="A7156">
        <v>7095</v>
      </c>
      <c r="B7156" s="1832">
        <f>'Expenditures 15-22'!E323</f>
        <v>594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181937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149610</v>
      </c>
      <c r="D7199" s="2" t="str">
        <f t="shared" si="111"/>
        <v>Error?</v>
      </c>
    </row>
    <row r="7200" spans="1:4" x14ac:dyDescent="0.2">
      <c r="A7200">
        <v>7139</v>
      </c>
      <c r="B7200" s="1832">
        <f>'Expenditures 15-22'!D330</f>
        <v>31733</v>
      </c>
      <c r="D7200" s="2" t="str">
        <f t="shared" si="111"/>
        <v>Error?</v>
      </c>
    </row>
    <row r="7201" spans="1:4" x14ac:dyDescent="0.2">
      <c r="A7201">
        <v>7140</v>
      </c>
      <c r="B7201" s="1832">
        <f>'Expenditures 15-22'!E330</f>
        <v>93952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275295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149610</v>
      </c>
      <c r="D7216" s="2" t="str">
        <f t="shared" si="111"/>
        <v>Error?</v>
      </c>
    </row>
    <row r="7217" spans="1:4" x14ac:dyDescent="0.2">
      <c r="A7217">
        <v>7156</v>
      </c>
      <c r="B7217" s="1832">
        <f>'Expenditures 15-22'!D342</f>
        <v>31733</v>
      </c>
      <c r="D7217" s="2" t="str">
        <f t="shared" si="111"/>
        <v>Error?</v>
      </c>
    </row>
    <row r="7218" spans="1:4" x14ac:dyDescent="0.2">
      <c r="A7218">
        <v>7157</v>
      </c>
      <c r="B7218" s="1832">
        <f>'Expenditures 15-22'!E342</f>
        <v>93952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275295</v>
      </c>
      <c r="D7224" s="2" t="str">
        <f t="shared" si="111"/>
        <v>Error?</v>
      </c>
    </row>
    <row r="7225" spans="1:4" x14ac:dyDescent="0.2">
      <c r="A7225">
        <v>7164</v>
      </c>
      <c r="B7225" s="1832">
        <f>'Expenditures 15-22'!K343</f>
        <v>32312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531508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145000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60629</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60629</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170483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563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239943</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240506</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32535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239943</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410989</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410989</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8957869</v>
      </c>
      <c r="D7817" s="2" t="str">
        <f t="shared" si="128"/>
        <v>Error?</v>
      </c>
      <c r="E7817" s="4" t="s">
        <v>1966</v>
      </c>
    </row>
    <row r="7818" spans="1:5" x14ac:dyDescent="0.2">
      <c r="A7818">
        <v>7757</v>
      </c>
      <c r="B7818" s="1832">
        <f>'PCTC-OEPP 27-28'!F172</f>
        <v>540807.65</v>
      </c>
      <c r="D7818" s="2" t="str">
        <f t="shared" si="128"/>
        <v>Error?</v>
      </c>
      <c r="E7818" s="4" t="s">
        <v>1980</v>
      </c>
    </row>
    <row r="7819" spans="1:5" x14ac:dyDescent="0.2">
      <c r="A7819">
        <v>7758</v>
      </c>
      <c r="B7819" s="1832">
        <f>'PCTC-OEPP 27-28'!F173</f>
        <v>2176.08</v>
      </c>
      <c r="D7819" s="2" t="str">
        <f t="shared" si="128"/>
        <v>Error?</v>
      </c>
      <c r="E7819" s="4" t="s">
        <v>1980</v>
      </c>
    </row>
    <row r="7820" spans="1:5" x14ac:dyDescent="0.2">
      <c r="A7820">
        <v>7759</v>
      </c>
      <c r="B7820" s="1832">
        <f>'ICR Computation 30'!E40</f>
        <v>-248980.64</v>
      </c>
      <c r="D7820" s="2" t="str">
        <f t="shared" si="128"/>
        <v>Error?</v>
      </c>
    </row>
    <row r="7821" spans="1:5" x14ac:dyDescent="0.2">
      <c r="A7821">
        <v>7760</v>
      </c>
      <c r="B7821" s="1832">
        <f>'ICR Computation 30'!G40</f>
        <v>-248980.64</v>
      </c>
      <c r="D7821" s="2" t="str">
        <f t="shared" si="128"/>
        <v>Error?</v>
      </c>
    </row>
    <row r="7822" spans="1:5" x14ac:dyDescent="0.2">
      <c r="A7822" s="1">
        <v>7761</v>
      </c>
      <c r="B7822" s="1832">
        <f>'PCTC-OEPP 27-28'!F14</f>
        <v>8502208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1827501</v>
      </c>
      <c r="D7834" s="2" t="str">
        <f t="shared" si="129"/>
        <v>Error?</v>
      </c>
      <c r="E7834" s="4" t="s">
        <v>1998</v>
      </c>
    </row>
    <row r="7835" spans="1:5" x14ac:dyDescent="0.2">
      <c r="A7835">
        <v>7774</v>
      </c>
      <c r="B7835" s="1832">
        <f>'PCTC-OEPP 27-28'!F78</f>
        <v>6674707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7922.5008902077152</v>
      </c>
      <c r="D7837" s="2" t="str">
        <f t="shared" si="129"/>
        <v>Error?</v>
      </c>
      <c r="E7837" s="4" t="s">
        <v>1998</v>
      </c>
    </row>
    <row r="7838" spans="1:5" x14ac:dyDescent="0.2">
      <c r="A7838">
        <v>7777</v>
      </c>
      <c r="B7838" s="1832">
        <f>'PCTC-OEPP 27-28'!F96</f>
        <v>60222</v>
      </c>
      <c r="D7838" s="2" t="str">
        <f t="shared" si="129"/>
        <v>Error?</v>
      </c>
      <c r="E7838" s="4" t="s">
        <v>1998</v>
      </c>
    </row>
    <row r="7839" spans="1:5" x14ac:dyDescent="0.2">
      <c r="A7839">
        <v>7778</v>
      </c>
      <c r="B7839" s="1832">
        <f>'PCTC-OEPP 27-28'!F102</f>
        <v>53965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22458</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188147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112994</v>
      </c>
      <c r="D7858" s="2" t="str">
        <f t="shared" si="129"/>
        <v>Error?</v>
      </c>
      <c r="E7858" s="4" t="s">
        <v>1998</v>
      </c>
    </row>
    <row r="7859" spans="1:5" x14ac:dyDescent="0.2">
      <c r="A7859">
        <v>7798</v>
      </c>
      <c r="B7859" s="1832">
        <f>'PCTC-OEPP 27-28'!F127</f>
        <v>41355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177553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21476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5770</v>
      </c>
      <c r="D7874" s="2" t="str">
        <f t="shared" si="129"/>
        <v>Error?</v>
      </c>
      <c r="E7874" s="4" t="s">
        <v>1998</v>
      </c>
    </row>
    <row r="7875" spans="1:5" x14ac:dyDescent="0.2">
      <c r="A7875">
        <v>7814</v>
      </c>
      <c r="B7875" s="1832">
        <f>'PCTC-OEPP 27-28'!F170</f>
        <v>1905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1478221.73</v>
      </c>
      <c r="D7877" s="2" t="str">
        <f t="shared" si="129"/>
        <v>Error?</v>
      </c>
      <c r="E7877" s="4" t="s">
        <v>1998</v>
      </c>
    </row>
    <row r="7878" spans="1:5" x14ac:dyDescent="0.2">
      <c r="A7878">
        <v>7817</v>
      </c>
      <c r="B7878" s="1832">
        <f>'PCTC-OEPP 27-28'!F176</f>
        <v>5196485.2699999996</v>
      </c>
      <c r="D7878" s="2" t="str">
        <f t="shared" si="129"/>
        <v>Error?</v>
      </c>
      <c r="E7878" s="4" t="s">
        <v>1998</v>
      </c>
    </row>
    <row r="7879" spans="1:5" x14ac:dyDescent="0.2">
      <c r="A7879">
        <v>7818</v>
      </c>
      <c r="B7879" s="1832">
        <f>'PCTC-OEPP 27-28'!F178</f>
        <v>5727993.2699999996</v>
      </c>
      <c r="D7879" s="2" t="str">
        <f t="shared" si="129"/>
        <v>Error?</v>
      </c>
      <c r="E7879" s="4" t="s">
        <v>1998</v>
      </c>
    </row>
    <row r="7880" spans="1:5" x14ac:dyDescent="0.2">
      <c r="A7880">
        <v>7819</v>
      </c>
      <c r="B7880" s="1832">
        <f>'PCTC-OEPP 27-28'!F180</f>
        <v>6798.8050682492576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Germantown Hills SD 69</v>
      </c>
      <c r="B7" s="2517"/>
      <c r="C7" s="2517"/>
      <c r="D7" s="2555"/>
      <c r="E7" s="2556">
        <f>COVER!A13</f>
        <v>53102069002</v>
      </c>
      <c r="F7" s="2557"/>
      <c r="G7" s="2523" t="str">
        <f>COVER!T23</f>
        <v>066-005027</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Gorenz and Associates, Ltd.</v>
      </c>
      <c r="H9" s="2530"/>
      <c r="I9" s="2530"/>
      <c r="J9" s="2530"/>
      <c r="K9" s="2530"/>
      <c r="L9" s="2531"/>
    </row>
    <row r="10" spans="1:29" ht="13.5" customHeight="1" x14ac:dyDescent="0.2">
      <c r="A10" s="2513" t="str">
        <f>COVER!A38</f>
        <v>Dan Mair</v>
      </c>
      <c r="B10" s="2514"/>
      <c r="C10" s="2514"/>
      <c r="D10" s="2514"/>
      <c r="E10" s="2514"/>
      <c r="F10" s="2515"/>
      <c r="G10" s="2529" t="str">
        <f>COVER!T17</f>
        <v>4200 N Knoxville Ave.</v>
      </c>
      <c r="H10" s="2542"/>
      <c r="I10" s="2542"/>
      <c r="J10" s="2542"/>
      <c r="K10" s="2542"/>
      <c r="L10" s="2543"/>
    </row>
    <row r="11" spans="1:29" ht="13.5" customHeight="1" x14ac:dyDescent="0.2">
      <c r="A11" s="963" t="s">
        <v>1502</v>
      </c>
      <c r="B11" s="964"/>
      <c r="C11" s="965"/>
      <c r="D11" s="970"/>
      <c r="E11" s="965"/>
      <c r="F11" s="969"/>
      <c r="G11" s="2529" t="str">
        <f>COVER!T19</f>
        <v>Peoria</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tcustis@gorenzcpa.com</v>
      </c>
      <c r="J13" s="2551"/>
      <c r="K13" s="2551"/>
      <c r="L13" s="2552"/>
    </row>
    <row r="14" spans="1:29" ht="13.5" customHeight="1" x14ac:dyDescent="0.2">
      <c r="A14" s="2529" t="str">
        <f>COVER!A19</f>
        <v>103 Warrior Way</v>
      </c>
      <c r="B14" s="2542"/>
      <c r="C14" s="2542"/>
      <c r="D14" s="2542"/>
      <c r="E14" s="2542"/>
      <c r="F14" s="2543"/>
      <c r="G14" s="974" t="s">
        <v>1175</v>
      </c>
      <c r="H14" s="972"/>
      <c r="I14" s="972"/>
      <c r="J14" s="972"/>
      <c r="K14" s="972"/>
      <c r="L14" s="973"/>
    </row>
    <row r="15" spans="1:29" ht="13.5" customHeight="1" x14ac:dyDescent="0.2">
      <c r="A15" s="2529" t="str">
        <f>COVER!A21</f>
        <v>Germantown Hills</v>
      </c>
      <c r="B15" s="2542"/>
      <c r="C15" s="2542"/>
      <c r="D15" s="2542"/>
      <c r="E15" s="2542"/>
      <c r="F15" s="2543"/>
      <c r="G15" s="2539" t="str">
        <f>COVER!T15</f>
        <v>Tim C. Custis, CPA</v>
      </c>
      <c r="H15" s="2540"/>
      <c r="I15" s="2540"/>
      <c r="J15" s="2540"/>
      <c r="K15" s="2540"/>
      <c r="L15" s="2541"/>
    </row>
    <row r="16" spans="1:29" ht="12.2" customHeight="1" x14ac:dyDescent="0.2">
      <c r="A16" s="2519">
        <f>COVER!A25</f>
        <v>61548</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309-685-7621</v>
      </c>
      <c r="H18" s="2517"/>
      <c r="I18" s="2517"/>
      <c r="J18" s="2517"/>
      <c r="K18" s="2516" t="str">
        <f>COVER!X21</f>
        <v>309-685-4758</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Germantown Hills SD 69</v>
      </c>
      <c r="B1" s="2559"/>
      <c r="C1" s="2559"/>
      <c r="D1" s="2559"/>
    </row>
    <row r="2" spans="1:11" s="991" customFormat="1" ht="12.75" x14ac:dyDescent="0.2">
      <c r="A2" s="2560">
        <f>'Single Audit Cover'!E7</f>
        <v>53102069002</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Germantown Hills SD 69</v>
      </c>
      <c r="B1" s="2563"/>
      <c r="C1" s="2563"/>
      <c r="D1" s="2563"/>
      <c r="E1" s="2563"/>
    </row>
    <row r="2" spans="1:5" x14ac:dyDescent="0.2">
      <c r="A2" s="2564">
        <f>'Single Audit Cover'!E7</f>
        <v>53102069002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370991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38779.760000000002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-1905</v>
      </c>
    </row>
    <row r="19" spans="1:4" ht="13.5" thickBot="1" x14ac:dyDescent="0.25">
      <c r="A19" s="1041" t="s">
        <v>1224</v>
      </c>
      <c r="D19" s="1042">
        <f>SUM(D10:D17)</f>
        <v>407865.76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407865.76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407865.76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Germantown Hills SD 69</v>
      </c>
      <c r="C1" s="2567"/>
      <c r="D1" s="2567"/>
      <c r="E1" s="2567"/>
      <c r="F1" s="2567"/>
      <c r="G1" s="2567"/>
      <c r="H1" s="2567"/>
      <c r="I1" s="2567"/>
      <c r="J1" s="2567"/>
      <c r="K1" s="2567"/>
      <c r="L1" s="2567"/>
      <c r="M1" s="2567"/>
    </row>
    <row r="2" spans="2:14" ht="15" x14ac:dyDescent="0.2">
      <c r="B2" s="2568">
        <f>'Single Audit Cover'!E7</f>
        <v>53102069002</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Germantown Hills SD 69</v>
      </c>
      <c r="B1" s="2572"/>
      <c r="C1" s="2572"/>
      <c r="D1" s="2572"/>
      <c r="E1" s="2572"/>
      <c r="F1" s="2572"/>
    </row>
    <row r="2" spans="1:7" ht="13.5" customHeight="1" x14ac:dyDescent="0.2">
      <c r="A2" s="2568">
        <f>'Single Audit Cover'!E7</f>
        <v>53102069002</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2096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Germantown Hills SD 69</v>
      </c>
      <c r="C1" s="2588"/>
      <c r="D1" s="2588"/>
      <c r="E1" s="2588"/>
      <c r="F1" s="2588"/>
      <c r="G1" s="2588"/>
      <c r="H1" s="2588"/>
      <c r="I1" s="2588"/>
      <c r="J1" s="1178"/>
    </row>
    <row r="2" spans="2:10" s="295" customFormat="1" ht="12.75" customHeight="1" x14ac:dyDescent="0.2">
      <c r="B2" s="2589">
        <f>'Single Audit Cover'!E7</f>
        <v>53102069002</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Germantown Hills SD 69</v>
      </c>
      <c r="C1" s="2587"/>
      <c r="D1" s="2587"/>
      <c r="E1" s="2587"/>
      <c r="F1" s="2587"/>
      <c r="G1" s="2587"/>
      <c r="H1" s="2587"/>
      <c r="I1" s="2587"/>
      <c r="J1" s="2587"/>
      <c r="K1" s="2587"/>
      <c r="L1" s="1144"/>
      <c r="M1" s="1144"/>
    </row>
    <row r="2" spans="1:13" ht="12" customHeight="1" x14ac:dyDescent="0.2">
      <c r="B2" s="2589">
        <f>'Single Audit Cover'!E7</f>
        <v>53102069002</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Germantown Hills SD 69</v>
      </c>
      <c r="C1" s="2614"/>
      <c r="D1" s="2614"/>
      <c r="E1" s="2614"/>
      <c r="F1" s="2614"/>
      <c r="G1" s="2614"/>
      <c r="H1" s="2614"/>
      <c r="I1" s="2614"/>
      <c r="J1" s="2614"/>
      <c r="K1" s="2614"/>
      <c r="L1" s="1221"/>
    </row>
    <row r="2" spans="1:12" ht="12.75" customHeight="1" x14ac:dyDescent="0.2">
      <c r="B2" s="2615">
        <f>'Single Audit Cover'!E7</f>
        <v>53102069002</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Germantown Hills SD 69</v>
      </c>
      <c r="C1" s="2587"/>
      <c r="D1" s="2587"/>
      <c r="E1" s="1240"/>
    </row>
    <row r="2" spans="2:5" s="1058" customFormat="1" ht="12.75" customHeight="1" x14ac:dyDescent="0.2">
      <c r="B2" s="2589">
        <f>'Single Audit Cover'!E7</f>
        <v>53102069002</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158661493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1.7299999999999999E-2</v>
      </c>
      <c r="E10" s="333" t="s">
        <v>998</v>
      </c>
      <c r="F10" s="332">
        <v>3.1519999999999999E-3</v>
      </c>
      <c r="G10" s="333" t="s">
        <v>998</v>
      </c>
      <c r="H10" s="332">
        <v>1.1999999999999999E-3</v>
      </c>
      <c r="I10" s="333" t="s">
        <v>999</v>
      </c>
      <c r="J10" s="1424">
        <f>ROUND(D10+F10+H10,5)</f>
        <v>2.1649999999999999E-2</v>
      </c>
      <c r="K10" s="217"/>
      <c r="L10" s="332">
        <v>0</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6784287</v>
      </c>
      <c r="E16" s="1547"/>
      <c r="F16" s="1546">
        <f>SUM('Acct Summary 7-8'!C17,'Acct Summary 7-8'!D17,'Acct Summary 7-8'!F17)</f>
        <v>6879185</v>
      </c>
      <c r="G16" s="1547"/>
      <c r="H16" s="1546">
        <f>SUM(D16-F16)</f>
        <v>-94898</v>
      </c>
      <c r="I16" s="1548"/>
      <c r="J16" s="1546">
        <f>SUM('Acct Summary 7-8'!C81,'Acct Summary 7-8'!D81,'Acct Summary 7-8'!F81,'Acct Summary 7-8'!I81)</f>
        <v>6782753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10947643.017000001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5138100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Germantown Hills SD 69</v>
      </c>
      <c r="E7" s="368"/>
      <c r="G7" s="247"/>
      <c r="H7" s="364"/>
      <c r="I7" s="364"/>
      <c r="J7" s="364"/>
      <c r="K7" s="364"/>
      <c r="L7" s="307"/>
      <c r="M7" s="307"/>
      <c r="N7" s="307"/>
      <c r="O7" s="307"/>
      <c r="P7" s="307"/>
    </row>
    <row r="8" spans="1:18" ht="12.75" x14ac:dyDescent="0.2">
      <c r="A8" s="307"/>
      <c r="B8" s="307"/>
      <c r="C8" s="366" t="s">
        <v>1115</v>
      </c>
      <c r="D8" s="369">
        <f>COVER!A13</f>
        <v>53102069002</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6782753</v>
      </c>
      <c r="I12" s="380"/>
      <c r="J12" s="380"/>
      <c r="K12" s="1559">
        <f>TRUNC((H12/H13*100000),5)/100000</f>
        <v>0.99977388919999999</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6784287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6879185</v>
      </c>
      <c r="I17" s="380"/>
      <c r="J17" s="389"/>
      <c r="K17" s="1559">
        <f>TRUNC((H17/H18*100000),5)/100000</f>
        <v>1.0139879105</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6784287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64.325110499999994</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6782753</v>
      </c>
      <c r="I24" s="394"/>
      <c r="J24" s="394"/>
      <c r="K24" s="1555">
        <f>TRUNC(((H24/H25*100000)/100000),2)</f>
        <v>354.95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19108.84722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2919768.1249299999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5138100</v>
      </c>
      <c r="I32" s="392"/>
      <c r="J32" s="392"/>
      <c r="K32" s="1555">
        <f>TRUNC(100-((((H32/H33*100))*100)/100),2)</f>
        <v>53.06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10947643.017000001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2948190</v>
      </c>
      <c r="D4" s="1573">
        <v>2306894</v>
      </c>
      <c r="E4" s="1573">
        <v>450285</v>
      </c>
      <c r="F4" s="1573">
        <v>487060</v>
      </c>
      <c r="G4" s="1573">
        <v>77559</v>
      </c>
      <c r="H4" s="1573">
        <v>50094</v>
      </c>
      <c r="I4" s="1573">
        <v>1040609</v>
      </c>
      <c r="J4" s="1574">
        <v>88600</v>
      </c>
      <c r="K4" s="1573">
        <v>16419</v>
      </c>
      <c r="L4" s="1573">
        <v>90963</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2948190</v>
      </c>
      <c r="D13" s="1587">
        <f t="shared" ref="D13:L13" si="0">SUM(D4:D12)</f>
        <v>2306894</v>
      </c>
      <c r="E13" s="1587">
        <f t="shared" si="0"/>
        <v>450285</v>
      </c>
      <c r="F13" s="1587">
        <f t="shared" si="0"/>
        <v>487060</v>
      </c>
      <c r="G13" s="1587">
        <f t="shared" si="0"/>
        <v>77559</v>
      </c>
      <c r="H13" s="1587">
        <f t="shared" si="0"/>
        <v>50094</v>
      </c>
      <c r="I13" s="1587">
        <f t="shared" si="0"/>
        <v>1040609</v>
      </c>
      <c r="J13" s="1587">
        <f t="shared" si="0"/>
        <v>88600</v>
      </c>
      <c r="K13" s="1587">
        <f t="shared" si="0"/>
        <v>16419</v>
      </c>
      <c r="L13" s="1587">
        <f t="shared" si="0"/>
        <v>90963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137521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18194621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281840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1550725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450285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4687815</v>
      </c>
    </row>
    <row r="23" spans="1:14" ht="13.5" customHeight="1" thickBot="1" x14ac:dyDescent="0.25">
      <c r="A23" s="1426" t="s">
        <v>638</v>
      </c>
      <c r="B23" s="1429"/>
      <c r="C23" s="1575"/>
      <c r="D23" s="1575"/>
      <c r="E23" s="1575"/>
      <c r="F23" s="1575"/>
      <c r="G23" s="1575"/>
      <c r="H23" s="1575"/>
      <c r="I23" s="1575"/>
      <c r="J23" s="1575"/>
      <c r="K23" s="1575"/>
      <c r="L23" s="1575"/>
      <c r="M23" s="1594">
        <f>SUM(M15:M22)</f>
        <v>20164707</v>
      </c>
      <c r="N23" s="1594">
        <f>SUM(N21:N22)</f>
        <v>5138100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80993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80993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5138100</v>
      </c>
    </row>
    <row r="37" spans="1:14" ht="13.5" thickBot="1" x14ac:dyDescent="0.25">
      <c r="A37" s="1426" t="s">
        <v>648</v>
      </c>
      <c r="B37" s="1429"/>
      <c r="C37" s="1582"/>
      <c r="D37" s="1582"/>
      <c r="E37" s="1582"/>
      <c r="F37" s="1582"/>
      <c r="G37" s="1582"/>
      <c r="H37" s="1582"/>
      <c r="I37" s="1582"/>
      <c r="J37" s="1582"/>
      <c r="K37" s="1582"/>
      <c r="L37" s="1585"/>
      <c r="M37" s="1575"/>
      <c r="N37" s="1594">
        <f>SUM(N36:N36)</f>
        <v>5138100</v>
      </c>
    </row>
    <row r="38" spans="1:14" s="307" customFormat="1" ht="13.5" customHeight="1" thickTop="1" x14ac:dyDescent="0.2">
      <c r="A38" s="438" t="s">
        <v>417</v>
      </c>
      <c r="B38" s="432">
        <v>714</v>
      </c>
      <c r="C38" s="1573">
        <v>0</v>
      </c>
      <c r="D38" s="1573">
        <v>0</v>
      </c>
      <c r="E38" s="1573">
        <v>410989</v>
      </c>
      <c r="F38" s="1573">
        <v>0</v>
      </c>
      <c r="G38" s="1573">
        <v>0</v>
      </c>
      <c r="H38" s="1573">
        <v>50000</v>
      </c>
      <c r="I38" s="1573">
        <v>0</v>
      </c>
      <c r="J38" s="1574">
        <v>0</v>
      </c>
      <c r="K38" s="1573">
        <v>0</v>
      </c>
      <c r="L38" s="1586">
        <v>9970</v>
      </c>
      <c r="M38" s="1604"/>
      <c r="N38" s="1604"/>
    </row>
    <row r="39" spans="1:14" s="307" customFormat="1" ht="13.5" customHeight="1" x14ac:dyDescent="0.2">
      <c r="A39" s="438" t="s">
        <v>339</v>
      </c>
      <c r="B39" s="432">
        <v>730</v>
      </c>
      <c r="C39" s="1573">
        <v>2948190</v>
      </c>
      <c r="D39" s="1573">
        <v>2306894</v>
      </c>
      <c r="E39" s="1573">
        <v>39296</v>
      </c>
      <c r="F39" s="1573">
        <v>487060</v>
      </c>
      <c r="G39" s="1573">
        <v>77559</v>
      </c>
      <c r="H39" s="1573">
        <v>94</v>
      </c>
      <c r="I39" s="1573">
        <v>1040609</v>
      </c>
      <c r="J39" s="1574">
        <v>88600</v>
      </c>
      <c r="K39" s="1573">
        <v>16419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20164707</v>
      </c>
      <c r="N40" s="1604"/>
    </row>
    <row r="41" spans="1:14" ht="13.5" customHeight="1" thickBot="1" x14ac:dyDescent="0.25">
      <c r="A41" s="1426" t="s">
        <v>650</v>
      </c>
      <c r="B41" s="1405"/>
      <c r="C41" s="1594">
        <f>(SUM(C34,C37,C38,C39))</f>
        <v>2948190</v>
      </c>
      <c r="D41" s="1594">
        <f t="shared" ref="D41:L41" si="2">SUM(D34,D37,D38:D39)</f>
        <v>2306894</v>
      </c>
      <c r="E41" s="1594">
        <f t="shared" si="2"/>
        <v>450285</v>
      </c>
      <c r="F41" s="1594">
        <f t="shared" si="2"/>
        <v>487060</v>
      </c>
      <c r="G41" s="1594">
        <f t="shared" si="2"/>
        <v>77559</v>
      </c>
      <c r="H41" s="1594">
        <f t="shared" si="2"/>
        <v>50094</v>
      </c>
      <c r="I41" s="1594">
        <f t="shared" si="2"/>
        <v>1040609</v>
      </c>
      <c r="J41" s="1594">
        <f t="shared" si="2"/>
        <v>88600</v>
      </c>
      <c r="K41" s="1594">
        <f t="shared" si="2"/>
        <v>16419</v>
      </c>
      <c r="L41" s="1594">
        <f t="shared" si="2"/>
        <v>90963</v>
      </c>
      <c r="M41" s="1594">
        <f>SUM(M40)</f>
        <v>20164707</v>
      </c>
      <c r="N41" s="1594">
        <f>SUM(N37)</f>
        <v>5138100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3347250</v>
      </c>
      <c r="D4" s="1606">
        <f>'Revenues 9-14'!D109</f>
        <v>593984</v>
      </c>
      <c r="E4" s="1606">
        <f>'Revenues 9-14'!E109</f>
        <v>1358599</v>
      </c>
      <c r="F4" s="1606">
        <f>'Revenues 9-14'!F109</f>
        <v>202648</v>
      </c>
      <c r="G4" s="1606">
        <f>'Revenues 9-14'!G109</f>
        <v>177814</v>
      </c>
      <c r="H4" s="1606">
        <f>'Revenues 9-14'!H109</f>
        <v>94</v>
      </c>
      <c r="I4" s="1606">
        <f>'Revenues 9-14'!I109</f>
        <v>12761</v>
      </c>
      <c r="J4" s="1606">
        <f>'Revenues 9-14'!J109</f>
        <v>307607</v>
      </c>
      <c r="K4" s="1606">
        <f>'Revenues 9-14'!K109</f>
        <v>201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2068506</v>
      </c>
      <c r="D6" s="1607">
        <f>'Revenues 9-14'!D170</f>
        <v>0</v>
      </c>
      <c r="E6" s="1607">
        <f>'Revenues 9-14'!E170</f>
        <v>0</v>
      </c>
      <c r="F6" s="1607">
        <f>'Revenues 9-14'!F170</f>
        <v>188147</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370991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5786747</v>
      </c>
      <c r="D8" s="1594">
        <f t="shared" ref="D8:K8" si="0">SUM(D4:D7)</f>
        <v>593984</v>
      </c>
      <c r="E8" s="1594">
        <f t="shared" si="0"/>
        <v>1358599</v>
      </c>
      <c r="F8" s="1594">
        <f t="shared" si="0"/>
        <v>390795</v>
      </c>
      <c r="G8" s="1594">
        <f t="shared" si="0"/>
        <v>177814</v>
      </c>
      <c r="H8" s="1594">
        <f t="shared" si="0"/>
        <v>50094</v>
      </c>
      <c r="I8" s="1594">
        <f t="shared" si="0"/>
        <v>12761</v>
      </c>
      <c r="J8" s="1594">
        <f t="shared" si="0"/>
        <v>307607</v>
      </c>
      <c r="K8" s="1594">
        <f t="shared" si="0"/>
        <v>201</v>
      </c>
      <c r="L8" s="325"/>
    </row>
    <row r="9" spans="1:13" ht="15.75" thickTop="1" x14ac:dyDescent="0.2">
      <c r="A9" s="449" t="s">
        <v>1634</v>
      </c>
      <c r="B9" s="450">
        <v>3998</v>
      </c>
      <c r="C9" s="1586">
        <v>2983607</v>
      </c>
      <c r="D9" s="1613"/>
      <c r="E9" s="1586"/>
      <c r="F9" s="1586"/>
      <c r="G9" s="1614"/>
      <c r="H9" s="1586"/>
      <c r="I9" s="1609" t="s">
        <v>1159</v>
      </c>
      <c r="J9" s="1583"/>
      <c r="K9" s="1586"/>
      <c r="L9" s="325"/>
    </row>
    <row r="10" spans="1:13" s="452" customFormat="1" ht="13.5" thickBot="1" x14ac:dyDescent="0.25">
      <c r="A10" s="1426" t="s">
        <v>1163</v>
      </c>
      <c r="B10" s="1407"/>
      <c r="C10" s="1594">
        <f>SUM(C8:C9)</f>
        <v>8770354</v>
      </c>
      <c r="D10" s="1594">
        <f t="shared" ref="D10:K10" si="1">SUM(D8:D9)</f>
        <v>593984</v>
      </c>
      <c r="E10" s="1594">
        <f t="shared" si="1"/>
        <v>1358599</v>
      </c>
      <c r="F10" s="1594">
        <f t="shared" si="1"/>
        <v>390795</v>
      </c>
      <c r="G10" s="1594">
        <f t="shared" si="1"/>
        <v>177814</v>
      </c>
      <c r="H10" s="1594">
        <f t="shared" si="1"/>
        <v>50094</v>
      </c>
      <c r="I10" s="1594">
        <f t="shared" si="1"/>
        <v>12761</v>
      </c>
      <c r="J10" s="1594">
        <f t="shared" si="1"/>
        <v>307607</v>
      </c>
      <c r="K10" s="1594">
        <f t="shared" si="1"/>
        <v>201</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3989573</v>
      </c>
      <c r="D12" s="1616" t="s">
        <v>1159</v>
      </c>
      <c r="E12" s="1575" t="s">
        <v>1159</v>
      </c>
      <c r="F12" s="1575" t="s">
        <v>1159</v>
      </c>
      <c r="G12" s="1606">
        <f>'Expenditures 15-22'!K229</f>
        <v>75490</v>
      </c>
      <c r="H12" s="1617"/>
      <c r="I12" s="1575" t="s">
        <v>1159</v>
      </c>
      <c r="J12" s="1575" t="s">
        <v>1159</v>
      </c>
      <c r="K12" s="1617" t="s">
        <v>1159</v>
      </c>
      <c r="L12" s="325"/>
    </row>
    <row r="13" spans="1:13" ht="15.75" customHeight="1" x14ac:dyDescent="0.2">
      <c r="A13" s="1314" t="s">
        <v>454</v>
      </c>
      <c r="B13" s="1316">
        <v>2000</v>
      </c>
      <c r="C13" s="1607">
        <f>'Expenditures 15-22'!K74</f>
        <v>1378536</v>
      </c>
      <c r="D13" s="1607">
        <f>'Expenditures 15-22'!K129</f>
        <v>520389</v>
      </c>
      <c r="E13" s="1576" t="s">
        <v>1159</v>
      </c>
      <c r="F13" s="1607">
        <f>'Expenditures 15-22'!K184</f>
        <v>370691</v>
      </c>
      <c r="G13" s="1607">
        <f>'Expenditures 15-22'!K279</f>
        <v>159172</v>
      </c>
      <c r="H13" s="1607">
        <f>'Expenditures 15-22'!K303</f>
        <v>145000</v>
      </c>
      <c r="I13" s="1575" t="s">
        <v>1159</v>
      </c>
      <c r="J13" s="1607">
        <f>'Expenditures 15-22'!K330</f>
        <v>275295</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586454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1113066</v>
      </c>
      <c r="F16" s="1607">
        <f>'Expenditures 15-22'!K208</f>
        <v>33542</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5954563</v>
      </c>
      <c r="D17" s="1594">
        <f t="shared" si="2"/>
        <v>520389</v>
      </c>
      <c r="E17" s="1594">
        <f t="shared" si="2"/>
        <v>1113066</v>
      </c>
      <c r="F17" s="1594">
        <f t="shared" si="2"/>
        <v>404233</v>
      </c>
      <c r="G17" s="1594">
        <f t="shared" si="2"/>
        <v>234662</v>
      </c>
      <c r="H17" s="1594">
        <f t="shared" si="2"/>
        <v>145000</v>
      </c>
      <c r="I17" s="1575"/>
      <c r="J17" s="1594">
        <f>SUM(J12:J16)</f>
        <v>275295</v>
      </c>
      <c r="K17" s="1594">
        <f>SUM(K12:K16)</f>
        <v>0</v>
      </c>
      <c r="L17" s="325"/>
    </row>
    <row r="18" spans="1:12" ht="15" customHeight="1" thickTop="1" x14ac:dyDescent="0.2">
      <c r="A18" s="1430" t="s">
        <v>1635</v>
      </c>
      <c r="B18" s="1431">
        <v>4180</v>
      </c>
      <c r="C18" s="1606">
        <f t="shared" ref="C18:H18" si="3">C9</f>
        <v>2983607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8938170</v>
      </c>
      <c r="D19" s="1594">
        <f t="shared" si="4"/>
        <v>520389</v>
      </c>
      <c r="E19" s="1594">
        <f t="shared" si="4"/>
        <v>1113066</v>
      </c>
      <c r="F19" s="1594">
        <f t="shared" si="4"/>
        <v>404233</v>
      </c>
      <c r="G19" s="1594">
        <f t="shared" si="4"/>
        <v>234662</v>
      </c>
      <c r="H19" s="1594">
        <f t="shared" si="4"/>
        <v>145000</v>
      </c>
      <c r="I19" s="1575"/>
      <c r="J19" s="1594">
        <f>SUM(J17:J18)</f>
        <v>275295</v>
      </c>
      <c r="K19" s="1594">
        <f>SUM(K17:K18)</f>
        <v>0</v>
      </c>
      <c r="L19" s="325"/>
    </row>
    <row r="20" spans="1:12" ht="16.5" thickTop="1" thickBot="1" x14ac:dyDescent="0.25">
      <c r="A20" s="2232" t="s">
        <v>1636</v>
      </c>
      <c r="B20" s="2233"/>
      <c r="C20" s="1622">
        <f>C8-C17</f>
        <v>-167816</v>
      </c>
      <c r="D20" s="1622">
        <f t="shared" ref="D20:K20" si="5">D8-D17</f>
        <v>73595</v>
      </c>
      <c r="E20" s="1622">
        <f t="shared" si="5"/>
        <v>245533</v>
      </c>
      <c r="F20" s="1622">
        <f t="shared" si="5"/>
        <v>-13438</v>
      </c>
      <c r="G20" s="1622">
        <f t="shared" si="5"/>
        <v>-56848</v>
      </c>
      <c r="H20" s="1622">
        <f t="shared" si="5"/>
        <v>-94906</v>
      </c>
      <c r="I20" s="1622">
        <f t="shared" si="5"/>
        <v>12761</v>
      </c>
      <c r="J20" s="1622">
        <f t="shared" si="5"/>
        <v>32312</v>
      </c>
      <c r="K20" s="1622">
        <f t="shared" si="5"/>
        <v>201</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145000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145000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145000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2" t="s">
        <v>437</v>
      </c>
      <c r="B76" s="2223"/>
      <c r="C76" s="1624">
        <f t="shared" ref="C76:K76" si="7">SUM(C47:C75)</f>
        <v>0</v>
      </c>
      <c r="D76" s="1624">
        <f t="shared" si="7"/>
        <v>145000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-145000</v>
      </c>
      <c r="E77" s="1624">
        <f t="shared" si="8"/>
        <v>0</v>
      </c>
      <c r="F77" s="1624">
        <f t="shared" si="8"/>
        <v>0</v>
      </c>
      <c r="G77" s="1624">
        <f t="shared" si="8"/>
        <v>0</v>
      </c>
      <c r="H77" s="1624">
        <f t="shared" si="8"/>
        <v>145000</v>
      </c>
      <c r="I77" s="1624">
        <f t="shared" si="8"/>
        <v>0</v>
      </c>
      <c r="J77" s="1624">
        <f t="shared" si="8"/>
        <v>0</v>
      </c>
      <c r="K77" s="1624">
        <f t="shared" si="8"/>
        <v>0</v>
      </c>
      <c r="L77" s="325"/>
    </row>
    <row r="78" spans="1:12" ht="21.75" customHeight="1" thickTop="1" thickBot="1" x14ac:dyDescent="0.25">
      <c r="A78" s="2228" t="s">
        <v>593</v>
      </c>
      <c r="B78" s="2229"/>
      <c r="C78" s="1629">
        <f t="shared" ref="C78:K78" si="9">C20+C77</f>
        <v>-167816</v>
      </c>
      <c r="D78" s="1629">
        <f t="shared" si="9"/>
        <v>-71405</v>
      </c>
      <c r="E78" s="1629">
        <f t="shared" si="9"/>
        <v>245533</v>
      </c>
      <c r="F78" s="1629">
        <f t="shared" si="9"/>
        <v>-13438</v>
      </c>
      <c r="G78" s="1629">
        <f t="shared" si="9"/>
        <v>-56848</v>
      </c>
      <c r="H78" s="1629">
        <f t="shared" si="9"/>
        <v>50094</v>
      </c>
      <c r="I78" s="1629">
        <f t="shared" si="9"/>
        <v>12761</v>
      </c>
      <c r="J78" s="1629">
        <f t="shared" si="9"/>
        <v>32312</v>
      </c>
      <c r="K78" s="1629">
        <f t="shared" si="9"/>
        <v>201</v>
      </c>
      <c r="L78" s="457"/>
    </row>
    <row r="79" spans="1:12" ht="13.5" thickTop="1" x14ac:dyDescent="0.2">
      <c r="A79" s="1844" t="str">
        <f>"Fund Balances - July 1, "&amp;'AFR20'!E2-1</f>
        <v>Fund Balances - July 1, 2019</v>
      </c>
      <c r="B79" s="458"/>
      <c r="C79" s="1583">
        <v>3116006</v>
      </c>
      <c r="D79" s="1583">
        <v>2378299</v>
      </c>
      <c r="E79" s="1630">
        <v>204752</v>
      </c>
      <c r="F79" s="1630">
        <v>500498</v>
      </c>
      <c r="G79" s="1630">
        <v>134407</v>
      </c>
      <c r="H79" s="1630">
        <v>0</v>
      </c>
      <c r="I79" s="1630">
        <v>1027848</v>
      </c>
      <c r="J79" s="1630">
        <v>56288</v>
      </c>
      <c r="K79" s="1630">
        <v>16218</v>
      </c>
      <c r="L79" s="325"/>
    </row>
    <row r="80" spans="1:12" x14ac:dyDescent="0.2">
      <c r="A80" s="2234" t="s">
        <v>1772</v>
      </c>
      <c r="B80" s="2235"/>
      <c r="C80" s="1574">
        <v>0</v>
      </c>
      <c r="D80" s="1574">
        <v>0</v>
      </c>
      <c r="E80" s="1574">
        <v>0</v>
      </c>
      <c r="F80" s="1574">
        <v>0</v>
      </c>
      <c r="G80" s="1574">
        <v>0</v>
      </c>
      <c r="H80" s="1574">
        <v>0</v>
      </c>
      <c r="I80" s="1574">
        <v>0</v>
      </c>
      <c r="J80" s="1574">
        <v>0</v>
      </c>
      <c r="K80" s="1574">
        <v>0</v>
      </c>
      <c r="L80" s="325"/>
    </row>
    <row r="81" spans="1:12" ht="13.5" thickBot="1" x14ac:dyDescent="0.25">
      <c r="A81" s="2226" t="str">
        <f>"Fund Balances - June 30, "&amp;'AFR20'!E2</f>
        <v>Fund Balances - June 30, 2020</v>
      </c>
      <c r="B81" s="2227"/>
      <c r="C81" s="1594">
        <f>(SUM(C78:C80))</f>
        <v>2948190</v>
      </c>
      <c r="D81" s="1594">
        <f>SUM(D78:D80)</f>
        <v>2306894</v>
      </c>
      <c r="E81" s="1594">
        <f t="shared" ref="E81:K81" si="10">SUM(E78:E80)</f>
        <v>450285</v>
      </c>
      <c r="F81" s="1594">
        <f t="shared" si="10"/>
        <v>487060</v>
      </c>
      <c r="G81" s="1594">
        <f t="shared" si="10"/>
        <v>77559</v>
      </c>
      <c r="H81" s="1594">
        <f t="shared" si="10"/>
        <v>50094</v>
      </c>
      <c r="I81" s="1594">
        <f t="shared" si="10"/>
        <v>1040609</v>
      </c>
      <c r="J81" s="1594">
        <f t="shared" si="10"/>
        <v>88600</v>
      </c>
      <c r="K81" s="1594">
        <f t="shared" si="10"/>
        <v>16419</v>
      </c>
      <c r="L81" s="325"/>
    </row>
    <row r="82" spans="1:12" ht="0.75" customHeight="1" thickTop="1" thickBot="1" x14ac:dyDescent="0.25">
      <c r="A82" s="459" t="s">
        <v>340</v>
      </c>
      <c r="B82" s="460"/>
      <c r="C82" s="461">
        <f>(C81-C79)</f>
        <v>-167816</v>
      </c>
      <c r="D82" s="461">
        <f t="shared" ref="D82:K82" si="11">(D81-D79)</f>
        <v>-71405</v>
      </c>
      <c r="E82" s="461">
        <f t="shared" si="11"/>
        <v>245533</v>
      </c>
      <c r="F82" s="461">
        <f t="shared" si="11"/>
        <v>-13438</v>
      </c>
      <c r="G82" s="461">
        <f t="shared" si="11"/>
        <v>-56848</v>
      </c>
      <c r="H82" s="461">
        <f t="shared" si="11"/>
        <v>50094</v>
      </c>
      <c r="I82" s="461">
        <f t="shared" si="11"/>
        <v>12761</v>
      </c>
      <c r="J82" s="461">
        <f t="shared" si="11"/>
        <v>32312</v>
      </c>
      <c r="K82" s="461">
        <f t="shared" si="11"/>
        <v>201</v>
      </c>
    </row>
    <row r="83" spans="1:12" ht="14.25" hidden="1" thickTop="1" thickBot="1" x14ac:dyDescent="0.25">
      <c r="A83" s="462" t="s">
        <v>341</v>
      </c>
      <c r="B83" s="428"/>
      <c r="C83" s="463">
        <f>C82/C81</f>
        <v>-5.6921704503441091E-2</v>
      </c>
      <c r="D83" s="463">
        <f t="shared" ref="D83:K83" si="12">D82/D81</f>
        <v>-3.0952874297648699E-2</v>
      </c>
      <c r="E83" s="463">
        <f t="shared" si="12"/>
        <v>0.54528354264521361</v>
      </c>
      <c r="F83" s="463">
        <f t="shared" si="12"/>
        <v>-2.7590029975773006E-2</v>
      </c>
      <c r="G83" s="463">
        <f t="shared" si="12"/>
        <v>-0.73296458180224089</v>
      </c>
      <c r="H83" s="463">
        <f t="shared" si="12"/>
        <v>1</v>
      </c>
      <c r="I83" s="463">
        <f t="shared" si="12"/>
        <v>1.2263011371225888E-2</v>
      </c>
      <c r="J83" s="463">
        <f t="shared" si="12"/>
        <v>0.36469525959367943</v>
      </c>
      <c r="K83" s="463">
        <f t="shared" si="12"/>
        <v>1.2241914854741458E-2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5" sqref="T25:AA2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2812315</v>
      </c>
      <c r="D5" s="1586">
        <v>498576</v>
      </c>
      <c r="E5" s="1573">
        <v>1110294</v>
      </c>
      <c r="F5" s="1631">
        <v>195073</v>
      </c>
      <c r="G5" s="1573">
        <v>129719</v>
      </c>
      <c r="H5" s="1573">
        <v>0</v>
      </c>
      <c r="I5" s="1573">
        <v>0</v>
      </c>
      <c r="J5" s="1574">
        <v>304150</v>
      </c>
      <c r="K5" s="1573">
        <v>0</v>
      </c>
    </row>
    <row r="6" spans="1:12" ht="15" x14ac:dyDescent="0.2">
      <c r="A6" s="427" t="s">
        <v>1643</v>
      </c>
      <c r="B6" s="429">
        <v>1130</v>
      </c>
      <c r="C6" s="1573">
        <v>17069</v>
      </c>
      <c r="D6" s="1573">
        <v>0</v>
      </c>
      <c r="E6" s="1580"/>
      <c r="F6" s="1580"/>
      <c r="G6" s="1575"/>
      <c r="H6" s="1575"/>
      <c r="I6" s="1575"/>
      <c r="J6" s="1575"/>
      <c r="K6" s="1575"/>
    </row>
    <row r="7" spans="1:12" x14ac:dyDescent="0.2">
      <c r="A7" s="427" t="s">
        <v>110</v>
      </c>
      <c r="B7" s="471">
        <v>1140</v>
      </c>
      <c r="C7" s="1573">
        <v>32513</v>
      </c>
      <c r="D7" s="1573">
        <v>0</v>
      </c>
      <c r="E7" s="1575"/>
      <c r="F7" s="1574">
        <v>0</v>
      </c>
      <c r="G7" s="1574">
        <v>0</v>
      </c>
      <c r="H7" s="1574">
        <v>0</v>
      </c>
      <c r="I7" s="1575"/>
      <c r="J7" s="1575"/>
      <c r="K7" s="1575"/>
    </row>
    <row r="8" spans="1:12" x14ac:dyDescent="0.2">
      <c r="A8" s="427" t="s">
        <v>410</v>
      </c>
      <c r="B8" s="429">
        <v>1150</v>
      </c>
      <c r="C8" s="1580"/>
      <c r="D8" s="1580"/>
      <c r="E8" s="1582"/>
      <c r="F8" s="1582"/>
      <c r="G8" s="1586">
        <v>39996</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2861897</v>
      </c>
      <c r="D12" s="1633">
        <f t="shared" si="0"/>
        <v>498576</v>
      </c>
      <c r="E12" s="1633">
        <f t="shared" si="0"/>
        <v>1110294</v>
      </c>
      <c r="F12" s="1633">
        <f t="shared" si="0"/>
        <v>195073</v>
      </c>
      <c r="G12" s="1633">
        <f t="shared" si="0"/>
        <v>169715</v>
      </c>
      <c r="H12" s="1633">
        <f t="shared" si="0"/>
        <v>0</v>
      </c>
      <c r="I12" s="1633">
        <f t="shared" si="0"/>
        <v>0</v>
      </c>
      <c r="J12" s="1633">
        <f t="shared" si="0"/>
        <v>304150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1399</v>
      </c>
      <c r="D14" s="1573">
        <v>244</v>
      </c>
      <c r="E14" s="1573">
        <v>543</v>
      </c>
      <c r="F14" s="1573">
        <v>95</v>
      </c>
      <c r="G14" s="1573">
        <v>83</v>
      </c>
      <c r="H14" s="1573">
        <v>0</v>
      </c>
      <c r="I14" s="1573">
        <v>0</v>
      </c>
      <c r="J14" s="1574">
        <v>149</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9718</v>
      </c>
      <c r="D16" s="1573">
        <v>0</v>
      </c>
      <c r="E16" s="1573">
        <v>0</v>
      </c>
      <c r="F16" s="1573">
        <v>0</v>
      </c>
      <c r="G16" s="1573">
        <v>5500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11117</v>
      </c>
      <c r="D18" s="1635">
        <f t="shared" ref="D18:K18" si="1">SUM(D14:D17)</f>
        <v>244</v>
      </c>
      <c r="E18" s="1635">
        <f t="shared" si="1"/>
        <v>543</v>
      </c>
      <c r="F18" s="1635">
        <f t="shared" si="1"/>
        <v>95</v>
      </c>
      <c r="G18" s="1635">
        <f t="shared" si="1"/>
        <v>5583</v>
      </c>
      <c r="H18" s="1635">
        <f t="shared" si="1"/>
        <v>0</v>
      </c>
      <c r="I18" s="1635">
        <f t="shared" si="1"/>
        <v>0</v>
      </c>
      <c r="J18" s="1635">
        <f t="shared" si="1"/>
        <v>149</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53568</v>
      </c>
      <c r="D65" s="1573">
        <v>31205</v>
      </c>
      <c r="E65" s="1573">
        <v>7819</v>
      </c>
      <c r="F65" s="1574">
        <v>6810</v>
      </c>
      <c r="G65" s="1573">
        <v>2516</v>
      </c>
      <c r="H65" s="1573">
        <v>94</v>
      </c>
      <c r="I65" s="1573">
        <v>12761</v>
      </c>
      <c r="J65" s="1574">
        <v>1917</v>
      </c>
      <c r="K65" s="1573">
        <v>201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53568</v>
      </c>
      <c r="D67" s="1594">
        <f t="shared" ref="D67:K67" si="2">SUM(D65:D66)</f>
        <v>31205</v>
      </c>
      <c r="E67" s="1594">
        <f t="shared" si="2"/>
        <v>7819</v>
      </c>
      <c r="F67" s="1594">
        <f t="shared" si="2"/>
        <v>6810</v>
      </c>
      <c r="G67" s="1594">
        <f t="shared" si="2"/>
        <v>2516</v>
      </c>
      <c r="H67" s="1594">
        <f t="shared" si="2"/>
        <v>94</v>
      </c>
      <c r="I67" s="1594">
        <f t="shared" si="2"/>
        <v>12761</v>
      </c>
      <c r="J67" s="1594">
        <f t="shared" si="2"/>
        <v>1917</v>
      </c>
      <c r="K67" s="1594">
        <f t="shared" si="2"/>
        <v>201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161294</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4025</v>
      </c>
      <c r="D73" s="1575"/>
      <c r="E73" s="1575"/>
      <c r="F73" s="1575"/>
      <c r="G73" s="1575"/>
      <c r="H73" s="1575"/>
      <c r="I73" s="1575"/>
      <c r="J73" s="1575"/>
      <c r="K73" s="1575"/>
    </row>
    <row r="74" spans="1:11" ht="12.75" customHeight="1" x14ac:dyDescent="0.2">
      <c r="A74" s="427" t="s">
        <v>25</v>
      </c>
      <c r="B74" s="429">
        <v>1690</v>
      </c>
      <c r="C74" s="1632">
        <v>8278</v>
      </c>
      <c r="D74" s="1575"/>
      <c r="E74" s="1575"/>
      <c r="F74" s="1575"/>
      <c r="G74" s="1575"/>
      <c r="H74" s="1575"/>
      <c r="I74" s="1575"/>
      <c r="J74" s="1575"/>
      <c r="K74" s="1575"/>
    </row>
    <row r="75" spans="1:11" ht="12.75" customHeight="1" thickBot="1" x14ac:dyDescent="0.25">
      <c r="A75" s="1406" t="s">
        <v>544</v>
      </c>
      <c r="B75" s="1407"/>
      <c r="C75" s="1594">
        <f>SUM(C69:C74)</f>
        <v>173597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19147</v>
      </c>
      <c r="D77" s="1573">
        <v>0</v>
      </c>
      <c r="E77" s="1575"/>
      <c r="F77" s="1575"/>
      <c r="G77" s="1575"/>
      <c r="H77" s="1575"/>
      <c r="I77" s="1575"/>
      <c r="J77" s="1575"/>
      <c r="K77" s="1575"/>
    </row>
    <row r="78" spans="1:11" ht="12.75" customHeight="1" x14ac:dyDescent="0.2">
      <c r="A78" s="427" t="s">
        <v>76</v>
      </c>
      <c r="B78" s="429">
        <v>1719</v>
      </c>
      <c r="C78" s="1632">
        <v>500</v>
      </c>
      <c r="D78" s="1573">
        <v>0</v>
      </c>
      <c r="E78" s="1575"/>
      <c r="F78" s="1575"/>
      <c r="G78" s="1575"/>
      <c r="H78" s="1575"/>
      <c r="I78" s="1575"/>
      <c r="J78" s="1575"/>
      <c r="K78" s="1575"/>
    </row>
    <row r="79" spans="1:11" ht="12.75" customHeight="1" x14ac:dyDescent="0.2">
      <c r="A79" s="427" t="s">
        <v>546</v>
      </c>
      <c r="B79" s="429">
        <v>1720</v>
      </c>
      <c r="C79" s="1632">
        <v>6905</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33670</v>
      </c>
      <c r="D81" s="1573">
        <v>0</v>
      </c>
      <c r="E81" s="1575"/>
      <c r="F81" s="1575"/>
      <c r="G81" s="1575"/>
      <c r="H81" s="1575"/>
      <c r="I81" s="1575"/>
      <c r="J81" s="1575"/>
      <c r="K81" s="1575"/>
    </row>
    <row r="82" spans="1:11" ht="12.75" customHeight="1" thickBot="1" x14ac:dyDescent="0.25">
      <c r="A82" s="1406" t="s">
        <v>239</v>
      </c>
      <c r="B82" s="1407"/>
      <c r="C82" s="1633">
        <f>SUM(C77:C81)</f>
        <v>60222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70543</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182</v>
      </c>
      <c r="D92" s="1575"/>
      <c r="E92" s="1575"/>
      <c r="F92" s="1575"/>
      <c r="G92" s="1575"/>
      <c r="H92" s="1575"/>
      <c r="I92" s="1575"/>
      <c r="J92" s="1575"/>
      <c r="K92" s="1575"/>
    </row>
    <row r="93" spans="1:11" ht="12.75" customHeight="1" thickBot="1" x14ac:dyDescent="0.25">
      <c r="A93" s="1406" t="s">
        <v>241</v>
      </c>
      <c r="B93" s="1407"/>
      <c r="C93" s="1594">
        <f>SUM(C84:C92)</f>
        <v>70725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250</v>
      </c>
      <c r="D95" s="1632">
        <v>53715</v>
      </c>
      <c r="E95" s="1617"/>
      <c r="F95" s="1617"/>
      <c r="G95" s="1617"/>
      <c r="H95" s="1617"/>
      <c r="I95" s="1617"/>
      <c r="J95" s="1617"/>
      <c r="K95" s="1617"/>
    </row>
    <row r="96" spans="1:11" ht="12.75" customHeight="1" x14ac:dyDescent="0.2">
      <c r="A96" s="427" t="s">
        <v>388</v>
      </c>
      <c r="B96" s="429">
        <v>1920</v>
      </c>
      <c r="C96" s="1632">
        <v>1250</v>
      </c>
      <c r="D96" s="1632">
        <v>740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109427</v>
      </c>
      <c r="D99" s="1573">
        <v>9504</v>
      </c>
      <c r="E99" s="1573">
        <v>0</v>
      </c>
      <c r="F99" s="1573">
        <v>0</v>
      </c>
      <c r="G99" s="1573">
        <v>0</v>
      </c>
      <c r="H99" s="1573">
        <v>0</v>
      </c>
      <c r="I99" s="1575"/>
      <c r="J99" s="1574">
        <v>1391</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239943</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4251</v>
      </c>
      <c r="D106" s="1598">
        <v>0</v>
      </c>
      <c r="E106" s="1574">
        <v>0</v>
      </c>
      <c r="F106" s="1574">
        <v>0</v>
      </c>
      <c r="G106" s="1574">
        <v>0</v>
      </c>
      <c r="H106" s="1574">
        <v>0</v>
      </c>
      <c r="I106" s="1617"/>
      <c r="J106" s="1574">
        <v>0</v>
      </c>
      <c r="K106" s="1574">
        <v>0</v>
      </c>
    </row>
    <row r="107" spans="1:12" ht="12.75" customHeight="1" x14ac:dyDescent="0.2">
      <c r="A107" s="427" t="s">
        <v>78</v>
      </c>
      <c r="B107" s="429">
        <v>1999</v>
      </c>
      <c r="C107" s="1632">
        <v>946</v>
      </c>
      <c r="D107" s="1573">
        <v>0</v>
      </c>
      <c r="E107" s="1573">
        <v>0</v>
      </c>
      <c r="F107" s="1573">
        <v>670</v>
      </c>
      <c r="G107" s="1573">
        <v>0</v>
      </c>
      <c r="H107" s="1573">
        <v>0</v>
      </c>
      <c r="I107" s="1573">
        <v>0</v>
      </c>
      <c r="J107" s="1574">
        <v>0</v>
      </c>
      <c r="K107" s="1573">
        <v>0</v>
      </c>
    </row>
    <row r="108" spans="1:12" ht="12.75" customHeight="1" thickBot="1" x14ac:dyDescent="0.25">
      <c r="A108" s="1406" t="s">
        <v>484</v>
      </c>
      <c r="B108" s="1408"/>
      <c r="C108" s="1633">
        <f>SUM(C95:C107)</f>
        <v>116124</v>
      </c>
      <c r="D108" s="1633">
        <f t="shared" ref="D108:K108" si="3">SUM(D95:D107)</f>
        <v>63959</v>
      </c>
      <c r="E108" s="1633">
        <f t="shared" si="3"/>
        <v>239943</v>
      </c>
      <c r="F108" s="1633">
        <f t="shared" si="3"/>
        <v>670</v>
      </c>
      <c r="G108" s="1633">
        <f t="shared" si="3"/>
        <v>0</v>
      </c>
      <c r="H108" s="1633">
        <f t="shared" si="3"/>
        <v>0</v>
      </c>
      <c r="I108" s="1633">
        <f t="shared" si="3"/>
        <v>0</v>
      </c>
      <c r="J108" s="1633">
        <f t="shared" si="3"/>
        <v>1391</v>
      </c>
      <c r="K108" s="1594">
        <f t="shared" si="3"/>
        <v>0</v>
      </c>
    </row>
    <row r="109" spans="1:12" ht="14.25" thickTop="1" thickBot="1" x14ac:dyDescent="0.25">
      <c r="A109" s="1409" t="s">
        <v>246</v>
      </c>
      <c r="B109" s="1410" t="s">
        <v>566</v>
      </c>
      <c r="C109" s="1641">
        <f t="shared" ref="C109:K109" si="4">SUM(C12,C18,C40,C63,C67,C75,C82,C93,C108,)</f>
        <v>3347250</v>
      </c>
      <c r="D109" s="1641">
        <f t="shared" si="4"/>
        <v>593984</v>
      </c>
      <c r="E109" s="1641">
        <f t="shared" si="4"/>
        <v>1358599</v>
      </c>
      <c r="F109" s="1641">
        <f t="shared" si="4"/>
        <v>202648</v>
      </c>
      <c r="G109" s="1641">
        <f t="shared" si="4"/>
        <v>177814</v>
      </c>
      <c r="H109" s="1641">
        <f t="shared" si="4"/>
        <v>94</v>
      </c>
      <c r="I109" s="1641">
        <f t="shared" si="4"/>
        <v>12761</v>
      </c>
      <c r="J109" s="1641">
        <f t="shared" si="4"/>
        <v>307607</v>
      </c>
      <c r="K109" s="1629">
        <f t="shared" si="4"/>
        <v>201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2045228</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2045228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21833</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625</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22458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820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112527</v>
      </c>
      <c r="G152" s="1574">
        <v>0</v>
      </c>
      <c r="H152" s="1575"/>
      <c r="I152" s="1575"/>
      <c r="J152" s="1575"/>
      <c r="K152" s="1575"/>
    </row>
    <row r="153" spans="1:11" ht="12.75" customHeight="1" x14ac:dyDescent="0.2">
      <c r="A153" s="427" t="s">
        <v>1048</v>
      </c>
      <c r="B153" s="478">
        <v>3510</v>
      </c>
      <c r="C153" s="1632">
        <v>0</v>
      </c>
      <c r="D153" s="1573">
        <v>0</v>
      </c>
      <c r="E153" s="1640"/>
      <c r="F153" s="1573">
        <v>75620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188147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0" t="s">
        <v>395</v>
      </c>
      <c r="B169" s="2251"/>
      <c r="C169" s="1658">
        <f t="shared" ref="C169:K169" si="6">SUM(C132,C141,C145,C146:C150,C155,C156:C167,C168)</f>
        <v>23278</v>
      </c>
      <c r="D169" s="1658">
        <f t="shared" si="6"/>
        <v>0</v>
      </c>
      <c r="E169" s="1658">
        <f t="shared" si="6"/>
        <v>0</v>
      </c>
      <c r="F169" s="1658">
        <f t="shared" si="6"/>
        <v>188147</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2068506</v>
      </c>
      <c r="D170" s="1641">
        <f t="shared" si="7"/>
        <v>0</v>
      </c>
      <c r="E170" s="1641">
        <f t="shared" si="7"/>
        <v>0</v>
      </c>
      <c r="F170" s="1641">
        <f t="shared" si="7"/>
        <v>188147</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78117</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34877</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112994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41355</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41355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9938</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177553</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187491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21476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5770</v>
      </c>
      <c r="D263" s="1651">
        <v>0</v>
      </c>
      <c r="E263" s="1575"/>
      <c r="F263" s="1651">
        <v>0</v>
      </c>
      <c r="G263" s="1651">
        <v>0</v>
      </c>
      <c r="H263" s="1575"/>
      <c r="I263" s="1575"/>
      <c r="J263" s="1575"/>
      <c r="K263" s="1575"/>
    </row>
    <row r="264" spans="1:11" ht="12.75" customHeight="1" thickTop="1" thickBot="1" x14ac:dyDescent="0.25">
      <c r="A264" s="427" t="s">
        <v>374</v>
      </c>
      <c r="B264" s="429">
        <v>4992</v>
      </c>
      <c r="C264" s="1650">
        <v>1905</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370991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370991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5786747</v>
      </c>
      <c r="D268" s="1641">
        <f t="shared" si="12"/>
        <v>593984</v>
      </c>
      <c r="E268" s="1641">
        <f t="shared" si="12"/>
        <v>1358599</v>
      </c>
      <c r="F268" s="1641">
        <f t="shared" si="12"/>
        <v>390795</v>
      </c>
      <c r="G268" s="1641">
        <f t="shared" si="12"/>
        <v>177814</v>
      </c>
      <c r="H268" s="1641">
        <f t="shared" si="12"/>
        <v>50094</v>
      </c>
      <c r="I268" s="1641">
        <f t="shared" si="12"/>
        <v>12761</v>
      </c>
      <c r="J268" s="1641">
        <f t="shared" si="12"/>
        <v>307607</v>
      </c>
      <c r="K268" s="1629">
        <f t="shared" si="12"/>
        <v>201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3" right="0.15" top="0.86" bottom="0.5" header="0.28000000000000003" footer="0.1"/>
  <pageSetup scale="72" firstPageNumber="9" orientation="landscape" useFirstPageNumber="1" r:id="rId1"/>
  <headerFooter alignWithMargins="0">
    <oddHeader>&amp;L&amp;8Page &amp;P&amp;C&amp;"Arial,Bold"&amp;9STATEMENT OF REVENUES RECEIVED/REVENUES
FOR THE YEAR ENDING JUNE 30, 2020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5" sqref="T25:AA2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2330359</v>
      </c>
      <c r="D5" s="1573">
        <v>503074</v>
      </c>
      <c r="E5" s="1573">
        <v>27395</v>
      </c>
      <c r="F5" s="1573">
        <v>77422</v>
      </c>
      <c r="G5" s="1573">
        <v>28326</v>
      </c>
      <c r="H5" s="1573">
        <v>17601</v>
      </c>
      <c r="I5" s="1574">
        <v>0</v>
      </c>
      <c r="J5" s="1574">
        <v>0</v>
      </c>
      <c r="K5" s="1672">
        <f>SUM(C5:J5)</f>
        <v>2984177</v>
      </c>
      <c r="L5" s="1573">
        <v>3109445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584167</v>
      </c>
      <c r="D8" s="1573">
        <v>125321</v>
      </c>
      <c r="E8" s="1573">
        <v>0</v>
      </c>
      <c r="F8" s="1573">
        <v>1007</v>
      </c>
      <c r="G8" s="1573">
        <v>0</v>
      </c>
      <c r="H8" s="1573">
        <v>0</v>
      </c>
      <c r="I8" s="1574">
        <v>0</v>
      </c>
      <c r="J8" s="1574">
        <v>0</v>
      </c>
      <c r="K8" s="1672">
        <f t="shared" si="0"/>
        <v>710495</v>
      </c>
      <c r="L8" s="1573">
        <v>771385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47727</v>
      </c>
      <c r="D10" s="1573">
        <v>18685</v>
      </c>
      <c r="E10" s="1573">
        <v>499</v>
      </c>
      <c r="F10" s="1573">
        <v>929</v>
      </c>
      <c r="G10" s="1573">
        <v>0</v>
      </c>
      <c r="H10" s="1573">
        <v>0</v>
      </c>
      <c r="I10" s="1574">
        <v>0</v>
      </c>
      <c r="J10" s="1574">
        <v>0</v>
      </c>
      <c r="K10" s="1672">
        <f t="shared" si="0"/>
        <v>67840</v>
      </c>
      <c r="L10" s="1573">
        <v>80395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84205</v>
      </c>
      <c r="D14" s="1573">
        <v>8067</v>
      </c>
      <c r="E14" s="1573">
        <v>9989</v>
      </c>
      <c r="F14" s="1573">
        <v>24414</v>
      </c>
      <c r="G14" s="1573">
        <v>0</v>
      </c>
      <c r="H14" s="1573">
        <v>6631</v>
      </c>
      <c r="I14" s="1574">
        <v>0</v>
      </c>
      <c r="J14" s="1574">
        <v>0</v>
      </c>
      <c r="K14" s="1672">
        <f t="shared" si="0"/>
        <v>133306</v>
      </c>
      <c r="L14" s="1573">
        <v>156050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1200</v>
      </c>
      <c r="D16" s="1573">
        <v>140</v>
      </c>
      <c r="E16" s="1573">
        <v>0</v>
      </c>
      <c r="F16" s="1573">
        <v>0</v>
      </c>
      <c r="G16" s="1573">
        <v>0</v>
      </c>
      <c r="H16" s="1573">
        <v>0</v>
      </c>
      <c r="I16" s="1574">
        <v>0</v>
      </c>
      <c r="J16" s="1574">
        <v>0</v>
      </c>
      <c r="K16" s="1672">
        <f t="shared" si="0"/>
        <v>1340</v>
      </c>
      <c r="L16" s="1573">
        <v>1340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92415</v>
      </c>
      <c r="I22" s="1673"/>
      <c r="J22" s="1582"/>
      <c r="K22" s="1672">
        <f t="shared" si="0"/>
        <v>92415</v>
      </c>
      <c r="L22" s="1577">
        <v>59000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3047658</v>
      </c>
      <c r="D33" s="1674">
        <f t="shared" ref="D33:L33" si="1">SUM(D5:D32)</f>
        <v>655287</v>
      </c>
      <c r="E33" s="1674">
        <f t="shared" si="1"/>
        <v>37883</v>
      </c>
      <c r="F33" s="1674">
        <f t="shared" si="1"/>
        <v>103772</v>
      </c>
      <c r="G33" s="1674">
        <f t="shared" si="1"/>
        <v>28326</v>
      </c>
      <c r="H33" s="1674">
        <f t="shared" si="1"/>
        <v>116647</v>
      </c>
      <c r="I33" s="1674">
        <f t="shared" si="1"/>
        <v>0</v>
      </c>
      <c r="J33" s="1674">
        <f t="shared" si="1"/>
        <v>0</v>
      </c>
      <c r="K33" s="1674">
        <f t="shared" si="1"/>
        <v>3989573</v>
      </c>
      <c r="L33" s="1674">
        <f t="shared" si="1"/>
        <v>4177615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88031</v>
      </c>
      <c r="D37" s="1573">
        <v>18994</v>
      </c>
      <c r="E37" s="1573">
        <v>0</v>
      </c>
      <c r="F37" s="1573">
        <v>0</v>
      </c>
      <c r="G37" s="1573">
        <v>0</v>
      </c>
      <c r="H37" s="1573">
        <v>0</v>
      </c>
      <c r="I37" s="1574">
        <v>0</v>
      </c>
      <c r="J37" s="1574">
        <v>0</v>
      </c>
      <c r="K37" s="1672">
        <f t="shared" si="2"/>
        <v>107025</v>
      </c>
      <c r="L37" s="1573">
        <v>104575</v>
      </c>
    </row>
    <row r="38" spans="1:14" x14ac:dyDescent="0.2">
      <c r="A38" s="1274" t="s">
        <v>196</v>
      </c>
      <c r="B38" s="503">
        <v>2130</v>
      </c>
      <c r="C38" s="1573">
        <v>34836</v>
      </c>
      <c r="D38" s="1573">
        <v>83</v>
      </c>
      <c r="E38" s="1573">
        <v>1375</v>
      </c>
      <c r="F38" s="1573">
        <v>3406</v>
      </c>
      <c r="G38" s="1573">
        <v>0</v>
      </c>
      <c r="H38" s="1573">
        <v>0</v>
      </c>
      <c r="I38" s="1573">
        <v>0</v>
      </c>
      <c r="J38" s="1573">
        <v>0</v>
      </c>
      <c r="K38" s="1672">
        <f t="shared" si="2"/>
        <v>39700</v>
      </c>
      <c r="L38" s="1573">
        <v>43025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65426</v>
      </c>
      <c r="D40" s="1573">
        <v>7838</v>
      </c>
      <c r="E40" s="1573">
        <v>0</v>
      </c>
      <c r="F40" s="1573">
        <v>118</v>
      </c>
      <c r="G40" s="1573">
        <v>0</v>
      </c>
      <c r="H40" s="1573">
        <v>225</v>
      </c>
      <c r="I40" s="1574">
        <v>0</v>
      </c>
      <c r="J40" s="1574">
        <v>0</v>
      </c>
      <c r="K40" s="1672">
        <f t="shared" si="2"/>
        <v>73607</v>
      </c>
      <c r="L40" s="1573">
        <v>74055</v>
      </c>
    </row>
    <row r="41" spans="1:14" x14ac:dyDescent="0.2">
      <c r="A41" s="1274" t="s">
        <v>1650</v>
      </c>
      <c r="B41" s="503">
        <v>2190</v>
      </c>
      <c r="C41" s="1573">
        <v>0</v>
      </c>
      <c r="D41" s="1573">
        <v>0</v>
      </c>
      <c r="E41" s="1573">
        <v>35922</v>
      </c>
      <c r="F41" s="1573">
        <v>0</v>
      </c>
      <c r="G41" s="1573">
        <v>0</v>
      </c>
      <c r="H41" s="1573">
        <v>2568</v>
      </c>
      <c r="I41" s="1574">
        <v>0</v>
      </c>
      <c r="J41" s="1574">
        <v>0</v>
      </c>
      <c r="K41" s="1672">
        <f t="shared" si="2"/>
        <v>38490</v>
      </c>
      <c r="L41" s="1573">
        <v>38425</v>
      </c>
    </row>
    <row r="42" spans="1:14" ht="12.75" customHeight="1" thickBot="1" x14ac:dyDescent="0.25">
      <c r="A42" s="1380" t="s">
        <v>556</v>
      </c>
      <c r="B42" s="1381" t="s">
        <v>711</v>
      </c>
      <c r="C42" s="1674">
        <f>SUM(C36:C41)</f>
        <v>188293</v>
      </c>
      <c r="D42" s="1674">
        <f t="shared" ref="D42:L42" si="3">SUM(D36:D41)</f>
        <v>26915</v>
      </c>
      <c r="E42" s="1674">
        <f t="shared" si="3"/>
        <v>37297</v>
      </c>
      <c r="F42" s="1674">
        <f t="shared" si="3"/>
        <v>3524</v>
      </c>
      <c r="G42" s="1674">
        <f t="shared" si="3"/>
        <v>0</v>
      </c>
      <c r="H42" s="1674">
        <f t="shared" si="3"/>
        <v>2793</v>
      </c>
      <c r="I42" s="1674">
        <f t="shared" si="3"/>
        <v>0</v>
      </c>
      <c r="J42" s="1674">
        <f t="shared" si="3"/>
        <v>0</v>
      </c>
      <c r="K42" s="1674">
        <f t="shared" si="3"/>
        <v>258822</v>
      </c>
      <c r="L42" s="1674">
        <f t="shared" si="3"/>
        <v>260080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44920</v>
      </c>
      <c r="D44" s="1586">
        <v>7420</v>
      </c>
      <c r="E44" s="1586">
        <v>0</v>
      </c>
      <c r="F44" s="1586">
        <v>0</v>
      </c>
      <c r="G44" s="1586">
        <v>0</v>
      </c>
      <c r="H44" s="1586">
        <v>0</v>
      </c>
      <c r="I44" s="1574">
        <v>0</v>
      </c>
      <c r="J44" s="1574">
        <v>0</v>
      </c>
      <c r="K44" s="1678">
        <f>SUM(C44:J44)</f>
        <v>52340</v>
      </c>
      <c r="L44" s="1586">
        <v>53560</v>
      </c>
    </row>
    <row r="45" spans="1:14" x14ac:dyDescent="0.2">
      <c r="A45" s="1274" t="s">
        <v>810</v>
      </c>
      <c r="B45" s="503">
        <v>2220</v>
      </c>
      <c r="C45" s="1573">
        <v>67485</v>
      </c>
      <c r="D45" s="1573">
        <v>15766</v>
      </c>
      <c r="E45" s="1573">
        <v>0</v>
      </c>
      <c r="F45" s="1573">
        <v>4481</v>
      </c>
      <c r="G45" s="1573">
        <v>0</v>
      </c>
      <c r="H45" s="1573">
        <v>0</v>
      </c>
      <c r="I45" s="1574">
        <v>0</v>
      </c>
      <c r="J45" s="1574">
        <v>0</v>
      </c>
      <c r="K45" s="1678">
        <f>SUM(C45:J45)</f>
        <v>87732</v>
      </c>
      <c r="L45" s="1573">
        <v>91335</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112405</v>
      </c>
      <c r="D47" s="1674">
        <f t="shared" ref="D47:K47" si="4">SUM(D44:D46)</f>
        <v>23186</v>
      </c>
      <c r="E47" s="1674">
        <f t="shared" si="4"/>
        <v>0</v>
      </c>
      <c r="F47" s="1674">
        <f t="shared" si="4"/>
        <v>4481</v>
      </c>
      <c r="G47" s="1674">
        <f t="shared" si="4"/>
        <v>0</v>
      </c>
      <c r="H47" s="1674">
        <f t="shared" si="4"/>
        <v>0</v>
      </c>
      <c r="I47" s="1674">
        <f t="shared" si="4"/>
        <v>0</v>
      </c>
      <c r="J47" s="1674">
        <f t="shared" si="4"/>
        <v>0</v>
      </c>
      <c r="K47" s="1674">
        <f t="shared" si="4"/>
        <v>140072</v>
      </c>
      <c r="L47" s="1674">
        <f>SUM(L44:L46)</f>
        <v>144895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25430</v>
      </c>
      <c r="F49" s="1586">
        <v>950</v>
      </c>
      <c r="G49" s="1586">
        <v>0</v>
      </c>
      <c r="H49" s="1586">
        <v>22915</v>
      </c>
      <c r="I49" s="1574">
        <v>0</v>
      </c>
      <c r="J49" s="1574">
        <v>0</v>
      </c>
      <c r="K49" s="1678">
        <f>SUM(C49:J49)</f>
        <v>49295</v>
      </c>
      <c r="L49" s="1586">
        <v>61450</v>
      </c>
    </row>
    <row r="50" spans="1:14" x14ac:dyDescent="0.2">
      <c r="A50" s="1274" t="s">
        <v>813</v>
      </c>
      <c r="B50" s="503">
        <v>2320</v>
      </c>
      <c r="C50" s="1574">
        <v>133719</v>
      </c>
      <c r="D50" s="1573">
        <v>26571</v>
      </c>
      <c r="E50" s="1573">
        <v>1344</v>
      </c>
      <c r="F50" s="1573">
        <v>285</v>
      </c>
      <c r="G50" s="1573">
        <v>0</v>
      </c>
      <c r="H50" s="1573">
        <v>1400</v>
      </c>
      <c r="I50" s="1574">
        <v>0</v>
      </c>
      <c r="J50" s="1574">
        <v>0</v>
      </c>
      <c r="K50" s="1678">
        <f>SUM(C50:J50)</f>
        <v>163319</v>
      </c>
      <c r="L50" s="1573">
        <v>168021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133719</v>
      </c>
      <c r="D53" s="1674">
        <f t="shared" ref="D53:L53" si="5">SUM(D49:D52)</f>
        <v>26571</v>
      </c>
      <c r="E53" s="1674">
        <f t="shared" si="5"/>
        <v>26774</v>
      </c>
      <c r="F53" s="1674">
        <f t="shared" si="5"/>
        <v>1235</v>
      </c>
      <c r="G53" s="1674">
        <f t="shared" si="5"/>
        <v>0</v>
      </c>
      <c r="H53" s="1674">
        <f t="shared" si="5"/>
        <v>24315</v>
      </c>
      <c r="I53" s="1674">
        <f t="shared" si="5"/>
        <v>0</v>
      </c>
      <c r="J53" s="1674">
        <f t="shared" si="5"/>
        <v>0</v>
      </c>
      <c r="K53" s="1674">
        <f t="shared" si="5"/>
        <v>212614</v>
      </c>
      <c r="L53" s="1674">
        <f t="shared" si="5"/>
        <v>229471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222527</v>
      </c>
      <c r="D55" s="1586">
        <v>55449</v>
      </c>
      <c r="E55" s="1586">
        <v>27153</v>
      </c>
      <c r="F55" s="1586">
        <v>1645</v>
      </c>
      <c r="G55" s="1586">
        <v>0</v>
      </c>
      <c r="H55" s="1586">
        <v>299</v>
      </c>
      <c r="I55" s="1574">
        <v>0</v>
      </c>
      <c r="J55" s="1574">
        <v>0</v>
      </c>
      <c r="K55" s="1678">
        <f>SUM(C55:J55)</f>
        <v>307073</v>
      </c>
      <c r="L55" s="1586">
        <v>326160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222527</v>
      </c>
      <c r="D57" s="1679">
        <f t="shared" ref="D57:K57" si="6">SUM(D55:D56)</f>
        <v>55449</v>
      </c>
      <c r="E57" s="1679">
        <f t="shared" si="6"/>
        <v>27153</v>
      </c>
      <c r="F57" s="1679">
        <f t="shared" si="6"/>
        <v>1645</v>
      </c>
      <c r="G57" s="1679">
        <f t="shared" si="6"/>
        <v>0</v>
      </c>
      <c r="H57" s="1679">
        <f t="shared" si="6"/>
        <v>299</v>
      </c>
      <c r="I57" s="1679">
        <f t="shared" si="6"/>
        <v>0</v>
      </c>
      <c r="J57" s="1679">
        <f t="shared" si="6"/>
        <v>0</v>
      </c>
      <c r="K57" s="1679">
        <f t="shared" si="6"/>
        <v>307073</v>
      </c>
      <c r="L57" s="1674">
        <f>SUM(L55:L56)</f>
        <v>326160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58206</v>
      </c>
      <c r="D60" s="1573">
        <v>4748</v>
      </c>
      <c r="E60" s="1573">
        <v>0</v>
      </c>
      <c r="F60" s="1573">
        <v>5954</v>
      </c>
      <c r="G60" s="1573">
        <v>0</v>
      </c>
      <c r="H60" s="1573">
        <v>0</v>
      </c>
      <c r="I60" s="1574">
        <v>0</v>
      </c>
      <c r="J60" s="1574">
        <v>0</v>
      </c>
      <c r="K60" s="1678">
        <f t="shared" si="7"/>
        <v>68908</v>
      </c>
      <c r="L60" s="1573">
        <v>74787</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130820</v>
      </c>
      <c r="D63" s="1573">
        <v>12070</v>
      </c>
      <c r="E63" s="1573">
        <v>194</v>
      </c>
      <c r="F63" s="1573">
        <v>152722</v>
      </c>
      <c r="G63" s="1573">
        <v>0</v>
      </c>
      <c r="H63" s="1573">
        <v>423</v>
      </c>
      <c r="I63" s="1574">
        <v>0</v>
      </c>
      <c r="J63" s="1574">
        <v>0</v>
      </c>
      <c r="K63" s="1678">
        <f t="shared" si="7"/>
        <v>296229</v>
      </c>
      <c r="L63" s="1573">
        <v>331595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189026</v>
      </c>
      <c r="D65" s="1674">
        <f t="shared" ref="D65:L65" si="8">SUM(D59:D64)</f>
        <v>16818</v>
      </c>
      <c r="E65" s="1674">
        <f t="shared" si="8"/>
        <v>194</v>
      </c>
      <c r="F65" s="1674">
        <f t="shared" si="8"/>
        <v>158676</v>
      </c>
      <c r="G65" s="1674">
        <f t="shared" si="8"/>
        <v>0</v>
      </c>
      <c r="H65" s="1674">
        <f t="shared" si="8"/>
        <v>423</v>
      </c>
      <c r="I65" s="1674">
        <f t="shared" si="8"/>
        <v>0</v>
      </c>
      <c r="J65" s="1674">
        <f t="shared" si="8"/>
        <v>0</v>
      </c>
      <c r="K65" s="1674">
        <f t="shared" si="8"/>
        <v>365137</v>
      </c>
      <c r="L65" s="1674">
        <f t="shared" si="8"/>
        <v>406382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3803</v>
      </c>
      <c r="D69" s="1573">
        <v>448</v>
      </c>
      <c r="E69" s="1573">
        <v>0</v>
      </c>
      <c r="F69" s="1573">
        <v>0</v>
      </c>
      <c r="G69" s="1573">
        <v>0</v>
      </c>
      <c r="H69" s="1573">
        <v>0</v>
      </c>
      <c r="I69" s="1574">
        <v>0</v>
      </c>
      <c r="J69" s="1574">
        <v>0</v>
      </c>
      <c r="K69" s="1678">
        <f>SUM(C69:J69)</f>
        <v>4251</v>
      </c>
      <c r="L69" s="1573">
        <v>4290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75189</v>
      </c>
      <c r="D71" s="1573">
        <v>15378</v>
      </c>
      <c r="E71" s="1573">
        <v>0</v>
      </c>
      <c r="F71" s="1573">
        <v>0</v>
      </c>
      <c r="G71" s="1573">
        <v>0</v>
      </c>
      <c r="H71" s="1573">
        <v>0</v>
      </c>
      <c r="I71" s="1574">
        <v>0</v>
      </c>
      <c r="J71" s="1574">
        <v>0</v>
      </c>
      <c r="K71" s="1678">
        <f>SUM(C71:J71)</f>
        <v>90567</v>
      </c>
      <c r="L71" s="1573">
        <v>95985</v>
      </c>
      <c r="M71" s="501"/>
      <c r="N71" s="501"/>
    </row>
    <row r="72" spans="1:14" s="321" customFormat="1" ht="12.75" customHeight="1" thickBot="1" x14ac:dyDescent="0.25">
      <c r="A72" s="1380" t="s">
        <v>37</v>
      </c>
      <c r="B72" s="1383" t="s">
        <v>36</v>
      </c>
      <c r="C72" s="1674">
        <f>SUM(C67:C71)</f>
        <v>78992</v>
      </c>
      <c r="D72" s="1674">
        <f t="shared" ref="D72:K72" si="9">SUM(D67:D71)</f>
        <v>15826</v>
      </c>
      <c r="E72" s="1674">
        <f t="shared" si="9"/>
        <v>0</v>
      </c>
      <c r="F72" s="1674">
        <f t="shared" si="9"/>
        <v>0</v>
      </c>
      <c r="G72" s="1674">
        <f t="shared" si="9"/>
        <v>0</v>
      </c>
      <c r="H72" s="1674">
        <f t="shared" si="9"/>
        <v>0</v>
      </c>
      <c r="I72" s="1674">
        <f t="shared" si="9"/>
        <v>0</v>
      </c>
      <c r="J72" s="1674">
        <f t="shared" si="9"/>
        <v>0</v>
      </c>
      <c r="K72" s="1674">
        <f t="shared" si="9"/>
        <v>94818</v>
      </c>
      <c r="L72" s="1674">
        <f>SUM(L67:L71)</f>
        <v>100275</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924962</v>
      </c>
      <c r="D74" s="1681">
        <f t="shared" ref="D74:K74" si="10">SUM(D42,D47,D53,D57,D65,D72,D73)</f>
        <v>164765</v>
      </c>
      <c r="E74" s="1681">
        <f t="shared" si="10"/>
        <v>91418</v>
      </c>
      <c r="F74" s="1681">
        <f t="shared" si="10"/>
        <v>169561</v>
      </c>
      <c r="G74" s="1681">
        <f t="shared" si="10"/>
        <v>0</v>
      </c>
      <c r="H74" s="1681">
        <f t="shared" si="10"/>
        <v>27830</v>
      </c>
      <c r="I74" s="1681">
        <f t="shared" si="10"/>
        <v>0</v>
      </c>
      <c r="J74" s="1681">
        <f t="shared" si="10"/>
        <v>0</v>
      </c>
      <c r="K74" s="1681">
        <f t="shared" si="10"/>
        <v>1378536</v>
      </c>
      <c r="L74" s="1681">
        <f>SUM(L42,L47,L53,L57,L65,L72,L73)</f>
        <v>1467263</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8814</v>
      </c>
      <c r="F78" s="1673"/>
      <c r="G78" s="1673"/>
      <c r="H78" s="1682">
        <v>0</v>
      </c>
      <c r="I78" s="1582"/>
      <c r="J78" s="1582"/>
      <c r="K78" s="1672">
        <f t="shared" ref="K78:K83" si="11">SUM(C78:J78)</f>
        <v>8814</v>
      </c>
      <c r="L78" s="1586">
        <v>0</v>
      </c>
    </row>
    <row r="79" spans="1:14" x14ac:dyDescent="0.2">
      <c r="A79" s="1274" t="s">
        <v>301</v>
      </c>
      <c r="B79" s="503">
        <v>4120</v>
      </c>
      <c r="C79" s="1673"/>
      <c r="D79" s="1673"/>
      <c r="E79" s="1573">
        <v>262638</v>
      </c>
      <c r="F79" s="1673"/>
      <c r="G79" s="1673"/>
      <c r="H79" s="1573">
        <v>0</v>
      </c>
      <c r="I79" s="1582"/>
      <c r="J79" s="1582"/>
      <c r="K79" s="1672">
        <f t="shared" si="11"/>
        <v>262638</v>
      </c>
      <c r="L79" s="1573">
        <v>262200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271452</v>
      </c>
      <c r="F84" s="1673"/>
      <c r="G84" s="1673"/>
      <c r="H84" s="1674">
        <f>SUM(H78:H83)</f>
        <v>0</v>
      </c>
      <c r="I84" s="1582"/>
      <c r="J84" s="1582"/>
      <c r="K84" s="1674">
        <f>SUM(K78:K83)</f>
        <v>271452</v>
      </c>
      <c r="L84" s="1674">
        <f>SUM(L78:L83)</f>
        <v>262200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315002</v>
      </c>
      <c r="I86" s="1582"/>
      <c r="J86" s="1582"/>
      <c r="K86" s="1681">
        <f t="shared" ref="K86:K98" si="12">H86</f>
        <v>315002</v>
      </c>
      <c r="L86" s="1626">
        <v>264400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315002</v>
      </c>
      <c r="I92" s="1582"/>
      <c r="J92" s="1582"/>
      <c r="K92" s="1681">
        <f t="shared" si="12"/>
        <v>315002</v>
      </c>
      <c r="L92" s="1674">
        <f>SUM(L85:L91)</f>
        <v>264400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271452</v>
      </c>
      <c r="F102" s="1673"/>
      <c r="G102" s="1673"/>
      <c r="H102" s="1681">
        <f>SUM(H84,H92,H100,H101)</f>
        <v>315002</v>
      </c>
      <c r="I102" s="1582"/>
      <c r="J102" s="1582"/>
      <c r="K102" s="1681">
        <f>SUM(K84,K92,K100,K101)</f>
        <v>586454</v>
      </c>
      <c r="L102" s="1681">
        <f>SUM(L84,L92,L100,L101)</f>
        <v>526600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3972620</v>
      </c>
      <c r="D114" s="1674">
        <f t="shared" ref="D114:K114" si="13">SUM(D33,D74,D75,D102,D112,D113)</f>
        <v>820052</v>
      </c>
      <c r="E114" s="1674">
        <f t="shared" si="13"/>
        <v>400753</v>
      </c>
      <c r="F114" s="1674">
        <f t="shared" si="13"/>
        <v>273333</v>
      </c>
      <c r="G114" s="1674">
        <f t="shared" si="13"/>
        <v>28326</v>
      </c>
      <c r="H114" s="1674">
        <f>SUM(H33,H74,H75,H102,H112,H113)</f>
        <v>459479</v>
      </c>
      <c r="I114" s="1674">
        <f t="shared" si="13"/>
        <v>0</v>
      </c>
      <c r="J114" s="1674">
        <f t="shared" si="13"/>
        <v>0</v>
      </c>
      <c r="K114" s="1674">
        <f t="shared" si="13"/>
        <v>5954563</v>
      </c>
      <c r="L114" s="1674">
        <f>SUM(L33,L74,L75,L102,L112,L113)</f>
        <v>6176478</v>
      </c>
    </row>
    <row r="115" spans="1:14" ht="13.5" thickTop="1" x14ac:dyDescent="0.2">
      <c r="A115" s="2262" t="s">
        <v>989</v>
      </c>
      <c r="B115" s="2263"/>
      <c r="C115" s="1675"/>
      <c r="D115" s="1675"/>
      <c r="E115" s="1675"/>
      <c r="F115" s="1675"/>
      <c r="G115" s="1675"/>
      <c r="H115" s="1675"/>
      <c r="I115" s="1675"/>
      <c r="J115" s="1675"/>
      <c r="K115" s="1689">
        <f>'Revenues 9-14'!C268-'Expenditures 15-22'!K114</f>
        <v>-167816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11369</v>
      </c>
      <c r="F123" s="1573">
        <v>40667</v>
      </c>
      <c r="G123" s="1573">
        <v>2280</v>
      </c>
      <c r="H123" s="1573">
        <v>0</v>
      </c>
      <c r="I123" s="1574">
        <v>0</v>
      </c>
      <c r="J123" s="1574">
        <v>0</v>
      </c>
      <c r="K123" s="1674">
        <f>SUM(C123:J123)</f>
        <v>54316</v>
      </c>
      <c r="L123" s="1573">
        <v>121500</v>
      </c>
    </row>
    <row r="124" spans="1:14" ht="14.25" thickTop="1" thickBot="1" x14ac:dyDescent="0.25">
      <c r="A124" s="1274" t="s">
        <v>195</v>
      </c>
      <c r="B124" s="503">
        <v>2540</v>
      </c>
      <c r="C124" s="1573">
        <v>194828</v>
      </c>
      <c r="D124" s="1573">
        <v>27697</v>
      </c>
      <c r="E124" s="1573">
        <v>85801</v>
      </c>
      <c r="F124" s="1573">
        <v>156877</v>
      </c>
      <c r="G124" s="1573">
        <v>870</v>
      </c>
      <c r="H124" s="1573">
        <v>0</v>
      </c>
      <c r="I124" s="1574">
        <v>0</v>
      </c>
      <c r="J124" s="1574">
        <v>0</v>
      </c>
      <c r="K124" s="1674">
        <f>SUM(C124:J124)</f>
        <v>466073</v>
      </c>
      <c r="L124" s="1573">
        <v>513850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194828</v>
      </c>
      <c r="D127" s="1674">
        <f t="shared" ref="D127:L127" si="14">SUM(D122:D126)</f>
        <v>27697</v>
      </c>
      <c r="E127" s="1674">
        <f t="shared" si="14"/>
        <v>97170</v>
      </c>
      <c r="F127" s="1674">
        <f t="shared" si="14"/>
        <v>197544</v>
      </c>
      <c r="G127" s="1674">
        <f t="shared" si="14"/>
        <v>3150</v>
      </c>
      <c r="H127" s="1674">
        <f t="shared" si="14"/>
        <v>0</v>
      </c>
      <c r="I127" s="1674">
        <f t="shared" si="14"/>
        <v>0</v>
      </c>
      <c r="J127" s="1674">
        <f t="shared" si="14"/>
        <v>0</v>
      </c>
      <c r="K127" s="1674">
        <f t="shared" si="14"/>
        <v>520389</v>
      </c>
      <c r="L127" s="1674">
        <f t="shared" si="14"/>
        <v>635350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194828</v>
      </c>
      <c r="D129" s="1681">
        <f t="shared" ref="D129:L129" si="15">SUM(D120,D127,D128)</f>
        <v>27697</v>
      </c>
      <c r="E129" s="1681">
        <f t="shared" si="15"/>
        <v>97170</v>
      </c>
      <c r="F129" s="1681">
        <f t="shared" si="15"/>
        <v>197544</v>
      </c>
      <c r="G129" s="1681">
        <f t="shared" si="15"/>
        <v>3150</v>
      </c>
      <c r="H129" s="1681">
        <f t="shared" si="15"/>
        <v>0</v>
      </c>
      <c r="I129" s="1681">
        <f t="shared" si="15"/>
        <v>0</v>
      </c>
      <c r="J129" s="1681">
        <f t="shared" si="15"/>
        <v>0</v>
      </c>
      <c r="K129" s="1681">
        <f t="shared" si="15"/>
        <v>520389</v>
      </c>
      <c r="L129" s="1681">
        <f t="shared" si="15"/>
        <v>635350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30000</v>
      </c>
    </row>
    <row r="151" spans="1:14" ht="12.75" customHeight="1" thickTop="1" thickBot="1" x14ac:dyDescent="0.25">
      <c r="A151" s="2279" t="s">
        <v>616</v>
      </c>
      <c r="B151" s="2259"/>
      <c r="C151" s="1674">
        <f>SUM(C129,C130,C139,C149,C150)</f>
        <v>194828</v>
      </c>
      <c r="D151" s="1674">
        <f t="shared" ref="D151:K151" si="16">SUM(D129,D130,D139,D149,D150)</f>
        <v>27697</v>
      </c>
      <c r="E151" s="1674">
        <f t="shared" si="16"/>
        <v>97170</v>
      </c>
      <c r="F151" s="1674">
        <f t="shared" si="16"/>
        <v>197544</v>
      </c>
      <c r="G151" s="1674">
        <f t="shared" si="16"/>
        <v>3150</v>
      </c>
      <c r="H151" s="1674">
        <f t="shared" si="16"/>
        <v>0</v>
      </c>
      <c r="I151" s="1674">
        <f t="shared" si="16"/>
        <v>0</v>
      </c>
      <c r="J151" s="1674">
        <f t="shared" si="16"/>
        <v>0</v>
      </c>
      <c r="K151" s="1674">
        <f t="shared" si="16"/>
        <v>520389</v>
      </c>
      <c r="L151" s="1674">
        <f>SUM(L129,L130,L139,L149,L150)</f>
        <v>665350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73595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123066</v>
      </c>
      <c r="I169" s="1673"/>
      <c r="J169" s="1673"/>
      <c r="K169" s="1672">
        <f>SUM(C169:H169)</f>
        <v>123066</v>
      </c>
      <c r="L169" s="1695">
        <v>124000</v>
      </c>
    </row>
    <row r="170" spans="1:14" ht="33.75" customHeight="1" x14ac:dyDescent="0.2">
      <c r="A170" s="543" t="s">
        <v>1651</v>
      </c>
      <c r="B170" s="545" t="s">
        <v>31</v>
      </c>
      <c r="C170" s="1673"/>
      <c r="D170" s="1673"/>
      <c r="E170" s="1673"/>
      <c r="F170" s="1673"/>
      <c r="G170" s="1673"/>
      <c r="H170" s="1646">
        <v>990000</v>
      </c>
      <c r="I170" s="1673"/>
      <c r="J170" s="1673"/>
      <c r="K170" s="1672">
        <f>SUM(C170:J170)</f>
        <v>990000</v>
      </c>
      <c r="L170" s="1646">
        <v>990000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1113066</v>
      </c>
      <c r="I172" s="1684"/>
      <c r="J172" s="1673"/>
      <c r="K172" s="1681">
        <f>SUM(K168,K169,K170,K171)</f>
        <v>1113066</v>
      </c>
      <c r="L172" s="1681">
        <f>SUM(L168,L169,L170,L171)</f>
        <v>1115000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1113066</v>
      </c>
      <c r="I174" s="1684"/>
      <c r="J174" s="1673"/>
      <c r="K174" s="1681">
        <f>SUM(K160,K172,K173)</f>
        <v>1113066</v>
      </c>
      <c r="L174" s="1681">
        <f>SUM(L160,L172,L173)</f>
        <v>1115000</v>
      </c>
    </row>
    <row r="175" spans="1:14" ht="13.5" thickTop="1" x14ac:dyDescent="0.2">
      <c r="A175" s="2262" t="s">
        <v>989</v>
      </c>
      <c r="B175" s="2263"/>
      <c r="C175" s="1673"/>
      <c r="D175" s="1673"/>
      <c r="E175" s="1673"/>
      <c r="F175" s="1673"/>
      <c r="G175" s="1673"/>
      <c r="H175" s="1675"/>
      <c r="I175" s="1673"/>
      <c r="J175" s="1673"/>
      <c r="K175" s="1689">
        <f>'Revenues 9-14'!E268-'Expenditures 15-22'!K174</f>
        <v>245533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192578</v>
      </c>
      <c r="D182" s="1573">
        <v>18076</v>
      </c>
      <c r="E182" s="1573">
        <v>4927</v>
      </c>
      <c r="F182" s="1573">
        <v>59910</v>
      </c>
      <c r="G182" s="1573">
        <v>95200</v>
      </c>
      <c r="H182" s="1573">
        <v>0</v>
      </c>
      <c r="I182" s="1574">
        <v>0</v>
      </c>
      <c r="J182" s="1574">
        <v>0</v>
      </c>
      <c r="K182" s="1672">
        <f>SUM(C182:J182)</f>
        <v>370691</v>
      </c>
      <c r="L182" s="1573">
        <v>412988</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192578</v>
      </c>
      <c r="D184" s="1681">
        <f t="shared" ref="D184:J184" si="17">SUM(D180,D182,D183)</f>
        <v>18076</v>
      </c>
      <c r="E184" s="1681">
        <f t="shared" si="17"/>
        <v>4927</v>
      </c>
      <c r="F184" s="1681">
        <f t="shared" si="17"/>
        <v>59910</v>
      </c>
      <c r="G184" s="1681">
        <f t="shared" si="17"/>
        <v>95200</v>
      </c>
      <c r="H184" s="1681">
        <f t="shared" si="17"/>
        <v>0</v>
      </c>
      <c r="I184" s="1681">
        <f t="shared" si="17"/>
        <v>0</v>
      </c>
      <c r="J184" s="1681">
        <f t="shared" si="17"/>
        <v>0</v>
      </c>
      <c r="K184" s="1681">
        <f>SUM(K180,K182,K183)</f>
        <v>370691</v>
      </c>
      <c r="L184" s="1681">
        <f>SUM(L180, L182:L183)</f>
        <v>412988</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1586</v>
      </c>
      <c r="I205" s="1673"/>
      <c r="J205" s="1673"/>
      <c r="K205" s="1696">
        <f>SUM(H205)</f>
        <v>1586</v>
      </c>
      <c r="L205" s="1630">
        <v>1600</v>
      </c>
    </row>
    <row r="206" spans="1:14" ht="30" customHeight="1" x14ac:dyDescent="0.2">
      <c r="A206" s="555" t="s">
        <v>1652</v>
      </c>
      <c r="B206" s="546" t="s">
        <v>31</v>
      </c>
      <c r="C206" s="1673"/>
      <c r="D206" s="1673"/>
      <c r="E206" s="1673"/>
      <c r="F206" s="1673"/>
      <c r="G206" s="1673"/>
      <c r="H206" s="1573">
        <v>31956</v>
      </c>
      <c r="I206" s="1673"/>
      <c r="J206" s="1673"/>
      <c r="K206" s="1672">
        <f>SUM(H206)</f>
        <v>31956</v>
      </c>
      <c r="L206" s="1573">
        <v>33500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33542</v>
      </c>
      <c r="I208" s="1673"/>
      <c r="J208" s="1673"/>
      <c r="K208" s="1681">
        <f>SUM(K204,K205,K206,K207)</f>
        <v>33542</v>
      </c>
      <c r="L208" s="1681">
        <f>SUM(L204,L205,L206,L207)</f>
        <v>35100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192578</v>
      </c>
      <c r="D210" s="1674">
        <f>SUM(D184,D185)</f>
        <v>18076</v>
      </c>
      <c r="E210" s="1674">
        <f>SUM(E184,E185,E196)</f>
        <v>4927</v>
      </c>
      <c r="F210" s="1674">
        <f>SUM(F184,F185)</f>
        <v>59910</v>
      </c>
      <c r="G210" s="1674">
        <f>SUM(G184,G185)</f>
        <v>95200</v>
      </c>
      <c r="H210" s="1674">
        <f>SUM(H184,H185,H196,H208,H209)</f>
        <v>33542</v>
      </c>
      <c r="I210" s="1674">
        <f>SUM(I184,I185)</f>
        <v>0</v>
      </c>
      <c r="J210" s="1674">
        <f>SUM(J184,J185)</f>
        <v>0</v>
      </c>
      <c r="K210" s="1672">
        <f>SUM(K184,K185,K196,K208,K209)</f>
        <v>404233</v>
      </c>
      <c r="L210" s="1674">
        <f>SUM(L184,L185,L196,L208,L209)</f>
        <v>448088</v>
      </c>
    </row>
    <row r="211" spans="1:14" ht="13.5" thickTop="1" x14ac:dyDescent="0.2">
      <c r="A211" s="2262" t="s">
        <v>989</v>
      </c>
      <c r="B211" s="2263"/>
      <c r="C211" s="1675"/>
      <c r="D211" s="1675"/>
      <c r="E211" s="1675"/>
      <c r="F211" s="1675"/>
      <c r="G211" s="1675"/>
      <c r="H211" s="1675"/>
      <c r="I211" s="1673"/>
      <c r="J211" s="1673"/>
      <c r="K211" s="1689">
        <f>'Revenues 9-14'!F268-'Expenditures 15-22'!K210</f>
        <v>-13438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36919</v>
      </c>
      <c r="E215" s="1673"/>
      <c r="F215" s="1673"/>
      <c r="G215" s="1673"/>
      <c r="H215" s="1673"/>
      <c r="I215" s="1673"/>
      <c r="J215" s="1673"/>
      <c r="K215" s="1672">
        <f>D215</f>
        <v>36919</v>
      </c>
      <c r="L215" s="1573">
        <v>37960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34835</v>
      </c>
      <c r="E217" s="1673"/>
      <c r="F217" s="1673"/>
      <c r="G217" s="1673"/>
      <c r="H217" s="1673"/>
      <c r="I217" s="1673"/>
      <c r="J217" s="1673"/>
      <c r="K217" s="1672">
        <f t="shared" si="19"/>
        <v>34835</v>
      </c>
      <c r="L217" s="1573">
        <v>43300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557</v>
      </c>
      <c r="E219" s="1673"/>
      <c r="F219" s="1673"/>
      <c r="G219" s="1673"/>
      <c r="H219" s="1673"/>
      <c r="I219" s="1673"/>
      <c r="J219" s="1673"/>
      <c r="K219" s="1672">
        <f t="shared" si="19"/>
        <v>557</v>
      </c>
      <c r="L219" s="1573">
        <v>695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3162</v>
      </c>
      <c r="E223" s="1673"/>
      <c r="F223" s="1673"/>
      <c r="G223" s="1673"/>
      <c r="H223" s="1673"/>
      <c r="I223" s="1673"/>
      <c r="J223" s="1673"/>
      <c r="K223" s="1672">
        <f t="shared" si="19"/>
        <v>3162</v>
      </c>
      <c r="L223" s="1573">
        <v>3310</v>
      </c>
    </row>
    <row r="224" spans="1:14" x14ac:dyDescent="0.2">
      <c r="A224" s="1274" t="s">
        <v>958</v>
      </c>
      <c r="B224" s="503">
        <v>1600</v>
      </c>
      <c r="C224" s="1673"/>
      <c r="D224" s="1573">
        <v>0</v>
      </c>
      <c r="E224" s="1673"/>
      <c r="F224" s="1673"/>
      <c r="G224" s="1673"/>
      <c r="H224" s="1673"/>
      <c r="I224" s="1673"/>
      <c r="J224" s="1673"/>
      <c r="K224" s="1672">
        <f t="shared" si="19"/>
        <v>0</v>
      </c>
      <c r="L224" s="1573">
        <v>20</v>
      </c>
    </row>
    <row r="225" spans="1:12" x14ac:dyDescent="0.2">
      <c r="A225" s="1274" t="s">
        <v>980</v>
      </c>
      <c r="B225" s="503">
        <v>1650</v>
      </c>
      <c r="C225" s="1673"/>
      <c r="D225" s="1573">
        <v>17</v>
      </c>
      <c r="E225" s="1673"/>
      <c r="F225" s="1673"/>
      <c r="G225" s="1673"/>
      <c r="H225" s="1673"/>
      <c r="I225" s="1673"/>
      <c r="J225" s="1673"/>
      <c r="K225" s="1672">
        <f t="shared" si="19"/>
        <v>17</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75490</v>
      </c>
      <c r="E229" s="1673"/>
      <c r="F229" s="1673"/>
      <c r="G229" s="1673"/>
      <c r="H229" s="1673"/>
      <c r="I229" s="1673"/>
      <c r="J229" s="1673"/>
      <c r="K229" s="1674">
        <f>SUM(K215:K228)</f>
        <v>75490</v>
      </c>
      <c r="L229" s="1674">
        <f>SUM(L215:L228)</f>
        <v>85285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1209</v>
      </c>
      <c r="E233" s="1673"/>
      <c r="F233" s="1673"/>
      <c r="G233" s="1673"/>
      <c r="H233" s="1673"/>
      <c r="I233" s="1673"/>
      <c r="J233" s="1673"/>
      <c r="K233" s="1672">
        <f t="shared" si="20"/>
        <v>1209</v>
      </c>
      <c r="L233" s="1573">
        <v>1300</v>
      </c>
    </row>
    <row r="234" spans="1:12" x14ac:dyDescent="0.2">
      <c r="A234" s="1274" t="s">
        <v>196</v>
      </c>
      <c r="B234" s="503">
        <v>2130</v>
      </c>
      <c r="C234" s="1673"/>
      <c r="D234" s="1573">
        <v>6570</v>
      </c>
      <c r="E234" s="1673"/>
      <c r="F234" s="1673"/>
      <c r="G234" s="1673"/>
      <c r="H234" s="1673"/>
      <c r="I234" s="1673"/>
      <c r="J234" s="1673"/>
      <c r="K234" s="1672">
        <f t="shared" si="20"/>
        <v>6570</v>
      </c>
      <c r="L234" s="1573">
        <v>6150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851</v>
      </c>
      <c r="E236" s="1673"/>
      <c r="F236" s="1673"/>
      <c r="G236" s="1673"/>
      <c r="H236" s="1673"/>
      <c r="I236" s="1673"/>
      <c r="J236" s="1673"/>
      <c r="K236" s="1672">
        <f t="shared" si="20"/>
        <v>851</v>
      </c>
      <c r="L236" s="1573">
        <v>975</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8630</v>
      </c>
      <c r="E238" s="1673"/>
      <c r="F238" s="1673"/>
      <c r="G238" s="1673"/>
      <c r="H238" s="1673"/>
      <c r="I238" s="1673"/>
      <c r="J238" s="1673"/>
      <c r="K238" s="1674">
        <f>SUM(K232:K237)</f>
        <v>8630</v>
      </c>
      <c r="L238" s="1674">
        <f>SUM(L232:L237)</f>
        <v>8425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651</v>
      </c>
      <c r="E240" s="1673"/>
      <c r="F240" s="1673"/>
      <c r="G240" s="1673"/>
      <c r="H240" s="1673"/>
      <c r="I240" s="1673"/>
      <c r="J240" s="1673"/>
      <c r="K240" s="1678">
        <f>D240</f>
        <v>651</v>
      </c>
      <c r="L240" s="1586">
        <v>650</v>
      </c>
    </row>
    <row r="241" spans="1:12" x14ac:dyDescent="0.2">
      <c r="A241" s="1274" t="s">
        <v>810</v>
      </c>
      <c r="B241" s="503">
        <v>2220</v>
      </c>
      <c r="C241" s="1673"/>
      <c r="D241" s="1573">
        <v>4074</v>
      </c>
      <c r="E241" s="1673"/>
      <c r="F241" s="1673"/>
      <c r="G241" s="1673"/>
      <c r="H241" s="1673"/>
      <c r="I241" s="1673"/>
      <c r="J241" s="1673"/>
      <c r="K241" s="1678">
        <f>D241</f>
        <v>4074</v>
      </c>
      <c r="L241" s="1573">
        <v>4650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4725</v>
      </c>
      <c r="E243" s="1673"/>
      <c r="F243" s="1673"/>
      <c r="G243" s="1673"/>
      <c r="H243" s="1673"/>
      <c r="I243" s="1673"/>
      <c r="J243" s="1673"/>
      <c r="K243" s="1674">
        <f>SUM(K240:K242)</f>
        <v>4725</v>
      </c>
      <c r="L243" s="1674">
        <f>SUM(L240:L242)</f>
        <v>5300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10697</v>
      </c>
      <c r="E246" s="1673"/>
      <c r="F246" s="1673"/>
      <c r="G246" s="1673"/>
      <c r="H246" s="1673"/>
      <c r="I246" s="1673"/>
      <c r="J246" s="1673"/>
      <c r="K246" s="1678">
        <f t="shared" ref="K246:K256" si="21">D246</f>
        <v>10697</v>
      </c>
      <c r="L246" s="1573">
        <v>10950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10697</v>
      </c>
      <c r="E257" s="1673"/>
      <c r="F257" s="1673"/>
      <c r="G257" s="1673"/>
      <c r="H257" s="1673"/>
      <c r="I257" s="1673"/>
      <c r="J257" s="1673"/>
      <c r="K257" s="1674">
        <f>SUM(K245:K256)</f>
        <v>10697</v>
      </c>
      <c r="L257" s="1674">
        <f>SUM(L245:L256)</f>
        <v>10950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20742</v>
      </c>
      <c r="E259" s="1673"/>
      <c r="F259" s="1673"/>
      <c r="G259" s="1673"/>
      <c r="H259" s="1673"/>
      <c r="I259" s="1673"/>
      <c r="J259" s="1673"/>
      <c r="K259" s="1678">
        <f>D259</f>
        <v>20742</v>
      </c>
      <c r="L259" s="1586">
        <v>21990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20742</v>
      </c>
      <c r="E261" s="1673"/>
      <c r="F261" s="1673"/>
      <c r="G261" s="1673"/>
      <c r="H261" s="1673"/>
      <c r="I261" s="1673"/>
      <c r="J261" s="1673"/>
      <c r="K261" s="1674">
        <f>SUM(K259:K260)</f>
        <v>20742</v>
      </c>
      <c r="L261" s="1674">
        <f>SUM(L259:L260)</f>
        <v>21990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10860</v>
      </c>
      <c r="E264" s="1673"/>
      <c r="F264" s="1673"/>
      <c r="G264" s="1673"/>
      <c r="H264" s="1673"/>
      <c r="I264" s="1673"/>
      <c r="J264" s="1673"/>
      <c r="K264" s="1678">
        <f t="shared" ref="K264:K269" si="22">D264</f>
        <v>10860</v>
      </c>
      <c r="L264" s="1573">
        <v>11200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52065</v>
      </c>
      <c r="E266" s="1673"/>
      <c r="F266" s="1673"/>
      <c r="G266" s="1673"/>
      <c r="H266" s="1673"/>
      <c r="I266" s="1673"/>
      <c r="J266" s="1673"/>
      <c r="K266" s="1678">
        <f t="shared" si="22"/>
        <v>52065</v>
      </c>
      <c r="L266" s="1573">
        <v>56910</v>
      </c>
    </row>
    <row r="267" spans="1:14" x14ac:dyDescent="0.2">
      <c r="A267" s="1274" t="s">
        <v>947</v>
      </c>
      <c r="B267" s="503">
        <v>2550</v>
      </c>
      <c r="C267" s="1673"/>
      <c r="D267" s="1573">
        <v>21256</v>
      </c>
      <c r="E267" s="1673"/>
      <c r="F267" s="1673"/>
      <c r="G267" s="1673"/>
      <c r="H267" s="1673"/>
      <c r="I267" s="1673"/>
      <c r="J267" s="1673"/>
      <c r="K267" s="1678">
        <f t="shared" si="22"/>
        <v>21256</v>
      </c>
      <c r="L267" s="1573">
        <v>24675</v>
      </c>
    </row>
    <row r="268" spans="1:14" x14ac:dyDescent="0.2">
      <c r="A268" s="1274" t="s">
        <v>100</v>
      </c>
      <c r="B268" s="503">
        <v>2560</v>
      </c>
      <c r="C268" s="1673"/>
      <c r="D268" s="1573">
        <v>16624</v>
      </c>
      <c r="E268" s="1673"/>
      <c r="F268" s="1673"/>
      <c r="G268" s="1673"/>
      <c r="H268" s="1673"/>
      <c r="I268" s="1673"/>
      <c r="J268" s="1673"/>
      <c r="K268" s="1678">
        <f t="shared" si="22"/>
        <v>16624</v>
      </c>
      <c r="L268" s="1573">
        <v>17850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100805</v>
      </c>
      <c r="E270" s="1673"/>
      <c r="F270" s="1673"/>
      <c r="G270" s="1673"/>
      <c r="H270" s="1673"/>
      <c r="I270" s="1673"/>
      <c r="J270" s="1673"/>
      <c r="K270" s="1674">
        <f>SUM(K263:K269)</f>
        <v>100805</v>
      </c>
      <c r="L270" s="1674">
        <f>SUM(L263:L269)</f>
        <v>110635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55</v>
      </c>
      <c r="E274" s="1673"/>
      <c r="F274" s="1673"/>
      <c r="G274" s="1673"/>
      <c r="H274" s="1673"/>
      <c r="I274" s="1673"/>
      <c r="J274" s="1673"/>
      <c r="K274" s="1678">
        <f>D274</f>
        <v>55</v>
      </c>
      <c r="L274" s="1573">
        <v>60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13518</v>
      </c>
      <c r="E276" s="1673"/>
      <c r="F276" s="1673"/>
      <c r="G276" s="1673"/>
      <c r="H276" s="1673"/>
      <c r="I276" s="1673"/>
      <c r="J276" s="1673"/>
      <c r="K276" s="1678">
        <f>D276</f>
        <v>13518</v>
      </c>
      <c r="L276" s="1573">
        <v>13825</v>
      </c>
    </row>
    <row r="277" spans="1:12" ht="12.75" customHeight="1" thickBot="1" x14ac:dyDescent="0.25">
      <c r="A277" s="1393" t="s">
        <v>37</v>
      </c>
      <c r="B277" s="1381" t="s">
        <v>36</v>
      </c>
      <c r="C277" s="1673"/>
      <c r="D277" s="1674">
        <f>SUM(D272:D276)</f>
        <v>13573</v>
      </c>
      <c r="E277" s="1673"/>
      <c r="F277" s="1673"/>
      <c r="G277" s="1673"/>
      <c r="H277" s="1673"/>
      <c r="I277" s="1673"/>
      <c r="J277" s="1673"/>
      <c r="K277" s="1674">
        <f>SUM(K272:K276)</f>
        <v>13573</v>
      </c>
      <c r="L277" s="1674">
        <f>SUM(L272:L276)</f>
        <v>13885</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159172</v>
      </c>
      <c r="E279" s="1673"/>
      <c r="F279" s="1673"/>
      <c r="G279" s="1673"/>
      <c r="H279" s="1673"/>
      <c r="I279" s="1673"/>
      <c r="J279" s="1673"/>
      <c r="K279" s="1681">
        <f>SUM(K238,K243,K257,K261,K270,K277,K278)</f>
        <v>159172</v>
      </c>
      <c r="L279" s="1681">
        <f>SUM(L238,L243,L257,L261,L270,L277,L278)</f>
        <v>171185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0" t="s">
        <v>502</v>
      </c>
      <c r="B295" s="2281"/>
      <c r="C295" s="1673"/>
      <c r="D295" s="1674">
        <f>SUM(D229,D279,D280,D285)</f>
        <v>234662</v>
      </c>
      <c r="E295" s="1673"/>
      <c r="F295" s="1673"/>
      <c r="G295" s="1673"/>
      <c r="H295" s="1674">
        <f>H293</f>
        <v>0</v>
      </c>
      <c r="I295" s="1673"/>
      <c r="J295" s="1673"/>
      <c r="K295" s="1674">
        <f>SUM(K229,K279,K280,K285,K293,K294)</f>
        <v>234662</v>
      </c>
      <c r="L295" s="1674">
        <f>SUM(L229,L279,L280,L285,L293,L294)</f>
        <v>256470</v>
      </c>
    </row>
    <row r="296" spans="1:14" ht="13.5" thickTop="1" x14ac:dyDescent="0.2">
      <c r="A296" s="2262" t="s">
        <v>989</v>
      </c>
      <c r="B296" s="2263"/>
      <c r="C296" s="1673"/>
      <c r="D296" s="1675"/>
      <c r="E296" s="1673"/>
      <c r="F296" s="1673"/>
      <c r="G296" s="1673"/>
      <c r="H296" s="1707"/>
      <c r="I296" s="1673"/>
      <c r="J296" s="1673"/>
      <c r="K296" s="1689">
        <f>'Revenues 9-14'!G268-'Expenditures 15-22'!K295</f>
        <v>-56848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145000</v>
      </c>
      <c r="H301" s="1573">
        <v>0</v>
      </c>
      <c r="I301" s="1574">
        <v>0</v>
      </c>
      <c r="J301" s="1574">
        <v>0</v>
      </c>
      <c r="K301" s="1672">
        <f>SUM(C301:J301)</f>
        <v>145000</v>
      </c>
      <c r="L301" s="1574">
        <v>145000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145000</v>
      </c>
      <c r="H303" s="1681">
        <f t="shared" si="23"/>
        <v>0</v>
      </c>
      <c r="I303" s="1681">
        <f t="shared" si="23"/>
        <v>0</v>
      </c>
      <c r="J303" s="1681">
        <f t="shared" si="23"/>
        <v>0</v>
      </c>
      <c r="K303" s="1681">
        <f t="shared" si="23"/>
        <v>145000</v>
      </c>
      <c r="L303" s="1681">
        <f t="shared" si="23"/>
        <v>145000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145000</v>
      </c>
      <c r="H312" s="1674">
        <f>SUM(H303,H310)</f>
        <v>0</v>
      </c>
      <c r="I312" s="1674">
        <f>SUM(I303)</f>
        <v>0</v>
      </c>
      <c r="J312" s="1674">
        <f>SUM(J303)</f>
        <v>0</v>
      </c>
      <c r="K312" s="1674">
        <f>SUM(K303,K310,K311)</f>
        <v>145000</v>
      </c>
      <c r="L312" s="1674">
        <f>SUM(L303,L310,L311)</f>
        <v>145000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-94906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30889</v>
      </c>
      <c r="F320" s="1574">
        <v>0</v>
      </c>
      <c r="G320" s="1574">
        <v>0</v>
      </c>
      <c r="H320" s="1574">
        <v>0</v>
      </c>
      <c r="I320" s="1574">
        <v>0</v>
      </c>
      <c r="J320" s="1574">
        <v>0</v>
      </c>
      <c r="K320" s="1672">
        <f t="shared" ref="K320:K327" si="24">SUM(C320:J320)</f>
        <v>30889</v>
      </c>
      <c r="L320" s="1574">
        <v>33000</v>
      </c>
      <c r="M320" s="539"/>
      <c r="N320" s="539"/>
    </row>
    <row r="321" spans="1:14" s="548" customFormat="1" x14ac:dyDescent="0.2">
      <c r="A321" s="1289" t="s">
        <v>297</v>
      </c>
      <c r="B321" s="567" t="s">
        <v>281</v>
      </c>
      <c r="C321" s="1574">
        <v>0</v>
      </c>
      <c r="D321" s="1574">
        <v>0</v>
      </c>
      <c r="E321" s="1574">
        <v>1840</v>
      </c>
      <c r="F321" s="1574">
        <v>0</v>
      </c>
      <c r="G321" s="1574">
        <v>0</v>
      </c>
      <c r="H321" s="1574">
        <v>0</v>
      </c>
      <c r="I321" s="1574">
        <v>0</v>
      </c>
      <c r="J321" s="1574">
        <v>0</v>
      </c>
      <c r="K321" s="1672">
        <f t="shared" si="24"/>
        <v>1840</v>
      </c>
      <c r="L321" s="1574">
        <v>2000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149610</v>
      </c>
      <c r="D323" s="1574">
        <v>31733</v>
      </c>
      <c r="E323" s="1574">
        <v>594</v>
      </c>
      <c r="F323" s="1574">
        <v>0</v>
      </c>
      <c r="G323" s="1574">
        <v>0</v>
      </c>
      <c r="H323" s="1574">
        <v>0</v>
      </c>
      <c r="I323" s="1574">
        <v>0</v>
      </c>
      <c r="J323" s="1574">
        <v>0</v>
      </c>
      <c r="K323" s="1672">
        <f t="shared" si="24"/>
        <v>181937</v>
      </c>
      <c r="L323" s="1574">
        <v>193725</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2500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60629</v>
      </c>
      <c r="F328" s="1579">
        <v>0</v>
      </c>
      <c r="G328" s="1579">
        <v>0</v>
      </c>
      <c r="H328" s="1579">
        <v>0</v>
      </c>
      <c r="I328" s="1579">
        <v>0</v>
      </c>
      <c r="J328" s="1579">
        <v>0</v>
      </c>
      <c r="K328" s="1713">
        <f>SUM(C328:J328)</f>
        <v>60629</v>
      </c>
      <c r="L328" s="1579">
        <v>60500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149610</v>
      </c>
      <c r="D330" s="1674">
        <f t="shared" ref="D330:J330" si="25">SUM(D319:D329)</f>
        <v>31733</v>
      </c>
      <c r="E330" s="1674">
        <f t="shared" si="25"/>
        <v>93952</v>
      </c>
      <c r="F330" s="1674">
        <f t="shared" si="25"/>
        <v>0</v>
      </c>
      <c r="G330" s="1674">
        <f t="shared" si="25"/>
        <v>0</v>
      </c>
      <c r="H330" s="1674">
        <f t="shared" si="25"/>
        <v>0</v>
      </c>
      <c r="I330" s="1674">
        <f t="shared" si="25"/>
        <v>0</v>
      </c>
      <c r="J330" s="1674">
        <f t="shared" si="25"/>
        <v>0</v>
      </c>
      <c r="K330" s="1674">
        <f>SUM(K319:K329)</f>
        <v>275295</v>
      </c>
      <c r="L330" s="1674">
        <f>SUM(L319:L329)</f>
        <v>291725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149610</v>
      </c>
      <c r="D342" s="1674">
        <f>SUM(D330)</f>
        <v>31733</v>
      </c>
      <c r="E342" s="1674">
        <f>SUM(E330)</f>
        <v>93952</v>
      </c>
      <c r="F342" s="1674">
        <f>SUM(F330)</f>
        <v>0</v>
      </c>
      <c r="G342" s="1674">
        <f>SUM(G330)</f>
        <v>0</v>
      </c>
      <c r="H342" s="1674">
        <f>SUM(H330,H334,H340)</f>
        <v>0</v>
      </c>
      <c r="I342" s="1674">
        <f>SUM(I330)</f>
        <v>0</v>
      </c>
      <c r="J342" s="1674">
        <f>SUM(J330)</f>
        <v>0</v>
      </c>
      <c r="K342" s="1674">
        <f>SUM(K330,K334,K340)</f>
        <v>275295</v>
      </c>
      <c r="L342" s="1681">
        <f>SUM(L330,L334,L340,L341)</f>
        <v>291725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32312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201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3" right="0.15" top="0.86" bottom="0.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6ce3111e-7420-4802-b50a-75d4e9a0b980"/>
    <ds:schemaRef ds:uri="d21dc803-237d-4c68-8692-8d731fd29118"/>
    <ds:schemaRef ds:uri="http://purl.org/dc/dcmitype/"/>
    <ds:schemaRef ds:uri="http://schemas.microsoft.com/office/infopath/2007/PartnerControls"/>
    <ds:schemaRef ds:uri="http://www.w3.org/XML/1998/namespace"/>
    <ds:schemaRef ds:uri="http://schemas.openxmlformats.org/package/2006/metadata/core-properties"/>
    <ds:schemaRef ds:uri="4d435f69-8686-490b-bd6d-b153bf22ab50"/>
    <ds:schemaRef ds:uri="http://schemas.microsoft.com/office/2006/documentManagement/types"/>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2020-10-01T15:51:02Z</cp:lastPrinted>
  <dcterms:created xsi:type="dcterms:W3CDTF">2003-10-29T19:06:34Z</dcterms:created>
  <dcterms:modified xsi:type="dcterms:W3CDTF">2020-10-15T14:47:26Z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