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054D354-6515-4554-B595-3DF59BB56BF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42" i="29" l="1"/>
  <c r="B7221" i="106" s="1"/>
  <c r="D7221" i="106" s="1"/>
  <c r="B7696" i="106"/>
  <c r="D7696" i="106" s="1"/>
  <c r="E66" i="184"/>
  <c r="N66" i="184" s="1"/>
  <c r="B7189" i="106"/>
  <c r="D7189" i="106" s="1"/>
  <c r="E64" i="184"/>
  <c r="N64" i="184" s="1"/>
  <c r="B7171" i="106"/>
  <c r="D7171" i="106" s="1"/>
  <c r="E62" i="184"/>
  <c r="N62" i="184" s="1"/>
  <c r="D31" i="108"/>
  <c r="E16" i="184"/>
  <c r="H16" i="184" s="1"/>
  <c r="B7705" i="106"/>
  <c r="D7705" i="106" s="1"/>
  <c r="E67" i="184"/>
  <c r="N67" i="184" s="1"/>
  <c r="B7126" i="106"/>
  <c r="D7126" i="106" s="1"/>
  <c r="E57" i="184"/>
  <c r="N57" i="184" s="1"/>
  <c r="G33" i="108"/>
  <c r="E17" i="184"/>
  <c r="H17" i="184" s="1"/>
  <c r="G30" i="108"/>
  <c r="H12" i="184"/>
  <c r="H19" i="184" s="1"/>
  <c r="L20" i="184" s="1"/>
  <c r="B7162" i="106"/>
  <c r="D7162" i="106" s="1"/>
  <c r="E61" i="184"/>
  <c r="N61" i="184" s="1"/>
  <c r="B7198" i="106"/>
  <c r="D7198" i="106" s="1"/>
  <c r="E65" i="184"/>
  <c r="N65" i="184" s="1"/>
  <c r="B7180" i="106"/>
  <c r="D7180" i="106" s="1"/>
  <c r="E63" i="184"/>
  <c r="N63" i="184" s="1"/>
  <c r="B7153" i="106"/>
  <c r="D7153" i="106" s="1"/>
  <c r="E60" i="184"/>
  <c r="N60" i="184" s="1"/>
  <c r="C352" i="29"/>
  <c r="B3621" i="106" s="1"/>
  <c r="D3621" i="106" s="1"/>
  <c r="H365" i="29"/>
  <c r="B7242" i="106" s="1"/>
  <c r="D7242" i="106" s="1"/>
  <c r="B7135" i="106"/>
  <c r="D7135" i="106" s="1"/>
  <c r="E58" i="184"/>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E19" i="184"/>
  <c r="L16" i="11"/>
  <c r="B2061" i="106" s="1"/>
  <c r="D2061" i="106" s="1"/>
  <c r="F41" i="108"/>
  <c r="G43" i="108" s="1"/>
  <c r="L114" i="29"/>
  <c r="B1381" i="106"/>
  <c r="D1381" i="106" s="1"/>
  <c r="B7235" i="106"/>
  <c r="D7235" i="106" s="1"/>
  <c r="E367" i="29"/>
  <c r="B3636" i="106" s="1"/>
  <c r="D3636" i="106" s="1"/>
  <c r="B3635" i="106"/>
  <c r="D3635" i="106" s="1"/>
  <c r="C367" i="29"/>
  <c r="B3622" i="106" s="1"/>
  <c r="D3622" i="106" s="1"/>
  <c r="K365" i="29"/>
  <c r="N58" i="184"/>
  <c r="N68" i="184" s="1"/>
  <c r="E68" i="184"/>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B7834" i="106" s="1"/>
  <c r="D7834" i="106" s="1"/>
  <c r="K17" i="4"/>
  <c r="K20" i="4" s="1"/>
  <c r="J10" i="4"/>
  <c r="B6225" i="106" s="1"/>
  <c r="D622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<sst xmlns="http://schemas.openxmlformats.org/spreadsheetml/2006/main" count="5161" uniqueCount="2090">
  <si>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</si>
  <si>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</si>
  <si>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</si>
  <si>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</si>
  <si>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</si>
  <si>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</si>
  <si>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</si>
  <si>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</si>
  <si>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</si>
  <si>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</si>
  <si>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</si>
  <si>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</si>
  <si>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</si>
  <si>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</si>
  <si>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</si>
  <si>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</si>
  <si>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</si>
  <si>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</si>
  <si>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</si>
  <si>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</si>
  <si>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</si>
  <si>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</si>
  <si>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</si>
  <si>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</si>
  <si>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</si>
  <si>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</si>
  <si>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</si>
  <si>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</si>
  <si>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</si>
  <si>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</si>
  <si>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</si>
  <si>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</si>
  <si>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</si>
  <si>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</si>
  <si>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</si>
  <si>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</si>
  <si>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</si>
  <si>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</si>
  <si>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</si>
  <si>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</si>
  <si>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</si>
  <si>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</si>
  <si>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</si>
  <si>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</si>
  <si>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</si>
  <si>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</si>
  <si>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</si>
  <si>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</si>
  <si>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</si>
  <si>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</si>
  <si>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</si>
  <si>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</si>
  <si>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</si>
  <si>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</si>
  <si>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</si>
  <si>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</si>
  <si>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</si>
  <si>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</si>
  <si>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</si>
  <si>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</si>
  <si>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</si>
  <si>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</si>
  <si>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</si>
  <si>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</si>
  <si>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</si>
  <si>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</si>
  <si>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</si>
  <si>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</si>
  <si>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</si>
  <si>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</si>
  <si>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</si>
  <si>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</si>
  <si>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</si>
  <si>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</si>
  <si>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</si>
  <si>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</si>
  <si>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</si>
  <si>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</si>
  <si>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</si>
  <si>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</si>
  <si>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</si>
  <si>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</si>
  <si>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</si>
  <si>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</si>
  <si>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</si>
  <si>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</si>
  <si>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</si>
  <si>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</si>
  <si>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</si>
  <si>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</si>
  <si>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</si>
  <si>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</si>
  <si>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</si>
  <si>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</si>
  <si>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</si>
  <si>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</si>
  <si>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</si>
  <si>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</si>
  <si>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</si>
  <si>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</si>
  <si>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</si>
  <si>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</si>
  <si>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</si>
  <si>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</si>
  <si>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</si>
  <si>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</si>
  <si>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</si>
  <si>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</si>
  <si>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</si>
  <si>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</si>
  <si>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</si>
  <si>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</si>
  <si>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</si>
  <si>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</si>
  <si>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</si>
  <si>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</si>
  <si>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</si>
  <si>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</si>
  <si>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</si>
  <si>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</si>
  <si>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</si>
  <si>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</si>
  <si>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</si>
  <si>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</si>
  <si>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</si>
  <si>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</si>
  <si>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</si>
  <si>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</si>
  <si>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</si>
  <si>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</si>
  <si>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</si>
  <si>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</si>
  <si>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</si>
  <si>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</si>
  <si>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</si>
  <si>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</si>
  <si>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</si>
  <si>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</si>
  <si>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</si>
  <si>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</si>
  <si>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</si>
  <si>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</si>
  <si>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</si>
  <si>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</si>
  <si>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</si>
  <si>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</si>
  <si>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</si>
  <si>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</si>
  <si>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</si>
  <si>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</si>
  <si>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</si>
  <si>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</si>
  <si>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</si>
  <si>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</si>
  <si>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</si>
  <si>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</si>
  <si>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</si>
  <si>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</si>
  <si>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</si>
  <si>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</si>
  <si>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</si>
  <si>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</si>
  <si>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</si>
  <si>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</si>
  <si>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</si>
  <si>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</si>
  <si>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</si>
  <si>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</si>
  <si>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</si>
  <si>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</si>
  <si>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</si>
  <si>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</si>
  <si>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</si>
  <si>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</si>
  <si>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</si>
  <si>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</si>
  <si>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</si>
  <si>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</si>
  <si>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</si>
  <si>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</si>
  <si>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</si>
  <si>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</si>
  <si>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</si>
  <si>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</si>
  <si>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</si>
  <si>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</si>
  <si>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</si>
  <si>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</si>
  <si>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</si>
  <si>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</si>
  <si>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</si>
  <si>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</si>
  <si>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</si>
  <si>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</si>
  <si>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</si>
  <si>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</si>
  <si>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</si>
  <si>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</si>
  <si>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</si>
  <si>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</si>
  <si>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</si>
  <si>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</si>
  <si>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</si>
  <si>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</si>
  <si>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</si>
  <si>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</si>
  <si>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</si>
  <si>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</si>
  <si>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</si>
  <si>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</si>
  <si>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</si>
  <si>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</si>
  <si>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</si>
  <si>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</si>
  <si>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</si>
  <si>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</si>
  <si>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</si>
  <si>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</si>
  <si>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</si>
  <si>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</si>
  <si>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</si>
  <si>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</si>
  <si>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</si>
  <si>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</si>
  <si>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</si>
  <si>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</si>
  <si>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</si>
  <si>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</si>
  <si>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</si>
  <si>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</si>
  <si>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</si>
  <si>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</si>
  <si>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</si>
  <si>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</si>
  <si>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</si>
  <si>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</si>
  <si>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</si>
  <si>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</si>
  <si>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</si>
  <si>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</si>
  <si>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</si>
  <si>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</si>
  <si>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</si>
  <si>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</si>
  <si>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</si>
  <si>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</si>
  <si>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</si>
  <si>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</si>
  <si>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</si>
  <si>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</si>
  <si>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</si>
  <si>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</si>
  <si>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</si>
  <si>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</si>
  <si>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</si>
  <si>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</si>
  <si>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</si>
  <si>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</si>
  <si>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</si>
  <si>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</si>
  <si>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</si>
  <si>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</si>
  <si>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</si>
  <si>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</si>
  <si>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</si>
  <si>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</si>
  <si>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</si>
  <si>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</si>
  <si>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</si>
  <si>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</si>
  <si>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</si>
  <si>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</si>
  <si>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</si>
  <si>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</si>
  <si>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</si>
  <si>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</si>
  <si>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</si>
  <si>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</si>
  <si>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</si>
  <si>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</si>
  <si>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</si>
  <si>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</si>
  <si>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</si>
  <si>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</si>
  <si>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</si>
  <si>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</si>
  <si>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</si>
  <si>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</si>
  <si>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</si>
  <si>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</si>
  <si>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</si>
  <si>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</si>
  <si>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</si>
  <si>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</si>
  <si>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</si>
  <si>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</si>
  <si>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</si>
  <si>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</si>
  <si>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</si>
  <si>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</si>
  <si>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</si>
  <si>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</si>
  <si>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</si>
  <si>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</si>
  <si>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</si>
  <si>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</si>
  <si>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</si>
  <si>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</si>
  <si>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</si>
  <si>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</si>
  <si>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</si>
  <si>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</si>
  <si>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</si>
  <si>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</si>
  <si>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</si>
  <si>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</si>
  <si>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</si>
  <si>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</si>
  <si>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</si>
  <si>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</si>
  <si>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</si>
  <si>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</si>
  <si>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</si>
  <si>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</si>
  <si>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</si>
  <si>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</si>
  <si>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</si>
  <si>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</si>
  <si>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</si>
  <si>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</si>
  <si>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</si>
  <si>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</si>
  <si>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</si>
  <si>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</si>
  <si>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</si>
  <si>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</si>
  <si>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</si>
  <si>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</si>
  <si>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</si>
  <si>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</si>
  <si>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</si>
  <si>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</si>
  <si>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</si>
  <si>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</si>
  <si>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</si>
  <si>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</si>
  <si>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</si>
  <si>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</si>
  <si>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</si>
  <si>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</si>
  <si>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</si>
  <si>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</si>
  <si>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</si>
  <si>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</si>
  <si>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</si>
  <si>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</si>
  <si>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</si>
  <si>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</si>
  <si>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</si>
  <si>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</si>
  <si>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</si>
  <si>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</si>
  <si>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</si>
  <si>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</si>
  <si>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</si>
  <si>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</si>
  <si>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</si>
  <si>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</si>
  <si>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</si>
  <si>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</si>
  <si>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</si>
  <si>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</si>
  <si>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</si>
  <si>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</si>
  <si>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</si>
  <si>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</si>
  <si>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</si>
  <si>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</si>
  <si>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</si>
  <si>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</si>
  <si>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</si>
  <si>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</si>
  <si>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</si>
  <si>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</si>
  <si>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</si>
  <si>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</si>
  <si>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</si>
  <si>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</si>
  <si>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</si>
  <si>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</si>
  <si>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</si>
  <si>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</si>
  <si>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</si>
  <si>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</si>
  <si>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</si>
  <si>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</si>
  <si>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</si>
  <si>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</si>
  <si>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</si>
  <si>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</si>
  <si>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</si>
  <si>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</si>
  <si>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</si>
  <si>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</si>
  <si>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</si>
  <si>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</si>
  <si>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</si>
  <si>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</si>
  <si>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</si>
  <si>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</si>
  <si>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</si>
  <si>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</si>
  <si>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</si>
  <si>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</si>
  <si>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</si>
  <si>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</si>
  <si>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</si>
  <si>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</si>
  <si>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</si>
  <si>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</si>
  <si>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</si>
  <si>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</si>
  <si>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</si>
  <si>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</si>
  <si>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</si>
  <si>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</si>
  <si>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</si>
  <si>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</si>
  <si>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</si>
  <si>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</si>
  <si>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</si>
  <si>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</si>
  <si>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</si>
  <si>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</si>
  <si>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</si>
  <si>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</si>
  <si>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</si>
  <si>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</si>
  <si>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</si>
  <si>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</si>
  <si>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</si>
  <si>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</si>
  <si>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</si>
  <si>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</si>
  <si>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</si>
  <si>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</si>
  <si>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</si>
  <si>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</si>
  <si>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</si>
  <si>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</si>
  <si>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</si>
  <si>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</si>
  <si>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</si>
  <si>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</si>
  <si>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</si>
  <si>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</si>
  <si>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</si>
  <si>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</si>
  <si>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</si>
  <si>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</si>
  <si>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</si>
  <si>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</si>
  <si>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</si>
  <si>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</si>
  <si>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</si>
  <si>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</si>
  <si>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</si>
  <si>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</si>
  <si>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</si>
  <si>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</si>
  <si>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</si>
  <si>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</si>
  <si>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</si>
  <si>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</si>
  <si>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</si>
  <si>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</si>
  <si>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</si>
  <si>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</si>
  <si>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</si>
  <si>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</si>
  <si>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</si>
  <si>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</si>
  <si>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</si>
  <si>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</si>
  <si>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</si>
  <si>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</si>
  <si>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</si>
  <si>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</si>
  <si>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</si>
  <si>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</si>
  <si>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</si>
  <si>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</si>
  <si>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</si>
  <si>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</si>
  <si>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</si>
  <si>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</si>
  <si>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</si>
  <si>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</si>
  <si>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</si>
  <si>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</si>
  <si>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</si>
  <si>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</si>
  <si>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</si>
  <si>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</si>
  <si>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</si>
  <si>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</si>
  <si>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</si>
  <si>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</si>
  <si>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</si>
  <si>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</si>
  <si>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</si>
  <si>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</si>
  <si>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</si>
  <si>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</si>
  <si>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</si>
  <si>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</si>
  <si>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</si>
  <si>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</si>
  <si>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</si>
  <si>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</si>
  <si>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</si>
  <si>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</si>
  <si>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</si>
  <si>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</si>
  <si>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</si>
  <si>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</si>
  <si>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</si>
  <si>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</si>
  <si>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</si>
  <si>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</si>
  <si>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</si>
  <si>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</si>
  <si>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</si>
  <si>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</si>
  <si>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</si>
  <si>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</si>
  <si>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</si>
  <si>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</si>
  <si>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</si>
  <si>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</si>
  <si>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</si>
  <si>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</si>
  <si>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</si>
  <si>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</si>
  <si>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</si>
  <si>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</si>
  <si>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</si>
  <si>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</si>
  <si>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</si>
  <si>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</si>
  <si>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</si>
  <si>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</si>
  <si>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</si>
  <si>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</si>
  <si>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</si>
  <si>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</si>
  <si>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</si>
  <si>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</si>
  <si>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</si>
  <si>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</si>
  <si>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</si>
  <si>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</si>
  <si>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</si>
  <si>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</si>
  <si>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</si>
  <si>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</si>
  <si>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</si>
  <si>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</si>
  <si>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</si>
  <si>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</si>
  <si>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</si>
  <si>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</si>
  <si>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</si>
  <si>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</si>
  <si>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</si>
  <si>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</si>
  <si>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</si>
  <si>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</si>
  <si>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</si>
  <si>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</si>
  <si>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</si>
  <si>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</si>
  <si>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</si>
  <si>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</si>
  <si>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</si>
  <si>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</si>
  <si>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</si>
  <si>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</si>
  <si>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</si>
  <si>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</si>
  <si>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</si>
  <si>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</si>
  <si>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</si>
  <si>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</si>
  <si>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</si>
  <si>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</si>
  <si>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</si>
  <si>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</si>
  <si>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</si>
  <si>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</si>
  <si>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</si>
  <si>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</si>
  <si>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</si>
  <si>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</si>
  <si>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</si>
  <si>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</si>
  <si>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</si>
  <si>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</si>
  <si>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</si>
  <si>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</si>
  <si>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</si>
  <si>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</si>
  <si>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</si>
  <si>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</si>
  <si>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</si>
  <si>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</si>
  <si>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</si>
  <si>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</si>
  <si>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</si>
  <si>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</si>
  <si>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</si>
  <si>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</si>
  <si>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</si>
  <si>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</si>
  <si>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</si>
  <si>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</si>
  <si>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</si>
  <si>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</si>
  <si>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</si>
  <si>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</si>
  <si>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</si>
  <si>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</si>
  <si>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</si>
  <si>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</si>
  <si>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</si>
  <si>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</si>
  <si>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</si>
  <si>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</si>
  <si>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</si>
  <si>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</si>
  <si>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</si>
  <si>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</si>
  <si>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</si>
  <si>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</si>
  <si>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</si>
  <si>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</si>
  <si>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</si>
  <si>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</si>
  <si>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</si>
  <si>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</si>
  <si>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</si>
  <si>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</si>
  <si>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</si>
  <si>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</si>
  <si>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</si>
  <si>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</si>
  <si>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</si>
  <si>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</si>
  <si>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</si>
  <si>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</si>
  <si>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</si>
  <si>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</si>
  <si>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</si>
  <si>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</si>
  <si>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</si>
  <si>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</si>
  <si>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</si>
  <si>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</si>
  <si>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</si>
  <si>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</si>
  <si>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</si>
  <si>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</si>
  <si>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</si>
  <si>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</si>
  <si>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</si>
  <si>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</si>
  <si>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</si>
  <si>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</si>
  <si>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</si>
  <si>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</si>
  <si>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</si>
  <si>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</si>
  <si>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</si>
  <si>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</si>
  <si>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</si>
  <si>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</si>
  <si>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</si>
  <si>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</si>
  <si>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</si>
  <si>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</si>
  <si>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</si>
  <si>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</si>
  <si>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</si>
  <si>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</si>
  <si>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</si>
  <si>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</si>
  <si>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</si>
  <si>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</si>
  <si>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</si>
  <si>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</si>
  <si>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</si>
  <si>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</si>
  <si>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</si>
  <si>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</si>
  <si>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</si>
  <si>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</si>
  <si>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</si>
  <si>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</si>
  <si>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</si>
  <si>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</si>
  <si>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</si>
  <si>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</si>
  <si>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</si>
  <si>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</si>
  <si>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</si>
  <si>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</si>
  <si>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</si>
  <si>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</si>
  <si>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</si>
  <si>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</si>
  <si>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</si>
  <si>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</si>
  <si>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</si>
  <si>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</si>
  <si>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</si>
  <si>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</si>
  <si>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</si>
  <si>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</si>
  <si>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</si>
  <si>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</si>
  <si>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</si>
  <si>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</si>
  <si>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</si>
  <si>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</si>
  <si>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</si>
  <si>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</si>
  <si>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</si>
  <si>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</si>
  <si>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</si>
  <si>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</si>
  <si>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</si>
  <si>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</si>
  <si>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</si>
  <si>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</si>
  <si>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</si>
  <si>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</si>
  <si>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</si>
  <si>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</si>
  <si>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</si>
  <si>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</si>
  <si>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</si>
  <si>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</si>
  <si>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</si>
  <si>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</si>
  <si>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</si>
  <si>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</si>
  <si>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</si>
  <si>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</si>
  <si>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</si>
  <si>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</si>
  <si>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</si>
  <si>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</si>
  <si>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</si>
  <si>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</si>
  <si>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</si>
  <si>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</si>
  <si>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</si>
  <si>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</si>
  <si>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</si>
  <si>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</si>
  <si>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</si>
  <si>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</si>
  <si>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</si>
  <si>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</si>
  <si>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</si>
  <si>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</si>
  <si>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</si>
  <si>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</si>
  <si>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</si>
  <si>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</si>
  <si>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</si>
  <si>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</si>
  <si>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</si>
  <si>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</si>
  <si>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</si>
  <si>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</si>
  <si>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</si>
  <si>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</si>
  <si>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</si>
  <si>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</si>
  <si>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</si>
  <si>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</si>
  <si>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</si>
  <si>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</si>
  <si>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</si>
  <si>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</si>
  <si>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</si>
  <si>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</si>
  <si>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</si>
  <si>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</si>
  <si>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</si>
  <si>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</si>
  <si>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</si>
  <si>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</si>
  <si>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</si>
  <si>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</si>
  <si>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</si>
  <si>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</si>
  <si>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</si>
  <si>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</si>
  <si>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</si>
  <si>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</si>
  <si>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</si>
  <si>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</si>
  <si>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</si>
  <si>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</si>
  <si>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</si>
  <si>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</si>
  <si>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</si>
  <si>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</si>
  <si>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</si>
  <si>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</si>
  <si>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</si>
  <si>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</si>
  <si>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</si>
  <si>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</si>
  <si>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</si>
  <si>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</si>
  <si>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</si>
  <si>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</si>
  <si>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</si>
  <si>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</si>
  <si>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</si>
  <si>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</si>
  <si>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</si>
  <si>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</si>
  <si>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</si>
  <si>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</si>
  <si>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</si>
  <si>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</si>
  <si>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</si>
  <si>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</si>
  <si>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</si>
  <si>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</si>
  <si>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</si>
  <si>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</si>
  <si>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</si>
  <si>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</si>
  <si>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</si>
  <si>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</si>
  <si>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</si>
  <si>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</si>
  <si>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</si>
  <si>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</si>
  <si>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</si>
  <si>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</si>
  <si>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</si>
  <si>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</si>
  <si>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</si>
  <si>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</si>
  <si>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</si>
  <si>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</si>
  <si>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</si>
  <si>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</si>
  <si>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</si>
  <si>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</si>
  <si>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</si>
  <si>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</si>
  <si>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</si>
  <si>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</si>
  <si>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</si>
  <si>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</si>
  <si>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</si>
  <si>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</si>
  <si>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</si>
  <si>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</si>
  <si>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</si>
  <si>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</si>
  <si>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</si>
  <si>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</si>
  <si>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</si>
  <si>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</si>
  <si>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</si>
  <si>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</si>
  <si>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</si>
  <si>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</si>
  <si>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</si>
  <si>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</si>
  <si>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</si>
  <si>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</si>
  <si>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</si>
  <si>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</si>
  <si>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</si>
  <si>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</si>
  <si>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</si>
  <si>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</si>
  <si>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</si>
  <si>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</si>
  <si>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</si>
  <si>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</si>
  <si>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</si>
  <si>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</si>
  <si>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</si>
  <si>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</si>
  <si>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</si>
  <si>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</si>
  <si>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</si>
  <si>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</si>
  <si>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</si>
  <si>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</si>
  <si>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</si>
  <si>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</si>
  <si>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</si>
  <si>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</si>
  <si>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</si>
  <si>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</si>
  <si>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</si>
  <si>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</si>
  <si>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</si>
  <si>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</si>
  <si>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</si>
  <si>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</si>
  <si>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</si>
  <si>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</si>
  <si>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</si>
  <si>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</si>
  <si>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</si>
  <si>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</si>
  <si>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</si>
  <si>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</si>
  <si>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</si>
  <si>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</si>
  <si>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</si>
  <si>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</si>
  <si>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</si>
  <si>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</si>
  <si>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</si>
  <si>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</si>
  <si>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</si>
  <si>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</si>
  <si>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</si>
  <si>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</si>
  <si>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</si>
  <si>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</si>
  <si>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</si>
  <si>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</si>
  <si>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</si>
  <si>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</si>
  <si>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</si>
  <si>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</si>
  <si>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</si>
  <si>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</si>
  <si>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</si>
  <si>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</si>
  <si>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</si>
  <si>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</si>
  <si>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</si>
  <si>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</si>
  <si>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</si>
  <si>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</si>
  <si>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</si>
  <si>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</si>
  <si>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</si>
  <si>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</si>
  <si>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</si>
  <si>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</si>
  <si>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</si>
  <si>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</si>
  <si>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</si>
  <si>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</si>
  <si>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</si>
  <si>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</si>
  <si>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</si>
  <si>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</si>
  <si>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</si>
  <si>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</si>
  <si>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</si>
  <si>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</si>
  <si>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</si>
  <si>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</si>
  <si>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</si>
  <si>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</si>
  <si>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</si>
  <si>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</si>
  <si>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</si>
  <si>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</si>
  <si>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</si>
  <si>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</si>
  <si>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</si>
  <si>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</si>
  <si>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</si>
  <si>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</si>
  <si>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</si>
  <si>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</si>
  <si>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</si>
  <si>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</si>
  <si>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</si>
  <si>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</si>
  <si>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</si>
  <si>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</si>
  <si>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</si>
  <si>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</si>
  <si>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</si>
  <si>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</si>
  <si>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</si>
  <si>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</si>
  <si>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</si>
  <si>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</si>
  <si>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</si>
  <si>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</si>
  <si>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</si>
  <si>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</si>
  <si>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</si>
  <si>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</si>
  <si>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</si>
  <si>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</si>
  <si>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</si>
  <si>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</si>
  <si>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</si>
  <si>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</si>
  <si>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</si>
  <si>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</si>
  <si>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</si>
  <si>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</si>
  <si>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</si>
  <si>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</si>
  <si>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</si>
  <si>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</si>
  <si>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</si>
  <si>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</si>
  <si>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</si>
  <si>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</si>
  <si>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</si>
  <si>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</si>
  <si>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</si>
  <si>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</si>
  <si>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</si>
  <si>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</si>
  <si>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</si>
  <si>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</si>
  <si>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</si>
  <si>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</si>
  <si>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</si>
  <si>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</si>
  <si>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</si>
  <si>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</si>
  <si>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</si>
  <si>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</si>
  <si>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</si>
  <si>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</si>
  <si>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</si>
  <si>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</si>
  <si>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</si>
  <si>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</si>
  <si>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</si>
  <si>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</si>
  <si>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</si>
  <si>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</si>
  <si>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</si>
  <si>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</si>
  <si>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</si>
  <si>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</si>
  <si>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</si>
  <si>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</si>
  <si>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</si>
  <si>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</si>
  <si>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</si>
  <si>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</si>
  <si>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</si>
  <si>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</si>
  <si>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</si>
  <si>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</si>
  <si>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</si>
  <si>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</si>
  <si>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</si>
  <si>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</si>
  <si>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</si>
  <si>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</si>
  <si>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</si>
  <si>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</si>
  <si>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</si>
  <si>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</si>
  <si>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</si>
  <si>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</si>
  <si>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</si>
  <si>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</si>
  <si>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</si>
  <si>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</si>
  <si>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</si>
  <si>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</si>
  <si>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</si>
  <si>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</si>
  <si>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</si>
  <si>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</si>
  <si>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</si>
  <si>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</si>
  <si>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</si>
  <si>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</si>
  <si>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</si>
  <si>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</si>
  <si>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</si>
  <si>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</si>
  <si>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</si>
  <si>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</si>
  <si>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</si>
  <si>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</si>
  <si>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</si>
  <si>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</si>
  <si>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</si>
  <si>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</si>
  <si>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</si>
  <si>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</si>
  <si>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</si>
  <si>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</si>
  <si>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</si>
  <si>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</si>
  <si>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</si>
  <si>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</si>
  <si>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</si>
  <si>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</si>
  <si>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</si>
  <si>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</si>
  <si>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</si>
  <si>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</si>
  <si>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</si>
  <si>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</si>
  <si>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</si>
  <si>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</si>
  <si>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</si>
  <si>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</si>
  <si>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</si>
  <si>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</si>
  <si>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</si>
  <si>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</si>
  <si>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</si>
  <si>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</si>
  <si>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</si>
  <si>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</si>
  <si>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</si>
  <si>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</si>
  <si>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</si>
  <si>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</si>
  <si>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</si>
  <si>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</si>
  <si>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</si>
  <si>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</si>
  <si>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</si>
  <si>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</si>
  <si>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</si>
  <si>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</si>
  <si>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</si>
  <si>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</si>
  <si>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</si>
  <si>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</si>
  <si>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</si>
  <si>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</si>
  <si>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</si>
  <si>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</si>
  <si>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</si>
  <si>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</si>
  <si>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</si>
  <si>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</si>
  <si>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</si>
  <si>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</si>
  <si>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</si>
  <si>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</si>
  <si>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</si>
  <si>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</si>
  <si>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</si>
  <si>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</si>
  <si>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</si>
  <si>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</si>
  <si>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</si>
  <si>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</si>
  <si>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</si>
  <si>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</si>
  <si>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</si>
  <si>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</si>
  <si>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</si>
  <si>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</si>
  <si>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</si>
  <si>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</si>
  <si>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</si>
  <si>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</si>
  <si>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</si>
  <si>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</si>
  <si>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</si>
  <si>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</si>
  <si>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</si>
  <si>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</si>
  <si>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</si>
  <si>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</si>
  <si>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</si>
  <si>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</si>
  <si>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</si>
  <si>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</si>
  <si>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</si>
  <si>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</si>
  <si>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</si>
  <si>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</si>
  <si>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</si>
  <si>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</si>
  <si>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</si>
  <si>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</si>
  <si>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</si>
  <si>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</si>
  <si>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</si>
  <si>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</si>
  <si>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</si>
  <si>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</si>
  <si>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</si>
  <si>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</si>
  <si>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</si>
  <si>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</si>
  <si>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</si>
  <si>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</si>
  <si>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</si>
  <si>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</si>
  <si>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</si>
  <si>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</si>
  <si>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</si>
  <si>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</si>
  <si>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</si>
  <si>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</si>
  <si>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</si>
  <si>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</si>
  <si>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</si>
  <si>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</si>
  <si>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</si>
  <si>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</si>
  <si>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</si>
  <si>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</si>
  <si>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</si>
  <si>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</si>
  <si>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</si>
  <si>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</si>
  <si>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</si>
  <si>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</si>
  <si>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</si>
  <si>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</si>
  <si>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</si>
  <si>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</si>
  <si>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</si>
  <si>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</si>
  <si>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</si>
  <si>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</si>
  <si>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</si>
  <si>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</si>
  <si>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</si>
  <si>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</si>
  <si>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</si>
  <si>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</si>
  <si>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</si>
  <si>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</si>
  <si>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</si>
  <si>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</si>
  <si>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</si>
  <si>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</si>
  <si>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</si>
  <si>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</si>
  <si>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</si>
  <si>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</si>
  <si>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</si>
  <si>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</si>
  <si>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</si>
  <si>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</si>
  <si>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</si>
  <si>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</si>
  <si>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</si>
  <si>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</si>
  <si>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</si>
  <si>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</si>
  <si>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</si>
  <si>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</si>
  <si>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</si>
  <si>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</si>
  <si>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</si>
  <si>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</si>
  <si>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</si>
  <si>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</si>
  <si>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</si>
  <si>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</si>
  <si>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</si>
  <si>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</si>
  <si>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</si>
  <si>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</si>
  <si>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</si>
  <si>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</si>
  <si>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</si>
  <si>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</si>
  <si>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</si>
  <si>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</si>
  <si>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</si>
  <si>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</si>
  <si>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</si>
  <si>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</si>
  <si>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</si>
  <si>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</si>
  <si>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</si>
  <si>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</si>
  <si>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</si>
  <si>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</si>
  <si>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</si>
  <si>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</si>
  <si>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</si>
  <si>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</si>
  <si>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</si>
  <si>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</si>
  <si>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</si>
  <si>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</si>
  <si>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</si>
  <si>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</si>
  <si>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</si>
  <si>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</si>
  <si>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</si>
  <si>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</si>
  <si>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</si>
  <si>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</si>
  <si>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</si>
  <si>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</si>
  <si>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</si>
  <si>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</si>
  <si>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</si>
  <si>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</si>
  <si>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</si>
  <si>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</si>
  <si>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</si>
  <si>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</si>
  <si>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</si>
  <si>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</si>
  <si>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</si>
  <si>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</si>
  <si>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</si>
  <si>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</si>
  <si>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</si>
  <si>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</si>
  <si>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</si>
  <si>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</si>
  <si>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</si>
  <si>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</si>
  <si>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</si>
  <si>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</si>
  <si>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</si>
  <si>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</si>
  <si>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</si>
  <si>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</si>
  <si>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</si>
  <si>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</si>
  <si>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</si>
  <si>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</si>
  <si>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</si>
  <si>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</si>
  <si>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</si>
  <si>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</si>
  <si>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</si>
  <si>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</si>
  <si>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</si>
  <si>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</si>
  <si>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</si>
  <si>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</si>
  <si>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</si>
  <si>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</si>
  <si>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</si>
  <si>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</si>
  <si>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</si>
  <si>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</si>
  <si>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</si>
  <si>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</si>
  <si>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</si>
  <si>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</si>
  <si>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</si>
  <si>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</si>
  <si>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</si>
  <si>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</si>
  <si>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</si>
  <si>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</si>
  <si>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</si>
  <si>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</si>
  <si>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</si>
  <si>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</si>
  <si>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</si>
  <si>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</si>
  <si>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</si>
  <si>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</si>
  <si>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</si>
  <si>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</si>
  <si>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</si>
  <si>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</si>
  <si>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</si>
  <si>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</si>
  <si>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</si>
  <si>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</si>
  <si>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</si>
  <si>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</si>
  <si>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</si>
  <si>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</si>
  <si>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</si>
  <si>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</si>
  <si>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</si>
  <si>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</si>
  <si>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</si>
  <si>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</si>
  <si>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</si>
  <si>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</si>
  <si>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</si>
  <si>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</si>
  <si>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</si>
  <si>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</si>
  <si>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</si>
  <si>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</si>
  <si>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</si>
  <si>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</si>
  <si>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</si>
  <si>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</si>
  <si>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</si>
  <si>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</si>
  <si>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</si>
  <si>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</si>
  <si>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</si>
  <si>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</si>
  <si>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</si>
  <si>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</si>
  <si>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</si>
  <si>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</si>
  <si>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</si>
  <si>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</si>
  <si>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</si>
  <si>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</si>
  <si>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</si>
  <si>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</si>
  <si>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</si>
  <si>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</si>
  <si>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</si>
  <si>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</si>
  <si>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</si>
  <si>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</si>
  <si>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</si>
  <si>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</si>
  <si>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</si>
  <si>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</si>
  <si>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</si>
  <si>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</si>
  <si>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</si>
  <si>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</si>
  <si>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</si>
  <si>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</si>
  <si>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</si>
  <si>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</si>
  <si>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</si>
  <si>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</si>
  <si>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</si>
  <si>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</si>
  <si>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</si>
  <si>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</si>
  <si>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</si>
  <si>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</si>
  <si>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</si>
  <si>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</si>
  <si>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</si>
  <si>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</si>
  <si>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</si>
  <si>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</si>
  <si>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</si>
  <si>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</si>
  <si>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</si>
  <si>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</si>
  <si>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</si>
  <si>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</si>
  <si>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</si>
  <si>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</si>
  <si>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</si>
  <si>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</si>
  <si>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</si>
  <si>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</si>
  <si>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</si>
  <si>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</si>
  <si>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</si>
  <si>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</si>
  <si>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</si>
  <si>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</si>
  <si>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</si>
  <si>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</si>
  <si>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</si>
  <si>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</si>
  <si>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</si>
  <si>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</si>
  <si>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</si>
  <si>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</si>
  <si>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</si>
  <si>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</si>
  <si>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</si>
  <si>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</si>
  <si>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</si>
  <si>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</si>
  <si>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</si>
  <si>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</si>
  <si>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</si>
  <si>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</si>
  <si>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</si>
  <si>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</si>
  <si>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</si>
  <si>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</si>
  <si>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</si>
  <si>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</si>
  <si>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</si>
  <si>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</si>
  <si>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</si>
  <si>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</si>
  <si>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</si>
  <si>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</si>
  <si>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</si>
  <si>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</si>
  <si>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</si>
  <si>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</si>
  <si>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</si>
  <si>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</si>
  <si>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</si>
  <si>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</si>
  <si>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</si>
  <si>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</si>
  <si>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</si>
  <si>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</si>
  <si>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</si>
  <si>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</si>
  <si>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</si>
  <si>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</si>
  <si>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</si>
  <si>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</si>
  <si>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</si>
  <si>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</si>
  <si>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</si>
  <si>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</si>
  <si>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</si>
  <si>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</si>
  <si>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</si>
  <si>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</si>
  <si>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</si>
  <si>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</si>
  <si>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</si>
  <si>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</si>
  <si>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</si>
  <si>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</si>
  <si>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</si>
  <si>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</si>
  <si>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</si>
  <si>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</si>
  <si>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</si>
  <si>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</si>
  <si>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</si>
  <si>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</si>
  <si>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</si>
  <si>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</si>
  <si>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</si>
  <si>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</si>
  <si>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</si>
  <si>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</si>
  <si>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</si>
  <si>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</si>
  <si>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</si>
  <si>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</si>
  <si>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</si>
  <si>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</si>
  <si>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</si>
  <si>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</si>
  <si>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</si>
  <si>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</si>
  <si>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</si>
  <si>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</si>
  <si>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</si>
  <si>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</si>
  <si>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</si>
  <si>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</si>
  <si>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</si>
  <si>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</si>
  <si>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</si>
  <si>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</si>
  <si>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</si>
  <si>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</si>
  <si>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</si>
  <si>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</si>
  <si>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</si>
  <si>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</si>
  <si>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</si>
  <si>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</si>
  <si>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</si>
  <si>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</si>
  <si>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</si>
  <si>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</si>
  <si>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</si>
  <si>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</si>
  <si>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</si>
  <si>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</si>
  <si>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</si>
  <si>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</si>
  <si>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</si>
  <si>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</si>
  <si>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</si>
  <si>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</si>
  <si>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</si>
  <si>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</si>
  <si>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</si>
  <si>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</si>
  <si>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</si>
  <si>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</si>
  <si>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</si>
  <si>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</si>
  <si>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</si>
  <si>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</si>
  <si>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</si>
  <si>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</si>
  <si>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</si>
  <si>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</si>
  <si>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</si>
  <si>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</si>
  <si>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</si>
  <si>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</si>
  <si>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</si>
  <si>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</si>
  <si>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</si>
  <si>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</si>
  <si>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</si>
  <si>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</si>
  <si>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</si>
  <si>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</si>
  <si>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</si>
  <si>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</si>
  <si>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</si>
  <si>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</si>
  <si>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</si>
  <si>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</si>
  <si>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</si>
  <si>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</si>
  <si>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</si>
  <si>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</si>
  <si>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</si>
  <si>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</si>
  <si>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</si>
  <si>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</si>
  <si>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</si>
  <si>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</si>
  <si>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</si>
  <si>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</si>
  <si>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</si>
  <si>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</si>
  <si>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</si>
  <si>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</si>
  <si>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</si>
  <si>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</si>
  <si>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</si>
  <si>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</si>
  <si>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</si>
  <si>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</si>
  <si>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</si>
  <si>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</si>
  <si>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</si>
  <si>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</si>
  <si>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</si>
  <si>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</si>
  <si>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</si>
  <si>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</si>
  <si>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</si>
  <si>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</si>
  <si>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</si>
  <si>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</si>
  <si>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</si>
  <si>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</si>
  <si>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</si>
  <si>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</si>
  <si>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</si>
  <si>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</si>
  <si>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</si>
  <si>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</si>
  <si>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</si>
  <si>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</si>
  <si>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</si>
  <si>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</si>
  <si>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</si>
  <si>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</si>
  <si>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</si>
  <si>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</si>
  <si>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</si>
  <si>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</si>
  <si>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</si>
  <si>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</si>
  <si>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</si>
  <si>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</si>
  <si>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</si>
  <si>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</si>
  <si>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</si>
  <si>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</si>
  <si>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</si>
  <si>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</si>
  <si>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</si>
  <si>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</si>
  <si>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</si>
  <si>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</si>
  <si>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</si>
  <si>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</si>
  <si>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</si>
  <si>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</si>
  <si>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</si>
  <si>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</si>
  <si>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</si>
  <si>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</si>
  <si>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</si>
  <si>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</si>
  <si>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</si>
  <si>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</si>
  <si>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</si>
  <si>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</si>
  <si>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</si>
  <si>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</si>
  <si>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</si>
  <si>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</si>
  <si>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</si>
  <si>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</si>
  <si>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</si>
  <si>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</si>
  <si>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</si>
  <si>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</si>
  <si>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</si>
  <si>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</si>
  <si>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</si>
  <si>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</si>
  <si>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</si>
  <si>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</si>
  <si>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</si>
  <si>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</si>
  <si>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</si>
  <si>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</si>
  <si>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</si>
  <si>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</si>
  <si>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</si>
  <si>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</si>
  <si>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</si>
  <si>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</si>
  <si>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</si>
  <si>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</si>
  <si>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</si>
  <si>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</si>
  <si>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</si>
  <si>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</si>
  <si>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</si>
  <si>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</si>
  <si>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</si>
  <si>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</si>
  <si>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</si>
  <si>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</si>
  <si>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</si>
  <si>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</si>
  <si>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</si>
  <si>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</si>
  <si>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</si>
  <si>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</si>
  <si>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</si>
  <si>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</si>
  <si>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</si>
  <si>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</si>
  <si>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</si>
  <si>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</si>
  <si>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</si>
  <si>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</si>
  <si>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</si>
  <si>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</si>
  <si>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</si>
  <si>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</si>
  <si>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</si>
  <si>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</si>
  <si>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</si>
  <si>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</si>
  <si>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</si>
  <si>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</si>
  <si>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</si>
  <si>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</si>
  <si>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</si>
  <si>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</si>
  <si>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</si>
  <si>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</si>
  <si>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</si>
  <si>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</si>
  <si>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</si>
  <si>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</si>
  <si>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</si>
  <si>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</si>
  <si>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</si>
  <si>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</si>
  <si>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</si>
  <si>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</si>
  <si>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</si>
  <si>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</si>
  <si>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</si>
  <si>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</si>
  <si>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</si>
  <si>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</si>
  <si>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</si>
  <si>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</si>
  <si>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</si>
  <si>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Contracts Paid in CY over the allowed amount for ICR calculation (from page 29)</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</si>
  <si>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</si>
  <si>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</si>
  <si>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</si>
  <si>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</si>
  <si>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</si>
  <si>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</si>
  <si>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</si>
  <si>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</si>
  <si>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</si>
  <si>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</si>
  <si>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</si>
  <si>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</si>
  <si>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</si>
  <si>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</si>
  <si>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</si>
  <si>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</si>
  <si>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</si>
  <si>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</si>
  <si>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</si>
  <si>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</si>
  <si>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</si>
  <si>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</si>
  <si>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</si>
  <si>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</si>
  <si>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</si>
  <si>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</si>
  <si>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</si>
  <si>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</si>
  <si>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</si>
  <si>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</si>
  <si>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</si>
  <si>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</si>
  <si>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</si>
  <si>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</si>
  <si>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</si>
  <si>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</si>
  <si>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</si>
  <si>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</si>
  <si>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</si>
  <si>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</si>
  <si>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</si>
  <si>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</si>
  <si>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</si>
  <si>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</si>
  <si>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</si>
  <si>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</si>
  <si>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</si>
  <si>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</si>
  <si>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</si>
  <si>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</si>
  <si>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</si>
  <si>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</si>
  <si>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</si>
  <si>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</si>
  <si>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</si>
  <si>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</si>
  <si>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</si>
  <si>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</si>
  <si>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</si>
  <si>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</si>
  <si>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</si>
  <si>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</si>
  <si>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</si>
  <si>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</si>
  <si>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</si>
  <si>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</si>
  <si>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</si>
  <si>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</si>
  <si>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</si>
  <si>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</si>
  <si>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</si>
  <si>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</si>
  <si>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</si>
  <si>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</si>
  <si>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</si>
  <si>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</si>
  <si>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</si>
  <si>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</si>
  <si>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</si>
  <si>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</si>
  <si>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</si>
  <si>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</si>
  <si>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</si>
  <si>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</si>
  <si>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</si>
  <si>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</si>
  <si>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</si>
  <si>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</si>
  <si>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</si>
  <si>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</si>
  <si>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</si>
  <si>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</si>
  <si>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</si>
  <si>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</si>
  <si>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</si>
  <si>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</si>
  <si>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</si>
  <si>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</si>
  <si>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</si>
  <si>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</si>
  <si>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</si>
  <si>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</si>
  <si>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</si>
  <si>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</si>
  <si>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</si>
  <si>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</si>
  <si>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</si>
  <si>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</si>
  <si>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</si>
  <si>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</si>
  <si>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</si>
  <si>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</si>
  <si>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</si>
  <si>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</si>
  <si>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</si>
  <si>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</si>
  <si>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</si>
  <si>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</si>
  <si>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</si>
  <si>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</si>
  <si>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</si>
  <si>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</si>
  <si>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</si>
  <si>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</si>
  <si>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</si>
  <si>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</si>
  <si>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</si>
  <si>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</si>
  <si>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</si>
  <si>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</si>
  <si>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</si>
  <si>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</si>
  <si>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</si>
  <si>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</si>
  <si>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</si>
  <si>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</si>
  <si>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</si>
  <si>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</si>
  <si>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</si>
  <si>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</si>
  <si>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</si>
  <si>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</si>
  <si>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</si>
  <si>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</si>
  <si>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</si>
  <si>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</si>
  <si>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</si>
  <si>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</si>
  <si>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</si>
  <si>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</si>
  <si>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</si>
  <si>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</si>
  <si>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</si>
  <si>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</si>
  <si>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</si>
  <si>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</si>
  <si>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</si>
  <si>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</si>
  <si>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</si>
  <si>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</si>
  <si>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</si>
  <si>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</si>
  <si>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</si>
  <si>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</si>
  <si>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</si>
  <si>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</si>
  <si>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</si>
  <si>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</si>
  <si>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</si>
  <si>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</si>
  <si>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</si>
  <si>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</si>
  <si>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</si>
  <si>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</si>
  <si>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</si>
  <si>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</si>
  <si>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</si>
  <si>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</si>
  <si>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</si>
  <si>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</si>
  <si>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</si>
  <si>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</si>
  <si>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</si>
  <si>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</si>
  <si>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</si>
  <si>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</si>
  <si>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</si>
  <si>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</si>
  <si>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</si>
  <si>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</si>
  <si>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</si>
  <si>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</si>
  <si>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</si>
  <si>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</si>
  <si>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</si>
  <si>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</si>
  <si>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</si>
  <si>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</si>
  <si>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</si>
  <si>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</si>
  <si>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</si>
  <si>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</si>
  <si>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</si>
  <si>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</si>
  <si>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</si>
  <si>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</si>
  <si>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</si>
  <si>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</si>
  <si>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</si>
  <si>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</si>
  <si>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</si>
  <si>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</si>
  <si>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</si>
  <si>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</si>
  <si>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</si>
  <si>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</si>
  <si>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</si>
  <si>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</si>
  <si>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</si>
  <si>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</si>
  <si>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</si>
  <si>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</si>
  <si>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</si>
  <si>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</si>
  <si>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</si>
  <si>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</si>
  <si>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</si>
  <si>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</si>
  <si>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</si>
  <si>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</si>
  <si>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</si>
  <si>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</si>
  <si>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</si>
  <si>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</si>
  <si>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</si>
  <si>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</si>
  <si>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</si>
  <si>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</si>
  <si>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</si>
  <si>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</si>
  <si>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</si>
  <si>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</si>
  <si>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</si>
  <si>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</si>
  <si>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</si>
  <si>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</si>
  <si>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</si>
  <si>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</si>
  <si>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</si>
  <si>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</si>
  <si>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</si>
  <si>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Ginoli &amp; Company Ltd</t>
  </si>
  <si>
    <t>Woodford and Marshall</t>
  </si>
  <si>
    <t>Mark D Reinken</t>
  </si>
  <si>
    <t>7625 N University Street, Suite A</t>
  </si>
  <si>
    <t>508 E Walnut Street</t>
  </si>
  <si>
    <t>Peoria</t>
  </si>
  <si>
    <t>IL</t>
  </si>
  <si>
    <t>61614-8303</t>
  </si>
  <si>
    <t>Washburn</t>
  </si>
  <si>
    <t>(309) 671-2350</t>
  </si>
  <si>
    <t>(309) 671-5459</t>
  </si>
  <si>
    <t>schupp@lwcusd21.com</t>
  </si>
  <si>
    <t>066-005055</t>
  </si>
  <si>
    <t>61570-0596</t>
  </si>
  <si>
    <t>mreinken@ginolicpa.com</t>
  </si>
  <si>
    <t>Duane Schupp</t>
  </si>
  <si>
    <t>(309) 248-7522</t>
  </si>
  <si>
    <t>(309) 248-7518</t>
  </si>
  <si>
    <t>Adverse due to regulatory basis of accounting.</t>
  </si>
  <si>
    <t>Finding 2020-001</t>
  </si>
  <si>
    <t>Working Cash Fund Bonds</t>
  </si>
  <si>
    <t>Page 9, Line 17 - interest on property taxes received</t>
  </si>
  <si>
    <t>Page 11, Line 107, Column C - Tower lease-$10,544; TIF money-$39,346; ERATE-$38,607; insurance reimb-$12,634; other-$4,924</t>
  </si>
  <si>
    <t>Page 11, Line 107, Column D - insurance proceeds</t>
  </si>
  <si>
    <t>Page 12, Line 168 - Other state projects - Priority Schools</t>
  </si>
  <si>
    <t>Page 13, Line 203 - Title I - School Improvement and Accountability</t>
  </si>
  <si>
    <t>Page 17, Line 136 - Cell tower tax</t>
  </si>
  <si>
    <t>Page18, Line 171 - Service fees</t>
  </si>
  <si>
    <t>School Districts located in North Central Illinois</t>
  </si>
  <si>
    <t>Woodford County Special Ed Co-op</t>
  </si>
  <si>
    <t>Central Illinois Vocational Ed Co-op with Metamora High School</t>
  </si>
  <si>
    <t>Athletics Co-op with Roanoke Benson, Henry, and Midland</t>
  </si>
  <si>
    <t>No contracts</t>
  </si>
  <si>
    <t>Internal controls are enhanced when responsibilities for authorizing, approving, executing, and recording transactions are separated among employees.  The segregation of these responsibilities also decreases the possibility of fraud, inefficiencies, and/or errors.</t>
  </si>
  <si>
    <t>The District has two office staff who work with different aspects of the accounting function.  However, the responsibilities are such that one individual is involved in some transactions from beginning to end.</t>
  </si>
  <si>
    <t>One individual handles most aspects of the purchasing and cash disbursements functions and another individual almost exclusively handles the payroll function.</t>
  </si>
  <si>
    <t>There is an increased risk of fraud, inefficiencies, and/or errors</t>
  </si>
  <si>
    <t>Duties have been assigned based on the experience, abilities, and schedules of office personnel.</t>
  </si>
  <si>
    <t>Since office personnel are capable of filling in for each other, duties for the various functions could be shared so that one person does not handle every aspect of that function.</t>
  </si>
  <si>
    <t>Some segregation of duties has occurred, and the principals and superintendent are involved in various ways to enhance internal control.  Management feels that strengths and abilities of current office staff are best used in the areas they know best.  Additionally, it is not economically practical to hire additional personnel at this time.</t>
  </si>
  <si>
    <t xml:space="preserve">  Lowpoint-Washburn CUSD 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</si>
</sst>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38" fontId="2" fillId="0" borderId="155" xfId="19" applyNumberFormat="1" applyFont="1" applyBorder="1" applyAlignment="1" applyProtection="1">
      <alignment horizontal="righ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2209800</xdr:colOff>
          <xdr:row>7</xdr:row>
          <xdr:rowOff>28575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1">
        <f>+'AFR20'!E4</f>
        <v>44119</v>
      </c>
      <c r="C1" s="2121"/>
      <c r="D1" s="2122"/>
      <c r="I1" s="2080" t="s">
        <v>402</v>
      </c>
      <c r="J1" s="2081"/>
      <c r="K1" s="2081"/>
      <c r="L1" s="2081"/>
      <c r="M1" s="2081"/>
      <c r="N1" s="2081"/>
      <c r="O1" s="2081"/>
      <c r="P1" s="2081"/>
      <c r="Q1" s="2081"/>
      <c r="R1" s="2081"/>
      <c r="S1" s="2081"/>
    </row>
    <row r="2" spans="1:32" ht="12" customHeight="1" x14ac:dyDescent="0.2">
      <c r="A2" s="1831" t="str">
        <f>"Due to ISBE on "</f>
        <v xml:space="preserve">Due to ISBE on </v>
      </c>
      <c r="B2" s="2123">
        <f>+'AFR20'!F4</f>
        <v>44151</v>
      </c>
      <c r="C2" s="2123"/>
      <c r="D2" s="2124"/>
      <c r="I2" s="2082" t="s">
        <v>2000</v>
      </c>
      <c r="J2" s="2081"/>
      <c r="K2" s="2081"/>
      <c r="L2" s="2081"/>
      <c r="M2" s="2081"/>
      <c r="N2" s="2081"/>
      <c r="O2" s="2081"/>
      <c r="P2" s="2081"/>
      <c r="Q2" s="2081"/>
      <c r="R2" s="2081"/>
      <c r="S2" s="2081"/>
    </row>
    <row r="3" spans="1:32" ht="12" customHeight="1" x14ac:dyDescent="0.2">
      <c r="A3" s="1834"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2048</v>
      </c>
      <c r="C5" s="26" t="s">
        <v>904</v>
      </c>
      <c r="D5" s="81"/>
      <c r="E5" s="81"/>
      <c r="H5" s="38"/>
      <c r="I5" s="2090" t="s">
        <v>675</v>
      </c>
      <c r="J5" s="2089"/>
      <c r="K5" s="2089"/>
      <c r="L5" s="2089"/>
      <c r="M5" s="2089"/>
      <c r="N5" s="2089"/>
      <c r="O5" s="2089"/>
      <c r="P5" s="2089"/>
      <c r="Q5" s="2089"/>
      <c r="R5" s="2089"/>
      <c r="S5" s="2089"/>
      <c r="AF5" s="1827"/>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9"/>
      <c r="V10" s="2089"/>
      <c r="W10" s="2089"/>
      <c r="X10" s="2089"/>
      <c r="Y10" s="2089"/>
      <c r="Z10" s="2089"/>
      <c r="AA10" s="2095"/>
    </row>
    <row r="11" spans="1:32" ht="14.25" customHeight="1" x14ac:dyDescent="0.2">
      <c r="A11" s="2148" t="s">
        <v>949</v>
      </c>
      <c r="B11" s="2149"/>
      <c r="C11" s="2149"/>
      <c r="D11" s="2149"/>
      <c r="E11" s="2149"/>
      <c r="F11" s="2149"/>
      <c r="G11" s="2149"/>
      <c r="H11" s="2150"/>
      <c r="I11" s="27"/>
      <c r="J11" s="71"/>
      <c r="K11" s="27"/>
      <c r="O11" s="144" t="s">
        <v>2048</v>
      </c>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1">
        <v>53102021026</v>
      </c>
      <c r="B13" s="2102"/>
      <c r="C13" s="2102"/>
      <c r="D13" s="2102"/>
      <c r="E13" s="2102"/>
      <c r="F13" s="2102"/>
      <c r="G13" s="2102"/>
      <c r="H13" s="2103"/>
      <c r="I13" s="31"/>
      <c r="J13" s="30"/>
      <c r="K13" s="28"/>
      <c r="L13" s="30"/>
      <c r="M13" s="30"/>
      <c r="N13" s="30"/>
      <c r="O13" s="30"/>
      <c r="P13" s="30"/>
      <c r="Q13" s="30"/>
      <c r="R13" s="30"/>
      <c r="S13" s="30"/>
      <c r="T13" s="2107" t="s">
        <v>2049</v>
      </c>
      <c r="U13" s="2108"/>
      <c r="V13" s="2108"/>
      <c r="W13" s="2108"/>
      <c r="X13" s="2108"/>
      <c r="Y13" s="2109"/>
      <c r="Z13" s="2109"/>
      <c r="AA13" s="211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2050</v>
      </c>
      <c r="B15" s="2105"/>
      <c r="C15" s="2105"/>
      <c r="D15" s="2105"/>
      <c r="E15" s="2105"/>
      <c r="F15" s="2105"/>
      <c r="G15" s="2105"/>
      <c r="H15" s="2106"/>
      <c r="T15" s="2111" t="s">
        <v>2051</v>
      </c>
      <c r="U15" s="2068"/>
      <c r="V15" s="2068"/>
      <c r="W15" s="2068"/>
      <c r="X15" s="2068"/>
      <c r="Y15" s="2112"/>
      <c r="Z15" s="2112"/>
      <c r="AA15" s="211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2089</v>
      </c>
      <c r="B17" s="2075"/>
      <c r="C17" s="2075"/>
      <c r="D17" s="2075"/>
      <c r="E17" s="2075"/>
      <c r="F17" s="2075"/>
      <c r="G17" s="2075"/>
      <c r="H17" s="2100"/>
      <c r="T17" s="2118" t="s">
        <v>2052</v>
      </c>
      <c r="U17" s="2119"/>
      <c r="V17" s="2119"/>
      <c r="W17" s="2119"/>
      <c r="X17" s="2119"/>
      <c r="Y17" s="2119"/>
      <c r="Z17" s="2119"/>
      <c r="AA17" s="2120"/>
    </row>
    <row r="18" spans="1:27" ht="13.5" customHeight="1" x14ac:dyDescent="0.2">
      <c r="A18" s="82" t="s">
        <v>527</v>
      </c>
      <c r="B18" s="73"/>
      <c r="C18" s="69"/>
      <c r="D18" s="73"/>
      <c r="E18" s="73"/>
      <c r="F18" s="73"/>
      <c r="G18" s="73"/>
      <c r="H18" s="53"/>
      <c r="I18" s="2099"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04" t="s">
        <v>2053</v>
      </c>
      <c r="B19" s="2060"/>
      <c r="C19" s="2060"/>
      <c r="D19" s="2060"/>
      <c r="E19" s="2060"/>
      <c r="F19" s="2060"/>
      <c r="G19" s="2060"/>
      <c r="H19" s="2040"/>
      <c r="I19" s="30"/>
      <c r="J19" s="96"/>
      <c r="K19" s="40"/>
      <c r="L19" s="38"/>
      <c r="M19" s="109" t="s">
        <v>312</v>
      </c>
      <c r="P19" s="27"/>
      <c r="Q19" s="27"/>
      <c r="R19" s="27"/>
      <c r="S19" s="31"/>
      <c r="T19" s="2104" t="s">
        <v>2054</v>
      </c>
      <c r="U19" s="2039"/>
      <c r="V19" s="2039"/>
      <c r="W19" s="2040"/>
      <c r="X19" s="2116" t="s">
        <v>2055</v>
      </c>
      <c r="Y19" s="2117"/>
      <c r="Z19" s="2114" t="s">
        <v>2056</v>
      </c>
      <c r="AA19" s="2115"/>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2057</v>
      </c>
      <c r="B21" s="2039"/>
      <c r="C21" s="2039"/>
      <c r="D21" s="2039"/>
      <c r="E21" s="2039"/>
      <c r="F21" s="2039"/>
      <c r="G21" s="2039"/>
      <c r="H21" s="2040"/>
      <c r="I21" s="2094" t="s">
        <v>673</v>
      </c>
      <c r="J21" s="2089"/>
      <c r="K21" s="2089"/>
      <c r="L21" s="2089"/>
      <c r="M21" s="2089"/>
      <c r="N21" s="2089"/>
      <c r="O21" s="2089"/>
      <c r="P21" s="2089"/>
      <c r="Q21" s="2089"/>
      <c r="R21" s="2089"/>
      <c r="S21" s="2095"/>
      <c r="T21" s="2129" t="s">
        <v>2058</v>
      </c>
      <c r="U21" s="2130"/>
      <c r="V21" s="2130"/>
      <c r="W21" s="2130"/>
      <c r="X21" s="2135" t="s">
        <v>2059</v>
      </c>
      <c r="Y21" s="2136"/>
      <c r="Z21" s="2136"/>
      <c r="AA21" s="2137"/>
    </row>
    <row r="22" spans="1:27" ht="13.5" customHeight="1" x14ac:dyDescent="0.2">
      <c r="A22" s="84" t="s">
        <v>528</v>
      </c>
      <c r="B22" s="56"/>
      <c r="C22" s="56"/>
      <c r="D22" s="56"/>
      <c r="E22" s="56"/>
      <c r="F22" s="56"/>
      <c r="G22" s="56"/>
      <c r="H22" s="57"/>
      <c r="I22" s="2096" t="s">
        <v>1412</v>
      </c>
      <c r="J22" s="2097"/>
      <c r="K22" s="2097"/>
      <c r="L22" s="2097"/>
      <c r="M22" s="2097"/>
      <c r="N22" s="2097"/>
      <c r="O22" s="2097"/>
      <c r="P22" s="2097"/>
      <c r="Q22" s="2097"/>
      <c r="R22" s="2097"/>
      <c r="S22" s="2098"/>
      <c r="T22" s="82" t="s">
        <v>1499</v>
      </c>
      <c r="U22" s="48"/>
      <c r="V22" s="69"/>
      <c r="W22" s="48"/>
      <c r="X22" s="155" t="s">
        <v>1307</v>
      </c>
      <c r="Z22" s="43"/>
      <c r="AA22" s="44"/>
    </row>
    <row r="23" spans="1:27" ht="13.5" customHeight="1" x14ac:dyDescent="0.2">
      <c r="A23" s="2091" t="s">
        <v>2060</v>
      </c>
      <c r="B23" s="2092"/>
      <c r="C23" s="2092"/>
      <c r="D23" s="2092"/>
      <c r="E23" s="2092"/>
      <c r="F23" s="2092"/>
      <c r="G23" s="2092"/>
      <c r="H23" s="2093"/>
      <c r="T23" s="2074" t="s">
        <v>2061</v>
      </c>
      <c r="U23" s="2128"/>
      <c r="V23" s="2128"/>
      <c r="W23" s="2128"/>
      <c r="X23" s="2132">
        <v>44530</v>
      </c>
      <c r="Y23" s="2133"/>
      <c r="Z23" s="2133"/>
      <c r="AA23" s="2134"/>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t="s">
        <v>2062</v>
      </c>
      <c r="B25" s="2039"/>
      <c r="C25" s="2039"/>
      <c r="D25" s="2039"/>
      <c r="E25" s="2039"/>
      <c r="F25" s="2039"/>
      <c r="G25" s="2039"/>
      <c r="H25" s="2040"/>
      <c r="I25" s="110"/>
      <c r="J25" s="2063"/>
      <c r="K25" s="2063"/>
      <c r="L25" s="2063"/>
      <c r="M25" s="2063"/>
      <c r="N25" s="2063"/>
      <c r="O25" s="2063"/>
      <c r="P25" s="2063"/>
      <c r="Q25" s="2063"/>
      <c r="R25" s="2063"/>
      <c r="S25" s="2064"/>
      <c r="T25" s="2125" t="s">
        <v>2063</v>
      </c>
      <c r="U25" s="2126"/>
      <c r="V25" s="2126"/>
      <c r="W25" s="2126"/>
      <c r="X25" s="2126"/>
      <c r="Y25" s="2126"/>
      <c r="Z25" s="2126"/>
      <c r="AA25" s="212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9" t="s">
        <v>1494</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2048</v>
      </c>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99"/>
      <c r="K30" s="28" t="s">
        <v>572</v>
      </c>
      <c r="L30" s="144" t="s">
        <v>2048</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2048</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2064</v>
      </c>
      <c r="B38" s="2075"/>
      <c r="C38" s="2075"/>
      <c r="D38" s="2075"/>
      <c r="E38" s="2075"/>
      <c r="F38" s="2039"/>
      <c r="G38" s="2039"/>
      <c r="H38" s="2040"/>
      <c r="I38" s="2067"/>
      <c r="J38" s="2068"/>
      <c r="K38" s="2068"/>
      <c r="L38" s="2068"/>
      <c r="M38" s="2068"/>
      <c r="N38" s="2068"/>
      <c r="O38" s="2068"/>
      <c r="P38" s="2069"/>
      <c r="Q38" s="2069"/>
      <c r="R38" s="2069"/>
      <c r="S38" s="2070"/>
      <c r="T38" s="211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2060</v>
      </c>
      <c r="B40" s="2053"/>
      <c r="C40" s="2054"/>
      <c r="D40" s="2054"/>
      <c r="E40" s="2054"/>
      <c r="F40" s="2055"/>
      <c r="G40" s="2055"/>
      <c r="H40" s="2056"/>
      <c r="I40" s="2077"/>
      <c r="J40" s="2078"/>
      <c r="K40" s="2078"/>
      <c r="L40" s="2078"/>
      <c r="M40" s="2078"/>
      <c r="N40" s="2078"/>
      <c r="O40" s="2078"/>
      <c r="P40" s="2078"/>
      <c r="Q40" s="2078"/>
      <c r="R40" s="2078"/>
      <c r="S40" s="2079"/>
      <c r="T40" s="2077"/>
      <c r="U40" s="2131"/>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2065</v>
      </c>
      <c r="B42" s="2058"/>
      <c r="C42" s="2059"/>
      <c r="D42" s="2057" t="s">
        <v>2066</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4" colorId="8" zoomScale="110" zoomScaleNormal="110" workbookViewId="0">
      <selection activeCell="E14" sqref="E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1787346</v>
      </c>
      <c r="C4" s="1722">
        <v>0</v>
      </c>
      <c r="D4" s="1723">
        <f>B4-C4</f>
        <v>1787346</v>
      </c>
      <c r="E4" s="1722">
        <v>1863587</v>
      </c>
      <c r="F4" s="1723">
        <f>E4-C4</f>
        <v>1863587</v>
      </c>
    </row>
    <row r="5" spans="1:8" ht="13.7" customHeight="1" x14ac:dyDescent="0.2">
      <c r="A5" s="579" t="s">
        <v>865</v>
      </c>
      <c r="B5" s="1724">
        <f>'Revenues 9-14'!D5</f>
        <v>311432</v>
      </c>
      <c r="C5" s="1664">
        <v>0</v>
      </c>
      <c r="D5" s="1725">
        <f t="shared" ref="D5:D18" si="0">B5-C5</f>
        <v>311432</v>
      </c>
      <c r="E5" s="1664">
        <v>324716</v>
      </c>
      <c r="F5" s="1725">
        <f>E5-C5</f>
        <v>324716</v>
      </c>
    </row>
    <row r="6" spans="1:8" ht="13.7" customHeight="1" x14ac:dyDescent="0.2">
      <c r="A6" s="579" t="s">
        <v>408</v>
      </c>
      <c r="B6" s="1724">
        <f>'Revenues 9-14'!E5</f>
        <v>261541</v>
      </c>
      <c r="C6" s="1664">
        <v>0</v>
      </c>
      <c r="D6" s="1725">
        <f t="shared" si="0"/>
        <v>261541</v>
      </c>
      <c r="E6" s="1664">
        <v>266174</v>
      </c>
      <c r="F6" s="1725">
        <f t="shared" ref="F6:F18" si="1">E6-C6</f>
        <v>266174</v>
      </c>
    </row>
    <row r="7" spans="1:8" ht="13.7" customHeight="1" x14ac:dyDescent="0.2">
      <c r="A7" s="579" t="s">
        <v>154</v>
      </c>
      <c r="B7" s="1724">
        <f>'Revenues 9-14'!F5</f>
        <v>108325</v>
      </c>
      <c r="C7" s="1664">
        <v>0</v>
      </c>
      <c r="D7" s="1725">
        <f t="shared" si="0"/>
        <v>108325</v>
      </c>
      <c r="E7" s="1664">
        <v>112945</v>
      </c>
      <c r="F7" s="1725">
        <f t="shared" si="1"/>
        <v>112945</v>
      </c>
    </row>
    <row r="8" spans="1:8" ht="13.7" customHeight="1" x14ac:dyDescent="0.2">
      <c r="A8" s="579" t="s">
        <v>1169</v>
      </c>
      <c r="B8" s="1724">
        <f>'Revenues 9-14'!G5</f>
        <v>80485</v>
      </c>
      <c r="C8" s="1664">
        <v>0</v>
      </c>
      <c r="D8" s="1725">
        <f t="shared" si="0"/>
        <v>80485</v>
      </c>
      <c r="E8" s="1664">
        <v>69900</v>
      </c>
      <c r="F8" s="1725">
        <f t="shared" si="1"/>
        <v>69900</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27081</v>
      </c>
      <c r="C10" s="1664">
        <v>0</v>
      </c>
      <c r="D10" s="1725">
        <f t="shared" si="0"/>
        <v>27081</v>
      </c>
      <c r="E10" s="1664">
        <v>28236</v>
      </c>
      <c r="F10" s="1725">
        <f t="shared" si="1"/>
        <v>28236</v>
      </c>
    </row>
    <row r="11" spans="1:8" x14ac:dyDescent="0.2">
      <c r="A11" s="579" t="s">
        <v>406</v>
      </c>
      <c r="B11" s="1724">
        <f>'Revenues 9-14'!J5</f>
        <v>209173</v>
      </c>
      <c r="C11" s="1664">
        <v>0</v>
      </c>
      <c r="D11" s="1725">
        <f t="shared" si="0"/>
        <v>209173</v>
      </c>
      <c r="E11" s="1664">
        <v>184597</v>
      </c>
      <c r="F11" s="1725">
        <f t="shared" si="1"/>
        <v>184597</v>
      </c>
    </row>
    <row r="12" spans="1:8" ht="13.7" customHeight="1" x14ac:dyDescent="0.2">
      <c r="A12" s="579" t="s">
        <v>156</v>
      </c>
      <c r="B12" s="1724">
        <f>'Revenues 9-14'!K5</f>
        <v>27081</v>
      </c>
      <c r="C12" s="1664">
        <v>0</v>
      </c>
      <c r="D12" s="1725">
        <f t="shared" si="0"/>
        <v>27081</v>
      </c>
      <c r="E12" s="1664">
        <v>28236</v>
      </c>
      <c r="F12" s="1725">
        <f t="shared" si="1"/>
        <v>28236</v>
      </c>
    </row>
    <row r="13" spans="1:8" ht="13.7" customHeight="1" x14ac:dyDescent="0.2">
      <c r="A13" s="579" t="s">
        <v>930</v>
      </c>
      <c r="B13" s="1724">
        <f>SUM('Revenues 9-14'!C6:D6)</f>
        <v>27081</v>
      </c>
      <c r="C13" s="1664">
        <v>0</v>
      </c>
      <c r="D13" s="1725">
        <f t="shared" si="0"/>
        <v>27081</v>
      </c>
      <c r="E13" s="1664">
        <v>28236</v>
      </c>
      <c r="F13" s="1725">
        <f t="shared" si="1"/>
        <v>28236</v>
      </c>
    </row>
    <row r="14" spans="1:8" ht="13.7" customHeight="1" x14ac:dyDescent="0.2">
      <c r="A14" s="579" t="s">
        <v>407</v>
      </c>
      <c r="B14" s="1724">
        <f>SUM('Revenues 9-14'!C7:D7,'Revenues 9-14'!F7:H7)</f>
        <v>21665</v>
      </c>
      <c r="C14" s="1664">
        <v>0</v>
      </c>
      <c r="D14" s="1725">
        <f t="shared" si="0"/>
        <v>21665</v>
      </c>
      <c r="E14" s="1664">
        <v>22589</v>
      </c>
      <c r="F14" s="1725">
        <f t="shared" si="1"/>
        <v>22589</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80485</v>
      </c>
      <c r="C16" s="1664">
        <v>0</v>
      </c>
      <c r="D16" s="1725">
        <f t="shared" si="0"/>
        <v>80485</v>
      </c>
      <c r="E16" s="1664">
        <v>50573</v>
      </c>
      <c r="F16" s="1725">
        <f t="shared" si="1"/>
        <v>50573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2941695</v>
      </c>
      <c r="C19" s="1726">
        <f>SUM(C4:C18)</f>
        <v>0</v>
      </c>
      <c r="D19" s="1726">
        <f>SUM(D4:D18)</f>
        <v>2941695</v>
      </c>
      <c r="E19" s="1726">
        <f>SUM(E4:E18)</f>
        <v>2979789</v>
      </c>
      <c r="F19" s="1726">
        <f>SUM(F4:F18)</f>
        <v>2979789</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2003</v>
      </c>
      <c r="B24" s="2305"/>
      <c r="C24" s="2299"/>
      <c r="D24" s="2300"/>
      <c r="E24" s="2300"/>
      <c r="F24" s="2301"/>
    </row>
    <row r="25" spans="1:11" ht="13.5" thickBot="1" x14ac:dyDescent="0.25">
      <c r="A25" s="2306" t="s">
        <v>2004</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43319</v>
      </c>
      <c r="C31" s="1734">
        <v>1305000</v>
      </c>
      <c r="D31" s="1735">
        <v>1</v>
      </c>
      <c r="E31" s="1734">
        <v>1305000</v>
      </c>
      <c r="F31" s="1734"/>
      <c r="G31" s="1734"/>
      <c r="H31" s="1734">
        <v>140000</v>
      </c>
      <c r="I31" s="1736">
        <f>((E31+F31)-H31)+G31</f>
        <v>1165000</v>
      </c>
      <c r="J31" s="1734">
        <v>1159024</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1305000</v>
      </c>
      <c r="D49" s="1742"/>
      <c r="E49" s="1736">
        <f t="shared" ref="E49:J49" si="2">SUM(E31:E48)</f>
        <v>1305000</v>
      </c>
      <c r="F49" s="1736">
        <f t="shared" si="2"/>
        <v>0</v>
      </c>
      <c r="G49" s="1736">
        <f t="shared" si="2"/>
        <v>0</v>
      </c>
      <c r="H49" s="1736">
        <f t="shared" si="2"/>
        <v>140000</v>
      </c>
      <c r="I49" s="1736">
        <f t="shared" si="2"/>
        <v>1165000</v>
      </c>
      <c r="J49" s="1736">
        <f t="shared" si="2"/>
        <v>1159024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6" sqref="J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v>41714</v>
      </c>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21665</v>
      </c>
      <c r="I5" s="1750"/>
      <c r="J5" s="1751"/>
      <c r="K5" s="1751"/>
    </row>
    <row r="6" spans="1:11" x14ac:dyDescent="0.2">
      <c r="A6" s="625" t="s">
        <v>715</v>
      </c>
      <c r="B6" s="626"/>
      <c r="C6" s="626"/>
      <c r="D6" s="626"/>
      <c r="E6" s="627"/>
      <c r="F6" s="628" t="s">
        <v>844</v>
      </c>
      <c r="G6" s="1744"/>
      <c r="H6" s="1744"/>
      <c r="I6" s="1744"/>
      <c r="J6" s="1745">
        <v>298</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79753</v>
      </c>
      <c r="K8" s="1748"/>
    </row>
    <row r="9" spans="1:11" x14ac:dyDescent="0.2">
      <c r="A9" s="629" t="s">
        <v>137</v>
      </c>
      <c r="B9" s="630"/>
      <c r="C9" s="630"/>
      <c r="D9" s="630"/>
      <c r="E9" s="631"/>
      <c r="F9" s="628" t="s">
        <v>848</v>
      </c>
      <c r="G9" s="1753"/>
      <c r="H9" s="1749"/>
      <c r="I9" s="1749"/>
      <c r="J9" s="1752"/>
      <c r="K9" s="1745">
        <v>3222</v>
      </c>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21665</v>
      </c>
      <c r="I12" s="1755">
        <f>SUM(I5:I11)</f>
        <v>0</v>
      </c>
      <c r="J12" s="1755">
        <f>SUM(J5:J11)</f>
        <v>80051</v>
      </c>
      <c r="K12" s="1755">
        <f>SUM(K5:K11)</f>
        <v>3222</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21665</v>
      </c>
      <c r="I14" s="1749"/>
      <c r="J14" s="1751"/>
      <c r="K14" s="1745">
        <v>3222</v>
      </c>
    </row>
    <row r="15" spans="1:11" x14ac:dyDescent="0.2">
      <c r="A15" s="2324" t="s">
        <v>4</v>
      </c>
      <c r="B15" s="2324"/>
      <c r="C15" s="2324"/>
      <c r="D15" s="2324"/>
      <c r="E15" s="2325"/>
      <c r="F15" s="635" t="s">
        <v>850</v>
      </c>
      <c r="G15" s="1749"/>
      <c r="H15" s="1744"/>
      <c r="I15" s="1744"/>
      <c r="J15" s="1745">
        <v>57120</v>
      </c>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21665</v>
      </c>
      <c r="I23" s="1755">
        <f>SUM(I14:I16,I21,I22)</f>
        <v>0</v>
      </c>
      <c r="J23" s="1755">
        <f>SUM(J14:J16,J21,J22)</f>
        <v>57120</v>
      </c>
      <c r="K23" s="1755">
        <f>SUM(K14:K16,K21,K22)</f>
        <v>3222</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64645</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64645</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1872</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18400</v>
      </c>
      <c r="D5" s="1770"/>
      <c r="E5" s="1770"/>
      <c r="F5" s="1765">
        <f>(C5+D5)-E5</f>
        <v>18400</v>
      </c>
      <c r="G5" s="676"/>
      <c r="H5" s="680"/>
      <c r="I5" s="680"/>
      <c r="J5" s="680"/>
      <c r="K5" s="637"/>
      <c r="L5" s="1442">
        <f>F5-K5</f>
        <v>18400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3909628</v>
      </c>
      <c r="D8" s="1771">
        <v>35108</v>
      </c>
      <c r="E8" s="1771"/>
      <c r="F8" s="1765">
        <f>(C8+D8)-E8</f>
        <v>3944736</v>
      </c>
      <c r="G8" s="681">
        <v>50</v>
      </c>
      <c r="H8" s="619">
        <v>2764339</v>
      </c>
      <c r="I8" s="619">
        <v>55128</v>
      </c>
      <c r="J8" s="619"/>
      <c r="K8" s="1442">
        <f>(H8+I8)-J8</f>
        <v>2819467</v>
      </c>
      <c r="L8" s="1442">
        <f>F8-K8</f>
        <v>1125269</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270330</v>
      </c>
      <c r="D12" s="1771">
        <v>177704</v>
      </c>
      <c r="E12" s="1771">
        <v>59603</v>
      </c>
      <c r="F12" s="1765">
        <f>(C12+D12)-E12</f>
        <v>388431</v>
      </c>
      <c r="G12" s="681">
        <v>10</v>
      </c>
      <c r="H12" s="619">
        <v>156945</v>
      </c>
      <c r="I12" s="619">
        <v>42330</v>
      </c>
      <c r="J12" s="619">
        <v>59603</v>
      </c>
      <c r="K12" s="1442">
        <f>(H12+I12)-J12</f>
        <v>139672</v>
      </c>
      <c r="L12" s="1442">
        <f>F12-K12</f>
        <v>248759</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v>21795</v>
      </c>
      <c r="D14" s="1745">
        <v>80463</v>
      </c>
      <c r="E14" s="1745"/>
      <c r="F14" s="1765">
        <f>(C14+D14)-E14</f>
        <v>102258</v>
      </c>
      <c r="G14" s="681">
        <v>3</v>
      </c>
      <c r="H14" s="619">
        <v>7265</v>
      </c>
      <c r="I14" s="619">
        <v>34086</v>
      </c>
      <c r="J14" s="619"/>
      <c r="K14" s="1442">
        <f>(H14+I14)-J14</f>
        <v>41351</v>
      </c>
      <c r="L14" s="1442">
        <f>F14-K14</f>
        <v>60907</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4220153</v>
      </c>
      <c r="D16" s="1765">
        <f>SUM(D3,D5:D6,D8:D10,D12:D15)</f>
        <v>293275</v>
      </c>
      <c r="E16" s="1765">
        <f>SUM(E3,E5:E6,E8:E10,E12:E15)</f>
        <v>59603</v>
      </c>
      <c r="F16" s="1765">
        <f>SUM(F3,F5:F6,F8:F10,F12:F15)</f>
        <v>4453825</v>
      </c>
      <c r="G16" s="681"/>
      <c r="H16" s="1435">
        <f>SUM(H3,H6,H8:H10,H12:H14,)</f>
        <v>2928549</v>
      </c>
      <c r="I16" s="1435">
        <f>SUM(I3,I6,I8:I10,I12:I14,)</f>
        <v>131544</v>
      </c>
      <c r="J16" s="1435">
        <f>SUM(J3,J6,J8:J10,J12:J14,)</f>
        <v>59603</v>
      </c>
      <c r="K16" s="1435">
        <f>(H16+I16)-J16</f>
        <v>3000490</v>
      </c>
      <c r="L16" s="1435">
        <f>F16-K16</f>
        <v>1453335</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131544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3470502</v>
      </c>
      <c r="G8" s="701"/>
    </row>
    <row r="9" spans="1:9" x14ac:dyDescent="0.2">
      <c r="A9" s="705" t="s">
        <v>457</v>
      </c>
      <c r="B9" s="706" t="s">
        <v>1845</v>
      </c>
      <c r="C9" s="707"/>
      <c r="D9" s="705" t="s">
        <v>498</v>
      </c>
      <c r="E9" s="704"/>
      <c r="F9" s="1775">
        <f>'Expenditures 15-22'!K151</f>
        <v>579951</v>
      </c>
      <c r="G9" s="708"/>
    </row>
    <row r="10" spans="1:9" x14ac:dyDescent="0.2">
      <c r="A10" s="705" t="s">
        <v>496</v>
      </c>
      <c r="B10" s="706" t="s">
        <v>1846</v>
      </c>
      <c r="C10" s="707"/>
      <c r="D10" s="705" t="s">
        <v>498</v>
      </c>
      <c r="E10" s="704"/>
      <c r="F10" s="1775">
        <f>'Expenditures 15-22'!K174</f>
        <v>262415</v>
      </c>
      <c r="G10" s="708"/>
    </row>
    <row r="11" spans="1:9" x14ac:dyDescent="0.2">
      <c r="A11" s="705" t="s">
        <v>458</v>
      </c>
      <c r="B11" s="706" t="s">
        <v>1847</v>
      </c>
      <c r="C11" s="707"/>
      <c r="D11" s="705" t="s">
        <v>498</v>
      </c>
      <c r="E11" s="704"/>
      <c r="F11" s="1775">
        <f>'Expenditures 15-22'!K210</f>
        <v>359435</v>
      </c>
      <c r="G11" s="708"/>
    </row>
    <row r="12" spans="1:9" x14ac:dyDescent="0.2">
      <c r="A12" s="705" t="s">
        <v>459</v>
      </c>
      <c r="B12" s="706" t="s">
        <v>1848</v>
      </c>
      <c r="C12" s="707"/>
      <c r="D12" s="705" t="s">
        <v>498</v>
      </c>
      <c r="E12" s="704"/>
      <c r="F12" s="1775">
        <f>'Expenditures 15-22'!K295</f>
        <v>156493</v>
      </c>
      <c r="G12" s="708"/>
    </row>
    <row r="13" spans="1:9" x14ac:dyDescent="0.2">
      <c r="A13" s="705" t="s">
        <v>106</v>
      </c>
      <c r="B13" s="706" t="s">
        <v>1849</v>
      </c>
      <c r="C13" s="707"/>
      <c r="D13" s="705" t="s">
        <v>498</v>
      </c>
      <c r="E13" s="704"/>
      <c r="F13" s="1775">
        <f>'Expenditures 15-22'!K342</f>
        <v>207754</v>
      </c>
      <c r="G13" s="709"/>
    </row>
    <row r="14" spans="1:9" ht="12" customHeight="1" thickBot="1" x14ac:dyDescent="0.25">
      <c r="A14" s="1443"/>
      <c r="B14" s="1444"/>
      <c r="C14" s="1445"/>
      <c r="D14" s="1446" t="s">
        <v>498</v>
      </c>
      <c r="E14" s="1447" t="s">
        <v>952</v>
      </c>
      <c r="F14" s="1776">
        <f>SUM(F8:F13)</f>
        <v>5036550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20576</v>
      </c>
      <c r="G52" s="701"/>
    </row>
    <row r="53" spans="1:7" x14ac:dyDescent="0.2">
      <c r="A53" s="705" t="s">
        <v>456</v>
      </c>
      <c r="B53" s="705" t="s">
        <v>1458</v>
      </c>
      <c r="C53" s="724">
        <f>'Expenditures 15-22'!B102</f>
        <v>4000</v>
      </c>
      <c r="D53" s="723" t="str">
        <f>'Expenditures 15-22'!A102</f>
        <v>Total Payments to Other Govt Units</v>
      </c>
      <c r="E53" s="704"/>
      <c r="F53" s="1782">
        <f>'Expenditures 15-22'!K102</f>
        <v>595253</v>
      </c>
      <c r="G53" s="701"/>
    </row>
    <row r="54" spans="1:7" x14ac:dyDescent="0.2">
      <c r="A54" s="705" t="s">
        <v>456</v>
      </c>
      <c r="B54" s="705" t="s">
        <v>1459</v>
      </c>
      <c r="C54" s="724" t="s">
        <v>975</v>
      </c>
      <c r="D54" s="720" t="s">
        <v>1086</v>
      </c>
      <c r="E54" s="704"/>
      <c r="F54" s="1782">
        <f>'Expenditures 15-22'!G114</f>
        <v>128825</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5254</v>
      </c>
      <c r="G57" s="701"/>
    </row>
    <row r="58" spans="1:7" x14ac:dyDescent="0.2">
      <c r="A58" s="705" t="s">
        <v>457</v>
      </c>
      <c r="B58" s="705" t="s">
        <v>1851</v>
      </c>
      <c r="C58" s="721" t="s">
        <v>975</v>
      </c>
      <c r="D58" s="720" t="s">
        <v>1086</v>
      </c>
      <c r="E58" s="704"/>
      <c r="F58" s="1784">
        <f>'Expenditures 15-22'!G151</f>
        <v>37613</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140000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0</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927521</v>
      </c>
      <c r="G77" s="701"/>
    </row>
    <row r="78" spans="1:9" s="728" customFormat="1" ht="12" customHeight="1" thickTop="1" thickBot="1" x14ac:dyDescent="0.25">
      <c r="A78" s="1450"/>
      <c r="B78" s="1448"/>
      <c r="C78" s="1445"/>
      <c r="D78" s="1449" t="s">
        <v>2009</v>
      </c>
      <c r="E78" s="1447"/>
      <c r="F78" s="1788">
        <f>(F14-F77)</f>
        <v>4109029</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305.7</v>
      </c>
      <c r="G79" s="733"/>
      <c r="H79" s="705"/>
      <c r="I79" s="705"/>
    </row>
    <row r="80" spans="1:9" s="728" customFormat="1" ht="12" customHeight="1" thickBot="1" x14ac:dyDescent="0.25">
      <c r="A80" s="1452"/>
      <c r="B80" s="1448"/>
      <c r="C80" s="1445"/>
      <c r="D80" s="1449" t="s">
        <v>2010</v>
      </c>
      <c r="E80" s="1447" t="s">
        <v>952</v>
      </c>
      <c r="F80" s="1790">
        <f>IF(F79&gt;0,F78/F79," Complete Line 79")</f>
        <v>13441.377167157345</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41613</v>
      </c>
      <c r="G95" s="745"/>
    </row>
    <row r="96" spans="1:7" x14ac:dyDescent="0.2">
      <c r="A96" s="741" t="s">
        <v>139</v>
      </c>
      <c r="B96" s="741" t="s">
        <v>174</v>
      </c>
      <c r="C96" s="743">
        <v>1700</v>
      </c>
      <c r="D96" s="751" t="str">
        <f>'Revenues 9-14'!A82</f>
        <v>Total District/School Activity Income</v>
      </c>
      <c r="E96" s="739"/>
      <c r="F96" s="1793">
        <f>SUM('Revenues 9-14'!C82,'Revenues 9-14'!D82)</f>
        <v>7901</v>
      </c>
      <c r="G96" s="745"/>
    </row>
    <row r="97" spans="1:7" x14ac:dyDescent="0.2">
      <c r="A97" s="741" t="s">
        <v>456</v>
      </c>
      <c r="B97" s="741" t="s">
        <v>175</v>
      </c>
      <c r="C97" s="743">
        <f>'Revenues 9-14'!B84</f>
        <v>1811</v>
      </c>
      <c r="D97" s="744" t="str">
        <f>'Revenues 9-14'!A84</f>
        <v>Rentals - Regular Textbooks</v>
      </c>
      <c r="E97" s="739"/>
      <c r="F97" s="1793">
        <f>'Revenues 9-14'!C84</f>
        <v>10805</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16964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64290</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3674</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937</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3222</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198235</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50000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6242</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115752</v>
      </c>
      <c r="G126" s="763"/>
    </row>
    <row r="127" spans="1:7" x14ac:dyDescent="0.2">
      <c r="A127" s="760" t="s">
        <v>663</v>
      </c>
      <c r="B127" s="760" t="s">
        <v>1928</v>
      </c>
      <c r="C127" s="765">
        <v>4300</v>
      </c>
      <c r="D127" s="766" t="str">
        <f>'Revenues 9-14'!A204</f>
        <v>Total Title I</v>
      </c>
      <c r="E127" s="739"/>
      <c r="F127" s="1793">
        <f>SUM('Revenues 9-14'!C204,'Revenues 9-14'!D204,'Revenues 9-14'!F204,'Revenues 9-14'!G204)</f>
        <v>226724</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10473</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96780</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12638</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1089</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4259</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0</v>
      </c>
      <c r="G172" s="760"/>
    </row>
    <row r="173" spans="1:7" x14ac:dyDescent="0.2">
      <c r="A173" s="1529" t="s">
        <v>659</v>
      </c>
      <c r="B173" s="1530" t="s">
        <v>1882</v>
      </c>
      <c r="C173" s="1531">
        <v>3300</v>
      </c>
      <c r="D173" s="1532" t="s">
        <v>1885</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871598</v>
      </c>
    </row>
    <row r="176" spans="1:7" ht="12" customHeight="1" x14ac:dyDescent="0.2">
      <c r="A176" s="1443"/>
      <c r="B176" s="1453"/>
      <c r="C176" s="1454"/>
      <c r="D176" s="1455" t="s">
        <v>2011</v>
      </c>
      <c r="E176" s="1456"/>
      <c r="F176" s="1793">
        <f>'PCTC-OEPP 27-28'!F78-F175</f>
        <v>3237431</v>
      </c>
    </row>
    <row r="177" spans="1:9" ht="12" customHeight="1" x14ac:dyDescent="0.2">
      <c r="A177" s="1443"/>
      <c r="B177" s="1453"/>
      <c r="C177" s="1454"/>
      <c r="D177" s="1455" t="s">
        <v>1794</v>
      </c>
      <c r="E177" s="1456"/>
      <c r="F177" s="1793">
        <f>'Cap Outlay Deprec 26'!I18</f>
        <v>131544</v>
      </c>
    </row>
    <row r="178" spans="1:9" ht="12" customHeight="1" x14ac:dyDescent="0.2">
      <c r="A178" s="1443"/>
      <c r="B178" s="1453"/>
      <c r="C178" s="1454"/>
      <c r="D178" s="1455" t="s">
        <v>2012</v>
      </c>
      <c r="E178" s="1456"/>
      <c r="F178" s="1793">
        <f>F176+F177</f>
        <v>3368975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305.7</v>
      </c>
      <c r="G179" s="763"/>
      <c r="I179" s="701"/>
    </row>
    <row r="180" spans="1:9" ht="12" customHeight="1" thickBot="1" x14ac:dyDescent="0.25">
      <c r="A180" s="1443"/>
      <c r="B180" s="1457"/>
      <c r="C180" s="1454"/>
      <c r="D180" s="1455" t="s">
        <v>2014</v>
      </c>
      <c r="E180" s="1456" t="s">
        <v>1528</v>
      </c>
      <c r="F180" s="1798">
        <f>F178/F179</f>
        <v>11020.526660124306</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20" sqref="A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1805</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1982</v>
      </c>
      <c r="B7" s="2385"/>
      <c r="C7" s="2385"/>
      <c r="D7" s="2385"/>
      <c r="E7" s="2385"/>
      <c r="F7" s="2386"/>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7" t="s">
        <v>1978</v>
      </c>
      <c r="B10" s="2388"/>
      <c r="C10" s="2388"/>
      <c r="D10" s="2388"/>
      <c r="E10" s="2388"/>
      <c r="F10" s="2389"/>
    </row>
    <row r="11" spans="1:6" ht="33" customHeight="1" x14ac:dyDescent="0.25">
      <c r="A11" s="2384" t="s">
        <v>1983</v>
      </c>
      <c r="B11" s="2385"/>
      <c r="C11" s="2385"/>
      <c r="D11" s="2385"/>
      <c r="E11" s="2385"/>
      <c r="F11" s="2386"/>
    </row>
    <row r="12" spans="1:6" ht="15" customHeight="1" x14ac:dyDescent="0.25">
      <c r="A12" s="1873" t="s">
        <v>1979</v>
      </c>
      <c r="B12" s="1874"/>
      <c r="C12" s="1875"/>
      <c r="D12" s="1875"/>
      <c r="E12" s="1875"/>
      <c r="F12" s="1876"/>
    </row>
    <row r="13" spans="1:6" ht="17.25" customHeight="1" x14ac:dyDescent="0.25">
      <c r="A13" s="2384" t="s">
        <v>1980</v>
      </c>
      <c r="B13" s="2385"/>
      <c r="C13" s="2385"/>
      <c r="D13" s="2385"/>
      <c r="E13" s="2385"/>
      <c r="F13" s="2386"/>
    </row>
    <row r="14" spans="1:6" ht="15" customHeight="1" x14ac:dyDescent="0.25">
      <c r="A14" s="1873" t="s">
        <v>1798</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1799</v>
      </c>
      <c r="B16" s="1878" t="s">
        <v>1800</v>
      </c>
      <c r="C16" s="1877" t="s">
        <v>1801</v>
      </c>
      <c r="D16" s="1879" t="s">
        <v>1802</v>
      </c>
      <c r="E16" s="1879" t="s">
        <v>1803</v>
      </c>
      <c r="F16" s="1879" t="s">
        <v>1804</v>
      </c>
    </row>
    <row r="17" spans="1:7" x14ac:dyDescent="0.25">
      <c r="A17" s="1880" t="s">
        <v>2081</v>
      </c>
      <c r="B17" s="1907"/>
      <c r="C17" s="1881"/>
      <c r="D17" s="1882"/>
      <c r="E17" s="1882"/>
      <c r="F17" s="1883"/>
    </row>
    <row r="18" spans="1:7" x14ac:dyDescent="0.25">
      <c r="A18" s="2035"/>
      <c r="B18" s="1908"/>
      <c r="C18" s="2036"/>
      <c r="D18" s="2037"/>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93481</v>
      </c>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v>12056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2036108</v>
      </c>
      <c r="F19" s="1802"/>
      <c r="G19" s="1804">
        <f>'Expenditures 15-22'!K33-SUM('Expenditures 15-22'!G33,'Expenditures 15-22'!I33)+'Expenditures 15-22'!D229</f>
        <v>2036108</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67986</v>
      </c>
      <c r="F21" s="1805"/>
      <c r="G21" s="1808">
        <f>'Expenditures 15-22'!K42-SUM('Expenditures 15-22'!G42,'Expenditures 15-22'!I42)+'Expenditures 15-22'!K120-SUM('Expenditures 15-22'!G120,'Expenditures 15-22'!I120)+'Expenditures 15-22'!K180-SUM('Expenditures 15-22'!G180,'Expenditures 15-22'!I180)+'Expenditures 15-22'!D238</f>
        <v>67986</v>
      </c>
      <c r="H21" s="817"/>
      <c r="I21" s="157"/>
    </row>
    <row r="22" spans="1:9" s="542" customFormat="1" ht="12" customHeight="1" x14ac:dyDescent="0.2">
      <c r="A22" s="824" t="s">
        <v>560</v>
      </c>
      <c r="B22" s="825"/>
      <c r="C22" s="823">
        <v>2200</v>
      </c>
      <c r="D22" s="1805"/>
      <c r="E22" s="1807">
        <f>'Expenditures 15-22'!K47-SUM('Expenditures 15-22'!G47,'Expenditures 15-22'!I47)+'Expenditures 15-22'!D243</f>
        <v>21052</v>
      </c>
      <c r="F22" s="1805"/>
      <c r="G22" s="1808">
        <f>'Expenditures 15-22'!K47-SUM('Expenditures 15-22'!G47,'Expenditures 15-22'!I47)+'Expenditures 15-22'!D243</f>
        <v>21052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329229</v>
      </c>
      <c r="F23" s="1805"/>
      <c r="G23" s="1807">
        <f>'Expenditures 15-22'!K53-SUM('Expenditures 15-22'!G53,'Expenditures 15-22'!I53)+'Expenditures 15-22'!D257+'Expenditures 15-22'!K330-SUM('Expenditures 15-22'!G330,'Expenditures 15-22'!I330)</f>
        <v>329229</v>
      </c>
      <c r="H23" s="817"/>
      <c r="I23" s="157"/>
    </row>
    <row r="24" spans="1:9" s="542" customFormat="1" ht="12" customHeight="1" x14ac:dyDescent="0.2">
      <c r="A24" s="824" t="s">
        <v>562</v>
      </c>
      <c r="B24" s="825"/>
      <c r="C24" s="823">
        <v>2400</v>
      </c>
      <c r="D24" s="1805"/>
      <c r="E24" s="1807">
        <f>'Expenditures 15-22'!K57-SUM('Expenditures 15-22'!G57,'Expenditures 15-22'!I57)+'Expenditures 15-22'!D261</f>
        <v>255108</v>
      </c>
      <c r="F24" s="1805"/>
      <c r="G24" s="1808">
        <f>'Expenditures 15-22'!K57-SUM('Expenditures 15-22'!G57,'Expenditures 15-22'!I57)+'Expenditures 15-22'!D261</f>
        <v>255108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112584</v>
      </c>
      <c r="E27" s="1807">
        <f>E8</f>
        <v>0</v>
      </c>
      <c r="F27" s="1807">
        <f>'Expenditures 15-22'!K60-SUM('Expenditures 15-22'!G60,'Expenditures 15-22'!I60)+'Expenditures 15-22'!D264-E8</f>
        <v>112584</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565046</v>
      </c>
      <c r="F28" s="1809">
        <f>'Expenditures 15-22'!K61-SUM('Expenditures 15-22'!G61,'Expenditures 15-22'!I61)+'Expenditures 15-22'!K124-SUM('Expenditures 15-22'!G124,'Expenditures 15-22'!I124)+'Expenditures 15-22'!D266-E9</f>
        <v>565046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393051</v>
      </c>
      <c r="F29" s="1805"/>
      <c r="G29" s="1808">
        <f>'Expenditures 15-22'!K62-SUM('Expenditures 15-22'!G62,'Expenditures 15-22'!I62)+'Expenditures 15-22'!K125-SUM('Expenditures 15-22'!G125,'Expenditures 15-22'!I125)+'Expenditures 15-22'!K182-SUM('Expenditures 15-22'!G182,'Expenditures 15-22'!I182)+'Expenditures 15-22'!D267</f>
        <v>393051</v>
      </c>
      <c r="H29" s="815"/>
    </row>
    <row r="30" spans="1:9" ht="12" customHeight="1" x14ac:dyDescent="0.2">
      <c r="A30" s="824" t="s">
        <v>100</v>
      </c>
      <c r="B30" s="827"/>
      <c r="C30" s="823">
        <v>2560</v>
      </c>
      <c r="D30" s="1805"/>
      <c r="E30" s="1807">
        <f>'Expenditures 15-22'!K63-SUM('Expenditures 15-22'!G63,'Expenditures 15-22'!I63)+'Expenditures 15-22'!D268-E10</f>
        <v>90189</v>
      </c>
      <c r="F30" s="1805"/>
      <c r="G30" s="1807">
        <f>'Expenditures 15-22'!K63-SUM('Expenditures 15-22'!G63,'Expenditures 15-22'!I63)+'Expenditures 15-22'!D268-E10</f>
        <v>90189</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22780</v>
      </c>
      <c r="E37" s="1807">
        <f>E14</f>
        <v>0</v>
      </c>
      <c r="F37" s="1807">
        <f>'Expenditures 15-22'!K71-SUM('Expenditures 15-22'!G71,'Expenditures 15-22'!I71)+'Expenditures 15-22'!D276-E14</f>
        <v>22780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20576</v>
      </c>
      <c r="F39" s="1805"/>
      <c r="G39" s="1807">
        <f>'Expenditures 15-22'!K75-SUM('Expenditures 15-22'!G75,'Expenditures 15-22'!I75)+'Expenditures 15-22'!K130-SUM('Expenditures 15-22'!G130,'Expenditures 15-22'!I130)+'Expenditures 15-22'!K185-SUM('Expenditures 15-22'!G185,'Expenditures 15-22'!I185)+'Expenditures 15-22'!D280</f>
        <v>20576</v>
      </c>
    </row>
    <row r="40" spans="1:7" ht="12" customHeight="1" x14ac:dyDescent="0.2">
      <c r="A40" s="820" t="s">
        <v>1797</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135364</v>
      </c>
      <c r="E41" s="1809">
        <f>SUM(E19:E40)</f>
        <v>3778345</v>
      </c>
      <c r="F41" s="1809">
        <f>SUM(F19:F39)</f>
        <v>700410</v>
      </c>
      <c r="G41" s="1809">
        <f>SUM(G19:G40)</f>
        <v>3213299</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135364</v>
      </c>
      <c r="F43" s="1458" t="s">
        <v>470</v>
      </c>
      <c r="G43" s="1810">
        <f>F41</f>
        <v>700410</v>
      </c>
    </row>
    <row r="44" spans="1:7" ht="12" customHeight="1" x14ac:dyDescent="0.2">
      <c r="A44" s="817"/>
      <c r="B44" s="157"/>
      <c r="C44" s="831"/>
      <c r="D44" s="1458" t="s">
        <v>471</v>
      </c>
      <c r="E44" s="1810">
        <f>E41</f>
        <v>3778345</v>
      </c>
      <c r="F44" s="1458" t="s">
        <v>471</v>
      </c>
      <c r="G44" s="1810">
        <f>G41</f>
        <v>3213299</v>
      </c>
    </row>
    <row r="45" spans="1:7" ht="12" customHeight="1" x14ac:dyDescent="0.2">
      <c r="A45" s="817"/>
      <c r="B45" s="157"/>
      <c r="C45" s="157"/>
      <c r="D45" s="1459" t="s">
        <v>999</v>
      </c>
      <c r="E45" s="1811">
        <f>(E43/E44)</f>
        <v>3.5826267850077219E-2</v>
      </c>
      <c r="F45" s="1459" t="s">
        <v>999</v>
      </c>
      <c r="G45" s="1811">
        <f>(G43/G44)</f>
        <v>0.21797224596901812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Lowpoint-Washburn CUSD 21</v>
      </c>
      <c r="D6" s="2416"/>
      <c r="E6" s="2416"/>
      <c r="F6" s="1482"/>
      <c r="G6" s="1507"/>
      <c r="L6" s="1507"/>
      <c r="M6" s="1855"/>
      <c r="N6" s="1855"/>
      <c r="O6" s="1855"/>
    </row>
    <row r="7" spans="1:15" ht="11.25" customHeight="1" thickBot="1" x14ac:dyDescent="0.3">
      <c r="A7" s="1480"/>
      <c r="B7" s="1481"/>
      <c r="C7" s="2417">
        <f>COVER!A13</f>
        <v>53102021026</v>
      </c>
      <c r="D7" s="2417"/>
      <c r="E7" s="2417"/>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t="s">
        <v>2048</v>
      </c>
      <c r="D17" s="1495" t="s">
        <v>2048</v>
      </c>
      <c r="E17" s="1498"/>
      <c r="F17" s="1497" t="s">
        <v>2077</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c r="F26" s="1497" t="s">
        <v>2078</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c r="F31" s="1497" t="s">
        <v>2079</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2048</v>
      </c>
      <c r="D32" s="1495" t="s">
        <v>2048</v>
      </c>
      <c r="E32" s="1498"/>
      <c r="F32" s="1497" t="s">
        <v>2080</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0</v>
      </c>
      <c r="K34" s="1507">
        <f>SUM(H34:J34)</f>
        <v>40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4" zoomScaleNormal="100" workbookViewId="0">
      <selection activeCell="K13" sqref="K13"/>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1999</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Lowpoint-Washburn CUSD 21</v>
      </c>
      <c r="K6" s="2438"/>
      <c r="L6" s="2452"/>
      <c r="M6" s="838"/>
      <c r="N6" s="1998"/>
    </row>
    <row r="7" spans="1:14" x14ac:dyDescent="0.2">
      <c r="A7" s="2453" t="s">
        <v>864</v>
      </c>
      <c r="B7" s="2454"/>
      <c r="C7" s="2454"/>
      <c r="D7" s="2454"/>
      <c r="E7" s="2455"/>
      <c r="F7" s="839"/>
      <c r="G7" s="838"/>
      <c r="H7" s="838"/>
      <c r="I7" s="1924" t="s">
        <v>369</v>
      </c>
      <c r="J7" s="2440">
        <f>COVER!A13</f>
        <v>53102021026</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2015</v>
      </c>
      <c r="F9" s="1857"/>
      <c r="G9" s="1857"/>
      <c r="H9" s="1857"/>
      <c r="I9" s="1929" t="s">
        <v>2016</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2017</v>
      </c>
      <c r="H11" s="1939" t="s">
        <v>155</v>
      </c>
      <c r="I11" s="1937" t="s">
        <v>64</v>
      </c>
      <c r="J11" s="1937" t="s">
        <v>6</v>
      </c>
      <c r="K11" s="1938" t="s">
        <v>1998</v>
      </c>
      <c r="L11" s="1939" t="s">
        <v>155</v>
      </c>
      <c r="M11" s="838"/>
      <c r="N11" s="1998"/>
    </row>
    <row r="12" spans="1:14" x14ac:dyDescent="0.2">
      <c r="A12" s="2003">
        <v>1</v>
      </c>
      <c r="B12" s="1940" t="s">
        <v>813</v>
      </c>
      <c r="C12" s="842"/>
      <c r="D12" s="1941">
        <v>2320</v>
      </c>
      <c r="E12" s="1944">
        <f>'Expenditures 15-22'!K50</f>
        <v>105874</v>
      </c>
      <c r="F12" s="1942"/>
      <c r="G12" s="1968">
        <f>G68</f>
        <v>18585</v>
      </c>
      <c r="H12" s="1944">
        <f t="shared" ref="H12:H18" si="0">SUM(E12:G12)</f>
        <v>124459</v>
      </c>
      <c r="I12" s="1943">
        <v>103825</v>
      </c>
      <c r="J12" s="1942"/>
      <c r="K12" s="1943">
        <v>21065</v>
      </c>
      <c r="L12" s="1944">
        <f t="shared" ref="L12:L18" si="1">SUM(I12:K12)</f>
        <v>124890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59" t="s">
        <v>7</v>
      </c>
      <c r="C18" s="2460"/>
      <c r="D18" s="2461"/>
      <c r="E18" s="1946">
        <v>9385</v>
      </c>
      <c r="F18" s="1946"/>
      <c r="G18" s="1943"/>
      <c r="H18" s="1947">
        <f t="shared" si="0"/>
        <v>9385</v>
      </c>
      <c r="I18" s="1943">
        <v>5000</v>
      </c>
      <c r="J18" s="1943"/>
      <c r="K18" s="1943"/>
      <c r="L18" s="1944">
        <f t="shared" si="1"/>
        <v>5000</v>
      </c>
      <c r="M18" s="838"/>
      <c r="N18" s="1998"/>
    </row>
    <row r="19" spans="1:14" ht="13.5" thickBot="1" x14ac:dyDescent="0.25">
      <c r="A19" s="2003">
        <v>8</v>
      </c>
      <c r="B19" s="1948" t="s">
        <v>1151</v>
      </c>
      <c r="C19" s="838"/>
      <c r="D19" s="1949"/>
      <c r="E19" s="1950">
        <f t="shared" ref="E19:L19" si="2">SUM(E12:E17)-E18</f>
        <v>96489</v>
      </c>
      <c r="F19" s="1950">
        <f t="shared" si="2"/>
        <v>0</v>
      </c>
      <c r="G19" s="1950">
        <f t="shared" ref="G19" si="3">SUM(G12:G17)-G18</f>
        <v>18585</v>
      </c>
      <c r="H19" s="1950">
        <f t="shared" si="2"/>
        <v>115074</v>
      </c>
      <c r="I19" s="1950">
        <f t="shared" si="2"/>
        <v>98825</v>
      </c>
      <c r="J19" s="1950">
        <f t="shared" si="2"/>
        <v>0</v>
      </c>
      <c r="K19" s="1950">
        <f t="shared" si="2"/>
        <v>21065</v>
      </c>
      <c r="L19" s="1950">
        <f t="shared" si="2"/>
        <v>119890</v>
      </c>
      <c r="M19" s="838"/>
      <c r="N19" s="1998"/>
    </row>
    <row r="20" spans="1:14" ht="13.5" thickTop="1" x14ac:dyDescent="0.2">
      <c r="A20" s="2003">
        <v>9</v>
      </c>
      <c r="B20" s="2462" t="s">
        <v>2018</v>
      </c>
      <c r="C20" s="2462"/>
      <c r="D20" s="2463"/>
      <c r="E20" s="1951"/>
      <c r="F20" s="1951"/>
      <c r="G20" s="1951"/>
      <c r="H20" s="1951"/>
      <c r="I20" s="1951"/>
      <c r="J20" s="1951"/>
      <c r="K20" s="1951"/>
      <c r="L20" s="1952">
        <f>IF(AND(H19&gt;0,L19&gt;0),(((L19-H19)/H19)),"Enter Budget Data")</f>
        <v>4.1851330448233311E-2</v>
      </c>
      <c r="M20" s="838"/>
      <c r="N20" s="1998"/>
    </row>
    <row r="21" spans="1:14" x14ac:dyDescent="0.2">
      <c r="A21" s="2005" t="s">
        <v>194</v>
      </c>
      <c r="B21" s="2006" t="s">
        <v>2043</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2019</v>
      </c>
      <c r="B24" s="2010"/>
      <c r="C24" s="2011"/>
      <c r="D24" s="2011"/>
      <c r="E24" s="2011"/>
      <c r="F24" s="2011"/>
      <c r="G24" s="2011"/>
      <c r="H24" s="2011"/>
      <c r="I24" s="2011"/>
      <c r="J24" s="2011"/>
      <c r="K24" s="2011"/>
      <c r="L24" s="838"/>
      <c r="M24" s="838"/>
      <c r="N24" s="1998"/>
    </row>
    <row r="25" spans="1:14" x14ac:dyDescent="0.2">
      <c r="A25" s="2009" t="s">
        <v>2020</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2021</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2022</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2023</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2024</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2025</v>
      </c>
      <c r="B45" s="1983"/>
      <c r="C45" s="1983"/>
      <c r="D45" s="1983"/>
      <c r="E45" s="1983"/>
      <c r="F45" s="1983"/>
      <c r="G45" s="1983"/>
      <c r="H45" s="1983"/>
      <c r="I45" s="1983"/>
      <c r="J45" s="1983"/>
      <c r="K45" s="1983"/>
      <c r="L45" s="1983"/>
      <c r="M45" s="1983"/>
      <c r="N45" s="1984"/>
    </row>
    <row r="46" spans="1:14" x14ac:dyDescent="0.2">
      <c r="A46" s="2435" t="s">
        <v>2026</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2042</v>
      </c>
      <c r="B49" s="2024"/>
      <c r="C49" s="2024"/>
      <c r="D49" s="2025"/>
      <c r="E49" s="2025"/>
      <c r="F49" s="2025"/>
      <c r="G49" s="2025"/>
      <c r="H49" s="2025"/>
      <c r="I49" s="2025"/>
      <c r="J49" s="2025"/>
      <c r="K49" s="2025"/>
      <c r="L49" s="2025"/>
      <c r="M49" s="2025"/>
      <c r="N49" s="2026"/>
    </row>
    <row r="50" spans="1:14" ht="15" x14ac:dyDescent="0.25">
      <c r="A50" s="2028" t="s">
        <v>2041</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Lowpoint-Washburn CUSD 21</v>
      </c>
      <c r="M52" s="2438"/>
      <c r="N52" s="2439"/>
    </row>
    <row r="53" spans="1:14" x14ac:dyDescent="0.2">
      <c r="A53" s="1982"/>
      <c r="B53" s="1983"/>
      <c r="C53" s="1983"/>
      <c r="D53" s="1983"/>
      <c r="E53" s="1983"/>
      <c r="F53" s="1983"/>
      <c r="G53" s="1983"/>
      <c r="H53" s="1983"/>
      <c r="I53" s="1983"/>
      <c r="J53" s="1983"/>
      <c r="K53" s="1924" t="s">
        <v>369</v>
      </c>
      <c r="L53" s="2440">
        <f>J7</f>
        <v>53102021026</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2027</v>
      </c>
      <c r="H55" s="2444"/>
      <c r="I55" s="2444"/>
      <c r="J55" s="2444"/>
      <c r="K55" s="2444"/>
      <c r="L55" s="2444"/>
      <c r="M55" s="2444"/>
      <c r="N55" s="2445"/>
    </row>
    <row r="56" spans="1:14" ht="63.75" x14ac:dyDescent="0.2">
      <c r="A56" s="2446" t="s">
        <v>2028</v>
      </c>
      <c r="B56" s="2447"/>
      <c r="C56" s="2448"/>
      <c r="D56" s="1964" t="s">
        <v>2029</v>
      </c>
      <c r="E56" s="1964" t="s">
        <v>2030</v>
      </c>
      <c r="F56" s="1971"/>
      <c r="G56" s="1964" t="s">
        <v>2031</v>
      </c>
      <c r="H56" s="1964" t="s">
        <v>2032</v>
      </c>
      <c r="I56" s="1964" t="s">
        <v>2033</v>
      </c>
      <c r="J56" s="1964" t="s">
        <v>2034</v>
      </c>
      <c r="K56" s="1964" t="s">
        <v>2035</v>
      </c>
      <c r="L56" s="1964" t="s">
        <v>2036</v>
      </c>
      <c r="M56" s="1964" t="s">
        <v>2037</v>
      </c>
      <c r="N56" s="1965" t="s">
        <v>2044</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2038</v>
      </c>
      <c r="B58" s="2427"/>
      <c r="C58" s="2427"/>
      <c r="D58" s="1967">
        <v>2362</v>
      </c>
      <c r="E58" s="1977">
        <f>'Expenditures 15-22'!K320</f>
        <v>24949</v>
      </c>
      <c r="F58" s="1972"/>
      <c r="G58" s="2031"/>
      <c r="H58" s="2032"/>
      <c r="I58" s="2032"/>
      <c r="J58" s="2032"/>
      <c r="K58" s="2032"/>
      <c r="L58" s="2032"/>
      <c r="M58" s="2032">
        <v>24949</v>
      </c>
      <c r="N58" s="1975">
        <f>IF((SUM(G58:M58))=E58,SUM(G58:M58),"Column N does not agree with Column E")</f>
        <v>24949</v>
      </c>
    </row>
    <row r="59" spans="1:14" ht="24.75" customHeight="1" x14ac:dyDescent="0.2">
      <c r="A59" s="2420" t="s">
        <v>297</v>
      </c>
      <c r="B59" s="2421"/>
      <c r="C59" s="2421"/>
      <c r="D59" s="1967">
        <v>2363</v>
      </c>
      <c r="E59" s="1977">
        <f>'Expenditures 15-22'!K321</f>
        <v>4892</v>
      </c>
      <c r="F59" s="1972"/>
      <c r="G59" s="2031"/>
      <c r="H59" s="2032"/>
      <c r="I59" s="2032"/>
      <c r="J59" s="2032"/>
      <c r="K59" s="2032"/>
      <c r="L59" s="2032"/>
      <c r="M59" s="2032">
        <v>4892</v>
      </c>
      <c r="N59" s="1975">
        <f>IF((SUM(G59:M59))=E59,SUM(G59:M59),"Column N does not agree with Column E")</f>
        <v>4892</v>
      </c>
    </row>
    <row r="60" spans="1:14" ht="24" customHeight="1" x14ac:dyDescent="0.2">
      <c r="A60" s="2420" t="s">
        <v>236</v>
      </c>
      <c r="B60" s="2421"/>
      <c r="C60" s="2421"/>
      <c r="D60" s="1967">
        <v>2364</v>
      </c>
      <c r="E60" s="1977">
        <f>'Expenditures 15-22'!K322</f>
        <v>63341</v>
      </c>
      <c r="F60" s="1972"/>
      <c r="G60" s="2031"/>
      <c r="H60" s="2032"/>
      <c r="I60" s="2032"/>
      <c r="J60" s="2032"/>
      <c r="K60" s="2032"/>
      <c r="L60" s="2032"/>
      <c r="M60" s="2032">
        <v>63341</v>
      </c>
      <c r="N60" s="1975">
        <f t="shared" ref="N60:N67" si="4">IF((SUM(G60:M60))=E60,SUM(G60:M60),"Column N does not agree with Column E")</f>
        <v>63341</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64335</v>
      </c>
      <c r="F63" s="1972"/>
      <c r="G63" s="2031">
        <v>18585</v>
      </c>
      <c r="H63" s="2032"/>
      <c r="I63" s="2032"/>
      <c r="J63" s="2032"/>
      <c r="K63" s="2032"/>
      <c r="L63" s="2032"/>
      <c r="M63" s="2032">
        <v>45750</v>
      </c>
      <c r="N63" s="1975">
        <f t="shared" si="4"/>
        <v>64335</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50237</v>
      </c>
      <c r="F65" s="1972"/>
      <c r="G65" s="2031"/>
      <c r="H65" s="2032"/>
      <c r="I65" s="2032"/>
      <c r="J65" s="2032"/>
      <c r="K65" s="2032"/>
      <c r="L65" s="2032"/>
      <c r="M65" s="2032">
        <v>50237</v>
      </c>
      <c r="N65" s="1975">
        <f t="shared" si="4"/>
        <v>50237</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2039</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207754</v>
      </c>
      <c r="F68" s="1973"/>
      <c r="G68" s="1974">
        <f t="shared" ref="G68:N68" si="5">SUM(G57:G67)</f>
        <v>18585</v>
      </c>
      <c r="H68" s="1974">
        <f t="shared" si="5"/>
        <v>0</v>
      </c>
      <c r="I68" s="1974">
        <f t="shared" si="5"/>
        <v>0</v>
      </c>
      <c r="J68" s="1974">
        <f t="shared" si="5"/>
        <v>0</v>
      </c>
      <c r="K68" s="1974">
        <f t="shared" si="5"/>
        <v>0</v>
      </c>
      <c r="L68" s="1974">
        <f t="shared" si="5"/>
        <v>0</v>
      </c>
      <c r="M68" s="1974">
        <f t="shared" si="5"/>
        <v>189169</v>
      </c>
      <c r="N68" s="1988">
        <f t="shared" si="5"/>
        <v>207754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2040</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2" sqref="B1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2070</v>
      </c>
    </row>
    <row r="6" spans="1:2" x14ac:dyDescent="0.2">
      <c r="A6" s="847">
        <v>2</v>
      </c>
      <c r="B6" s="307" t="s">
        <v>2071</v>
      </c>
    </row>
    <row r="7" spans="1:2" x14ac:dyDescent="0.2">
      <c r="A7" s="847">
        <v>3</v>
      </c>
      <c r="B7" s="307" t="s">
        <v>2072</v>
      </c>
    </row>
    <row r="8" spans="1:2" x14ac:dyDescent="0.2">
      <c r="A8" s="847">
        <v>4</v>
      </c>
      <c r="B8" s="307" t="s">
        <v>2073</v>
      </c>
    </row>
    <row r="9" spans="1:2" x14ac:dyDescent="0.2">
      <c r="A9" s="848">
        <v>5</v>
      </c>
      <c r="B9" s="307" t="s">
        <v>2074</v>
      </c>
    </row>
    <row r="10" spans="1:2" x14ac:dyDescent="0.2">
      <c r="A10" s="848">
        <v>6</v>
      </c>
      <c r="B10" s="307" t="s">
        <v>2075</v>
      </c>
    </row>
    <row r="11" spans="1:2" x14ac:dyDescent="0.2">
      <c r="A11" s="848">
        <v>7</v>
      </c>
      <c r="B11" s="307" t="s">
        <v>2076</v>
      </c>
    </row>
    <row r="12" spans="1:2" x14ac:dyDescent="0.2">
      <c r="A12" s="848">
        <v>8</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Lowpoint-Washburn CUSD 21</v>
      </c>
    </row>
    <row r="65" spans="2:2" x14ac:dyDescent="0.2">
      <c r="B65" s="849">
        <f>COVER!A13</f>
        <v>53102021026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ackager Shell Object" dvAspect="DVASPECT_ICON" shapeId="43010" r:id="rId4">
          <objectPr defaultSize="0" r:id="rId5">
            <anchor moveWithCells="1">
              <from>
                <xdr:col>1</xdr:col>
                <xdr:colOff>0</xdr:colOff>
                <xdr:row>4</xdr:row>
                <xdr:rowOff>0</xdr:rowOff>
              </from>
              <to>
                <xdr:col>1</xdr:col>
                <xdr:colOff>2209800</xdr:colOff>
                <xdr:row>7</xdr:row>
                <xdr:rowOff>28575</xdr:rowOff>
              </to>
            </anchor>
          </objectPr>
        </oleObject>
      </mc:Choice>
      <mc:Fallback>
        <oleObject progId="Packager Shell Object" dvAspect="DVASPECT_ICON" shapeId="43010"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1969</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3594249</v>
      </c>
      <c r="C8" s="1813">
        <f>'Acct Summary 7-8'!D8</f>
        <v>681965</v>
      </c>
      <c r="D8" s="1813">
        <f>'Acct Summary 7-8'!F8</f>
        <v>310079</v>
      </c>
      <c r="E8" s="1813">
        <f>'Acct Summary 7-8'!I8</f>
        <v>27795</v>
      </c>
      <c r="F8" s="1813">
        <f>SUM(B8:E8)</f>
        <v>4614088</v>
      </c>
    </row>
    <row r="9" spans="1:8" s="858" customFormat="1" ht="14.25" customHeight="1" thickBot="1" x14ac:dyDescent="0.25">
      <c r="A9" s="857" t="s">
        <v>1353</v>
      </c>
      <c r="B9" s="1814">
        <f>'Acct Summary 7-8'!C17</f>
        <v>3470502</v>
      </c>
      <c r="C9" s="1814">
        <f>'Acct Summary 7-8'!D17</f>
        <v>579951</v>
      </c>
      <c r="D9" s="1814">
        <f>'Acct Summary 7-8'!F17</f>
        <v>359435</v>
      </c>
      <c r="E9" s="1813"/>
      <c r="F9" s="1813">
        <f>SUM(B9:E9)</f>
        <v>4409888</v>
      </c>
    </row>
    <row r="10" spans="1:8" s="858" customFormat="1" ht="14.25" thickTop="1" thickBot="1" x14ac:dyDescent="0.25">
      <c r="A10" s="859" t="s">
        <v>1354</v>
      </c>
      <c r="B10" s="1815">
        <f>(B8-B9)</f>
        <v>123747</v>
      </c>
      <c r="C10" s="1815">
        <f>(C8-C9)</f>
        <v>102014</v>
      </c>
      <c r="D10" s="1815">
        <f>(D8-D9)</f>
        <v>-49356</v>
      </c>
      <c r="E10" s="1814">
        <f>(E8-E9)</f>
        <v>27795</v>
      </c>
      <c r="F10" s="1816">
        <f>SUM(F8-F9)</f>
        <v>204200</v>
      </c>
    </row>
    <row r="11" spans="1:8" s="858" customFormat="1" ht="14.25" thickTop="1" thickBot="1" x14ac:dyDescent="0.25">
      <c r="A11" s="860" t="s">
        <v>1900</v>
      </c>
      <c r="B11" s="1817">
        <f>'Acct Summary 7-8'!C81</f>
        <v>2355977</v>
      </c>
      <c r="C11" s="1817">
        <f>'Acct Summary 7-8'!D81</f>
        <v>301072</v>
      </c>
      <c r="D11" s="1817">
        <f>'Acct Summary 7-8'!F81</f>
        <v>317810</v>
      </c>
      <c r="E11" s="1817">
        <f>'Acct Summary 7-8'!I81</f>
        <v>85540</v>
      </c>
      <c r="F11" s="1818">
        <f>SUM(B11:E11)</f>
        <v>3060399</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74" sqref="D7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53102021026</v>
      </c>
      <c r="E2" s="1542">
        <v>2020</v>
      </c>
      <c r="F2" s="1542">
        <v>1</v>
      </c>
      <c r="G2" s="1899">
        <v>101000300</v>
      </c>
    </row>
    <row r="3" spans="1:7" ht="15" x14ac:dyDescent="0.25">
      <c r="A3" t="s">
        <v>950</v>
      </c>
      <c r="B3" s="135" t="str">
        <f>COVER!A15</f>
        <v>Woodford and Marshall</v>
      </c>
      <c r="E3" s="1830" t="s">
        <v>1968</v>
      </c>
      <c r="F3" s="1830" t="s">
        <v>1967</v>
      </c>
      <c r="G3" s="1899">
        <v>101000400</v>
      </c>
    </row>
    <row r="4" spans="1:7" ht="15" x14ac:dyDescent="0.25">
      <c r="A4" t="s">
        <v>1000</v>
      </c>
      <c r="B4" s="135" t="str">
        <f>COVER!A17</f>
        <v xml:space="preserve">  Lowpoint-Washburn CUSD 21</v>
      </c>
      <c r="E4" s="1828">
        <v>44119</v>
      </c>
      <c r="F4" s="1829">
        <v>44151</v>
      </c>
      <c r="G4" s="1899">
        <v>101000600</v>
      </c>
    </row>
    <row r="5" spans="1:7" ht="15" x14ac:dyDescent="0.25">
      <c r="A5" t="s">
        <v>699</v>
      </c>
      <c r="B5" s="135" t="str">
        <f>COVER!A38</f>
        <v>Duane Schupp</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066-005055</v>
      </c>
      <c r="G15" s="1899">
        <v>402100400</v>
      </c>
    </row>
    <row r="16" spans="1:7" ht="15" x14ac:dyDescent="0.25">
      <c r="A16" t="s">
        <v>419</v>
      </c>
      <c r="B16" s="135" t="str">
        <f>COVER!T13</f>
        <v>Ginoli &amp; Company Ltd</v>
      </c>
      <c r="G16" s="1899">
        <v>402100600</v>
      </c>
    </row>
    <row r="17" spans="1:7" ht="15" x14ac:dyDescent="0.25">
      <c r="A17" t="s">
        <v>878</v>
      </c>
      <c r="B17" s="135" t="str">
        <f>COVER!T15</f>
        <v>Mark D Reinken</v>
      </c>
      <c r="G17" s="1899">
        <v>402100800</v>
      </c>
    </row>
    <row r="18" spans="1:7" ht="15" x14ac:dyDescent="0.25">
      <c r="A18" t="s">
        <v>1140</v>
      </c>
      <c r="B18" s="135" t="str">
        <f>COVER!T17</f>
        <v>7625 N University Street, Suite A</v>
      </c>
      <c r="G18" s="1899">
        <v>102200300</v>
      </c>
    </row>
    <row r="19" spans="1:7" ht="15" x14ac:dyDescent="0.25">
      <c r="A19" t="s">
        <v>880</v>
      </c>
      <c r="B19" s="135" t="str">
        <f>COVER!T25</f>
        <v>mreinken@ginolicpa.com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t="str">
        <f>COVER!Z19</f>
        <v>61614-8303</v>
      </c>
      <c r="G22" s="1899">
        <v>102300300</v>
      </c>
    </row>
    <row r="23" spans="1:7" ht="15" x14ac:dyDescent="0.25">
      <c r="A23" t="s">
        <v>1142</v>
      </c>
      <c r="B23" s="135" t="str">
        <f>COVER!T21</f>
        <v>(309) 671-2350</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2346377</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2355977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2355977</v>
      </c>
      <c r="D92" s="2" t="str">
        <f t="shared" si="0"/>
        <v>Error?</v>
      </c>
      <c r="G92" s="1899">
        <v>102640600</v>
      </c>
    </row>
    <row r="93" spans="1:7" ht="15" x14ac:dyDescent="0.25">
      <c r="A93" s="5">
        <v>32</v>
      </c>
      <c r="B93" s="1832">
        <f>'Assets-Liab 5-6'!C41</f>
        <v>2355977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269200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301072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301072</v>
      </c>
      <c r="D123" s="2" t="str">
        <f t="shared" si="0"/>
        <v>Error?</v>
      </c>
      <c r="G123" s="1899">
        <v>203000400</v>
      </c>
    </row>
    <row r="124" spans="1:7" ht="15" x14ac:dyDescent="0.25">
      <c r="A124" s="5">
        <v>63</v>
      </c>
      <c r="B124" s="1832">
        <f>'Assets-Liab 5-6'!D41</f>
        <v>301072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5976</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5976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5976</v>
      </c>
      <c r="D140" s="2" t="str">
        <f t="shared" si="1"/>
        <v>Error?</v>
      </c>
    </row>
    <row r="141" spans="1:7" x14ac:dyDescent="0.2">
      <c r="A141" s="5">
        <v>80</v>
      </c>
      <c r="B141" s="1832">
        <f>'Assets-Liab 5-6'!E41</f>
        <v>5976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317575</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317810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317810</v>
      </c>
      <c r="D170" s="2" t="str">
        <f t="shared" si="1"/>
        <v>Error?</v>
      </c>
    </row>
    <row r="171" spans="1:4" x14ac:dyDescent="0.2">
      <c r="A171" s="5">
        <v>110</v>
      </c>
      <c r="B171" s="1832">
        <f>'Assets-Liab 5-6'!F41</f>
        <v>317810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148002</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148678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99465</v>
      </c>
      <c r="D189" s="2" t="str">
        <f t="shared" si="1"/>
        <v>Error?</v>
      </c>
    </row>
    <row r="190" spans="1:4" x14ac:dyDescent="0.2">
      <c r="A190" s="5">
        <v>129</v>
      </c>
      <c r="B190" s="1832">
        <f>'Assets-Liab 5-6'!G41</f>
        <v>148678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64645</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64645</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64645</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18400</v>
      </c>
      <c r="D273" s="2" t="str">
        <f t="shared" si="3"/>
        <v>Error?</v>
      </c>
    </row>
    <row r="274" spans="1:4" x14ac:dyDescent="0.2">
      <c r="A274" s="5">
        <v>213</v>
      </c>
      <c r="B274" s="1832">
        <f>'Assets-Liab 5-6'!M17</f>
        <v>3944736</v>
      </c>
      <c r="D274" s="2" t="str">
        <f t="shared" si="3"/>
        <v>Error?</v>
      </c>
    </row>
    <row r="275" spans="1:4" x14ac:dyDescent="0.2">
      <c r="A275" s="5">
        <v>214</v>
      </c>
      <c r="B275" s="1832">
        <f>'Assets-Liab 5-6'!M18</f>
        <v>0</v>
      </c>
      <c r="D275" s="2" t="str">
        <f t="shared" si="3"/>
        <v>Error?</v>
      </c>
    </row>
    <row r="276" spans="1:4" x14ac:dyDescent="0.2">
      <c r="A276" s="5">
        <v>215</v>
      </c>
      <c r="B276" s="1832">
        <f>'Assets-Liab 5-6'!M19</f>
        <v>490689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4453825</v>
      </c>
      <c r="C279" s="2" t="s">
        <v>569</v>
      </c>
      <c r="D279" s="2" t="str">
        <f t="shared" si="3"/>
        <v>Error?</v>
      </c>
    </row>
    <row r="280" spans="1:4" x14ac:dyDescent="0.2">
      <c r="A280" s="5">
        <v>219</v>
      </c>
      <c r="B280" s="1832">
        <f>'Assets-Liab 5-6'!M40</f>
        <v>4453825</v>
      </c>
      <c r="D280" s="2" t="str">
        <f t="shared" si="3"/>
        <v>Error?</v>
      </c>
    </row>
    <row r="281" spans="1:4" x14ac:dyDescent="0.2">
      <c r="A281" s="5">
        <v>220</v>
      </c>
      <c r="B281" s="1832">
        <f>'Assets-Liab 5-6'!M41</f>
        <v>4453825</v>
      </c>
      <c r="C281" s="2" t="s">
        <v>569</v>
      </c>
      <c r="D281" s="2" t="str">
        <f t="shared" si="3"/>
        <v>Error?</v>
      </c>
    </row>
    <row r="282" spans="1:4" x14ac:dyDescent="0.2">
      <c r="A282" s="5">
        <v>221</v>
      </c>
      <c r="B282" s="1832">
        <f>'Assets-Liab 5-6'!N21</f>
        <v>5976</v>
      </c>
      <c r="D282" s="2" t="str">
        <f t="shared" si="3"/>
        <v>Error?</v>
      </c>
    </row>
    <row r="283" spans="1:4" x14ac:dyDescent="0.2">
      <c r="A283" s="5">
        <v>222</v>
      </c>
      <c r="B283" s="1832">
        <f>'Assets-Liab 5-6'!N22</f>
        <v>1159024</v>
      </c>
      <c r="D283" s="2" t="str">
        <f t="shared" si="3"/>
        <v>Error?</v>
      </c>
    </row>
    <row r="284" spans="1:4" x14ac:dyDescent="0.2">
      <c r="A284" s="5">
        <v>223</v>
      </c>
      <c r="B284" s="1832">
        <f>'Assets-Liab 5-6'!N23</f>
        <v>1165000</v>
      </c>
      <c r="C284" s="2" t="s">
        <v>569</v>
      </c>
      <c r="D284" s="2" t="str">
        <f t="shared" si="3"/>
        <v>Error?</v>
      </c>
    </row>
    <row r="285" spans="1:4" x14ac:dyDescent="0.2">
      <c r="A285" s="5">
        <v>224</v>
      </c>
      <c r="B285" s="1832">
        <f>'Assets-Liab 5-6'!N36</f>
        <v>1165000</v>
      </c>
      <c r="D285" s="2" t="str">
        <f t="shared" si="3"/>
        <v>Error?</v>
      </c>
    </row>
    <row r="286" spans="1:4" x14ac:dyDescent="0.2">
      <c r="A286" s="10">
        <v>225</v>
      </c>
      <c r="B286" s="1832"/>
      <c r="D286" s="2" t="str">
        <f t="shared" si="3"/>
        <v>OK</v>
      </c>
    </row>
    <row r="287" spans="1:4" x14ac:dyDescent="0.2">
      <c r="A287" s="5">
        <v>226</v>
      </c>
      <c r="B287" s="1832">
        <f>'Assets-Liab 5-6'!N37</f>
        <v>1165000</v>
      </c>
      <c r="C287" s="2" t="s">
        <v>569</v>
      </c>
      <c r="D287" s="2" t="str">
        <f t="shared" si="3"/>
        <v>Error?</v>
      </c>
    </row>
    <row r="288" spans="1:4" x14ac:dyDescent="0.2">
      <c r="A288" s="5">
        <v>227</v>
      </c>
      <c r="B288" s="1832">
        <f>'Assets-Liab 5-6'!N41</f>
        <v>1165000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1014972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59278</v>
      </c>
      <c r="D717" s="2" t="str">
        <f t="shared" si="10"/>
        <v>Error?</v>
      </c>
    </row>
    <row r="718" spans="1:4" x14ac:dyDescent="0.2">
      <c r="A718" s="5">
        <v>657</v>
      </c>
      <c r="B718" s="1832">
        <f>'Expenditures 15-22'!C14</f>
        <v>79675</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1483770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43680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43680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2916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2916</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70952</v>
      </c>
      <c r="D733" s="2" t="str">
        <f t="shared" si="10"/>
        <v>Error?</v>
      </c>
    </row>
    <row r="734" spans="1:4" x14ac:dyDescent="0.2">
      <c r="A734" s="5">
        <v>673</v>
      </c>
      <c r="B734" s="1832">
        <f>'Expenditures 15-22'!C53</f>
        <v>70952</v>
      </c>
      <c r="C734" s="2" t="s">
        <v>569</v>
      </c>
      <c r="D734" s="2" t="str">
        <f t="shared" si="10"/>
        <v>Error?</v>
      </c>
    </row>
    <row r="735" spans="1:4" x14ac:dyDescent="0.2">
      <c r="A735" s="5">
        <v>674</v>
      </c>
      <c r="B735" s="1832">
        <f>'Expenditures 15-22'!C55</f>
        <v>172200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172200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70949</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58489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129438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419186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1902956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239844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15422</v>
      </c>
      <c r="D775" s="2" t="str">
        <f t="shared" si="11"/>
        <v>Error?</v>
      </c>
    </row>
    <row r="776" spans="1:4" x14ac:dyDescent="0.2">
      <c r="A776" s="5">
        <v>715</v>
      </c>
      <c r="B776" s="1832">
        <f>'Expenditures 15-22'!D14</f>
        <v>5869</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344070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21613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21613</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31404</v>
      </c>
      <c r="D791" s="2" t="str">
        <f t="shared" si="11"/>
        <v>Error?</v>
      </c>
    </row>
    <row r="792" spans="1:4" x14ac:dyDescent="0.2">
      <c r="A792" s="5">
        <v>731</v>
      </c>
      <c r="B792" s="1832">
        <f>'Expenditures 15-22'!D53</f>
        <v>31404</v>
      </c>
      <c r="C792" s="2" t="s">
        <v>569</v>
      </c>
      <c r="D792" s="2" t="str">
        <f t="shared" si="11"/>
        <v>Error?</v>
      </c>
    </row>
    <row r="793" spans="1:4" x14ac:dyDescent="0.2">
      <c r="A793" s="5">
        <v>732</v>
      </c>
      <c r="B793" s="1832">
        <f>'Expenditures 15-22'!D55</f>
        <v>62672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62672</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17871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21154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39025</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154714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498784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9184</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13585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52730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2624</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2624</v>
      </c>
      <c r="C843" s="2" t="s">
        <v>569</v>
      </c>
      <c r="D843" s="2" t="str">
        <f t="shared" si="12"/>
        <v>Error?</v>
      </c>
    </row>
    <row r="844" spans="1:4" x14ac:dyDescent="0.2">
      <c r="A844" s="5">
        <v>783</v>
      </c>
      <c r="B844" s="1832">
        <f>'Expenditures 15-22'!E44</f>
        <v>2430</v>
      </c>
      <c r="D844" s="2" t="str">
        <f t="shared" si="12"/>
        <v>Error?</v>
      </c>
    </row>
    <row r="845" spans="1:4" x14ac:dyDescent="0.2">
      <c r="A845" s="5">
        <v>784</v>
      </c>
      <c r="B845" s="1832">
        <f>'Expenditures 15-22'!E45</f>
        <v>12365</v>
      </c>
      <c r="D845" s="2" t="str">
        <f t="shared" si="12"/>
        <v>Error?</v>
      </c>
    </row>
    <row r="846" spans="1:4" x14ac:dyDescent="0.2">
      <c r="A846" s="5">
        <v>785</v>
      </c>
      <c r="B846" s="1832">
        <f>'Expenditures 15-22'!E46</f>
        <v>1560</v>
      </c>
      <c r="D846" s="2" t="str">
        <f t="shared" si="12"/>
        <v>Error?</v>
      </c>
    </row>
    <row r="847" spans="1:4" x14ac:dyDescent="0.2">
      <c r="A847" s="5">
        <v>786</v>
      </c>
      <c r="B847" s="1832">
        <f>'Expenditures 15-22'!E47</f>
        <v>16355</v>
      </c>
      <c r="C847" s="2" t="s">
        <v>569</v>
      </c>
      <c r="D847" s="2" t="str">
        <f t="shared" si="12"/>
        <v>Error?</v>
      </c>
    </row>
    <row r="848" spans="1:4" x14ac:dyDescent="0.2">
      <c r="A848" s="5">
        <v>787</v>
      </c>
      <c r="B848" s="1832">
        <f>'Expenditures 15-22'!E49</f>
        <v>8156</v>
      </c>
      <c r="D848" s="2" t="str">
        <f t="shared" si="12"/>
        <v>Error?</v>
      </c>
    </row>
    <row r="849" spans="1:4" x14ac:dyDescent="0.2">
      <c r="A849" s="5">
        <v>788</v>
      </c>
      <c r="B849" s="1832">
        <f>'Expenditures 15-22'!E50</f>
        <v>2203</v>
      </c>
      <c r="D849" s="2" t="str">
        <f t="shared" si="12"/>
        <v>Error?</v>
      </c>
    </row>
    <row r="850" spans="1:4" x14ac:dyDescent="0.2">
      <c r="A850" s="5">
        <v>789</v>
      </c>
      <c r="B850" s="1832">
        <f>'Expenditures 15-22'!E53</f>
        <v>10359</v>
      </c>
      <c r="C850" s="2" t="s">
        <v>569</v>
      </c>
      <c r="D850" s="2" t="str">
        <f t="shared" si="12"/>
        <v>Error?</v>
      </c>
    </row>
    <row r="851" spans="1:4" x14ac:dyDescent="0.2">
      <c r="A851" s="5">
        <v>790</v>
      </c>
      <c r="B851" s="1832">
        <f>'Expenditures 15-22'!E55</f>
        <v>1540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1540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8274</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1622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9896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40774</v>
      </c>
      <c r="C871" s="2" t="s">
        <v>569</v>
      </c>
      <c r="D871" s="2" t="str">
        <f t="shared" si="12"/>
        <v>Error?</v>
      </c>
    </row>
    <row r="872" spans="1:4" x14ac:dyDescent="0.2">
      <c r="A872" s="5">
        <v>811</v>
      </c>
      <c r="B872" s="1832">
        <f>'Expenditures 15-22'!E75</f>
        <v>20576</v>
      </c>
      <c r="D872" s="2" t="str">
        <f t="shared" si="12"/>
        <v>Error?</v>
      </c>
    </row>
    <row r="873" spans="1:4" x14ac:dyDescent="0.2">
      <c r="A873" s="5">
        <v>812</v>
      </c>
      <c r="B873" s="1832">
        <f>'Expenditures 15-22'!E114</f>
        <v>329929</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22955</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93</v>
      </c>
      <c r="D891" s="2" t="str">
        <f t="shared" si="12"/>
        <v>Error?</v>
      </c>
    </row>
    <row r="892" spans="1:4" x14ac:dyDescent="0.2">
      <c r="A892" s="5">
        <v>831</v>
      </c>
      <c r="B892" s="1832">
        <f>'Expenditures 15-22'!F14</f>
        <v>35082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73587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69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69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1153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1153</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93</v>
      </c>
      <c r="D907" s="2" t="str">
        <f t="shared" si="13"/>
        <v>Error?</v>
      </c>
    </row>
    <row r="908" spans="1:4" x14ac:dyDescent="0.2">
      <c r="A908" s="5">
        <v>847</v>
      </c>
      <c r="B908" s="1832">
        <f>'Expenditures 15-22'!F53</f>
        <v>93</v>
      </c>
      <c r="C908" s="2" t="s">
        <v>569</v>
      </c>
      <c r="D908" s="2" t="str">
        <f t="shared" si="13"/>
        <v>Error?</v>
      </c>
    </row>
    <row r="909" spans="1:4" x14ac:dyDescent="0.2">
      <c r="A909" s="5">
        <v>848</v>
      </c>
      <c r="B909" s="1832">
        <f>'Expenditures 15-22'!F55</f>
        <v>223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223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1091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91859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92950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94488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168075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3648</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128825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128825</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18731</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12042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30773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405</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405</v>
      </c>
      <c r="C1021" s="2" t="s">
        <v>569</v>
      </c>
      <c r="D1021" s="2" t="str">
        <f t="shared" si="14"/>
        <v>Error?</v>
      </c>
    </row>
    <row r="1022" spans="1:4" x14ac:dyDescent="0.2">
      <c r="A1022" s="5">
        <v>961</v>
      </c>
      <c r="B1022" s="1832">
        <f>'Expenditures 15-22'!H49</f>
        <v>2623</v>
      </c>
      <c r="D1022" s="2" t="str">
        <f t="shared" si="14"/>
        <v>Error?</v>
      </c>
    </row>
    <row r="1023" spans="1:4" x14ac:dyDescent="0.2">
      <c r="A1023" s="5">
        <v>962</v>
      </c>
      <c r="B1023" s="1832">
        <f>'Expenditures 15-22'!H50</f>
        <v>1222</v>
      </c>
      <c r="D1023" s="2" t="str">
        <f t="shared" ref="D1023:D1086" si="15">IF(ISBLANK(B1023),"OK",IF(A1023-B1023=0,"OK","Error?"))</f>
        <v>Error?</v>
      </c>
    </row>
    <row r="1024" spans="1:4" x14ac:dyDescent="0.2">
      <c r="A1024" s="5">
        <v>963</v>
      </c>
      <c r="B1024" s="1832">
        <f>'Expenditures 15-22'!H53</f>
        <v>3845</v>
      </c>
      <c r="C1024" s="2" t="s">
        <v>569</v>
      </c>
      <c r="D1024" s="2" t="str">
        <f t="shared" si="15"/>
        <v>Error?</v>
      </c>
    </row>
    <row r="1025" spans="1:4" x14ac:dyDescent="0.2">
      <c r="A1025" s="5">
        <v>964</v>
      </c>
      <c r="B1025" s="1832">
        <f>'Expenditures 15-22'!H55</f>
        <v>1172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1172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3240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314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3554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22780</v>
      </c>
      <c r="D1041" s="2" t="str">
        <f t="shared" si="15"/>
        <v>Error?</v>
      </c>
    </row>
    <row r="1042" spans="1:5" x14ac:dyDescent="0.2">
      <c r="A1042" s="10">
        <v>981</v>
      </c>
      <c r="B1042" s="1832"/>
      <c r="D1042" s="2" t="str">
        <f t="shared" si="15"/>
        <v>OK</v>
      </c>
    </row>
    <row r="1043" spans="1:5" x14ac:dyDescent="0.2">
      <c r="A1043" s="5">
        <v>982</v>
      </c>
      <c r="B1043" s="1832">
        <f>'Expenditures 15-22'!H72</f>
        <v>22780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31756</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379404</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441933</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1309334</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74793</v>
      </c>
      <c r="C1105" s="2" t="s">
        <v>569</v>
      </c>
      <c r="D1105" s="2" t="str">
        <f t="shared" si="16"/>
        <v>Error?</v>
      </c>
    </row>
    <row r="1106" spans="1:4" x14ac:dyDescent="0.2">
      <c r="A1106" s="5">
        <v>1045</v>
      </c>
      <c r="B1106" s="1832">
        <f>'Expenditures 15-22'!K14</f>
        <v>146253</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2113755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65293</v>
      </c>
      <c r="C1110" s="2" t="s">
        <v>569</v>
      </c>
      <c r="D1110" s="2" t="str">
        <f t="shared" si="16"/>
        <v>Error?</v>
      </c>
    </row>
    <row r="1111" spans="1:4" x14ac:dyDescent="0.2">
      <c r="A1111" s="5">
        <v>1050</v>
      </c>
      <c r="B1111" s="1832">
        <f>'Expenditures 15-22'!K38</f>
        <v>2693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67986</v>
      </c>
      <c r="C1115" s="2" t="s">
        <v>569</v>
      </c>
      <c r="D1115" s="2" t="str">
        <f t="shared" si="16"/>
        <v>Error?</v>
      </c>
    </row>
    <row r="1116" spans="1:4" x14ac:dyDescent="0.2">
      <c r="A1116" s="5">
        <v>1055</v>
      </c>
      <c r="B1116" s="1832">
        <f>'Expenditures 15-22'!K44</f>
        <v>2430</v>
      </c>
      <c r="C1116" s="2" t="s">
        <v>569</v>
      </c>
      <c r="D1116" s="2" t="str">
        <f t="shared" si="16"/>
        <v>Error?</v>
      </c>
    </row>
    <row r="1117" spans="1:4" x14ac:dyDescent="0.2">
      <c r="A1117" s="5">
        <v>1056</v>
      </c>
      <c r="B1117" s="1832">
        <f>'Expenditures 15-22'!K45</f>
        <v>16839</v>
      </c>
      <c r="C1117" s="2" t="s">
        <v>569</v>
      </c>
      <c r="D1117" s="2" t="str">
        <f t="shared" si="16"/>
        <v>Error?</v>
      </c>
    </row>
    <row r="1118" spans="1:4" x14ac:dyDescent="0.2">
      <c r="A1118" s="5">
        <v>1057</v>
      </c>
      <c r="B1118" s="1832">
        <f>'Expenditures 15-22'!K46</f>
        <v>1560</v>
      </c>
      <c r="C1118" s="2" t="s">
        <v>569</v>
      </c>
      <c r="D1118" s="2" t="str">
        <f t="shared" si="16"/>
        <v>Error?</v>
      </c>
    </row>
    <row r="1119" spans="1:4" x14ac:dyDescent="0.2">
      <c r="A1119" s="5">
        <v>1058</v>
      </c>
      <c r="B1119" s="1832">
        <f>'Expenditures 15-22'!K47</f>
        <v>20829</v>
      </c>
      <c r="C1119" s="2" t="s">
        <v>569</v>
      </c>
      <c r="D1119" s="2" t="str">
        <f t="shared" si="16"/>
        <v>Error?</v>
      </c>
    </row>
    <row r="1120" spans="1:4" x14ac:dyDescent="0.2">
      <c r="A1120" s="5">
        <v>1059</v>
      </c>
      <c r="B1120" s="1832">
        <f>'Expenditures 15-22'!K49</f>
        <v>10779</v>
      </c>
      <c r="C1120" s="2" t="s">
        <v>569</v>
      </c>
      <c r="D1120" s="2" t="str">
        <f t="shared" si="16"/>
        <v>Error?</v>
      </c>
    </row>
    <row r="1121" spans="1:4" x14ac:dyDescent="0.2">
      <c r="A1121" s="5">
        <v>1060</v>
      </c>
      <c r="B1121" s="1832">
        <f>'Expenditures 15-22'!K50</f>
        <v>105874</v>
      </c>
      <c r="C1121" s="2" t="s">
        <v>569</v>
      </c>
      <c r="D1121" s="2" t="str">
        <f t="shared" si="16"/>
        <v>Error?</v>
      </c>
    </row>
    <row r="1122" spans="1:4" x14ac:dyDescent="0.2">
      <c r="A1122" s="5">
        <v>1061</v>
      </c>
      <c r="B1122" s="1832">
        <f>'Expenditures 15-22'!K53</f>
        <v>116653</v>
      </c>
      <c r="C1122" s="2" t="s">
        <v>569</v>
      </c>
      <c r="D1122" s="2" t="str">
        <f t="shared" si="16"/>
        <v>Error?</v>
      </c>
    </row>
    <row r="1123" spans="1:4" x14ac:dyDescent="0.2">
      <c r="A1123" s="5">
        <v>1062</v>
      </c>
      <c r="B1123" s="1832">
        <f>'Expenditures 15-22'!K55</f>
        <v>237807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237807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101425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173438</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274863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22780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22780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740918</v>
      </c>
      <c r="C1143" s="2" t="s">
        <v>569</v>
      </c>
      <c r="D1143" s="2" t="str">
        <f t="shared" si="16"/>
        <v>Error?</v>
      </c>
    </row>
    <row r="1144" spans="1:4" x14ac:dyDescent="0.2">
      <c r="A1144" s="5">
        <v>1083</v>
      </c>
      <c r="B1144" s="1832">
        <f>'Expenditures 15-22'!K75</f>
        <v>20576</v>
      </c>
      <c r="C1144" s="2" t="s">
        <v>569</v>
      </c>
      <c r="D1144" s="2" t="str">
        <f t="shared" si="16"/>
        <v>Error?</v>
      </c>
    </row>
    <row r="1145" spans="1:4" x14ac:dyDescent="0.2">
      <c r="A1145" s="5">
        <v>1084</v>
      </c>
      <c r="B1145" s="1832">
        <f>'Expenditures 15-22'!K102</f>
        <v>595253</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3470502</v>
      </c>
      <c r="C1152" s="2" t="s">
        <v>569</v>
      </c>
      <c r="D1152" s="2" t="str">
        <f t="shared" si="17"/>
        <v>Error?</v>
      </c>
    </row>
    <row r="1153" spans="1:4" x14ac:dyDescent="0.2">
      <c r="A1153" s="5">
        <v>1092</v>
      </c>
      <c r="B1153" s="1832">
        <f>'Expenditures 15-22'!K115</f>
        <v>123747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154456</v>
      </c>
      <c r="D1221" s="2" t="str">
        <f t="shared" si="18"/>
        <v>Error?</v>
      </c>
    </row>
    <row r="1222" spans="1:4" x14ac:dyDescent="0.2">
      <c r="A1222" s="10">
        <v>1161</v>
      </c>
      <c r="B1222" s="1832"/>
      <c r="D1222" s="2" t="str">
        <f t="shared" si="18"/>
        <v>OK</v>
      </c>
    </row>
    <row r="1223" spans="1:4" x14ac:dyDescent="0.2">
      <c r="A1223" s="5">
        <v>1162</v>
      </c>
      <c r="B1223" s="1832">
        <f>'Expenditures 15-22'!C127</f>
        <v>154456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154456</v>
      </c>
      <c r="C1225" s="2" t="s">
        <v>569</v>
      </c>
      <c r="D1225" s="2" t="str">
        <f t="shared" si="18"/>
        <v>Error?</v>
      </c>
    </row>
    <row r="1226" spans="1:4" x14ac:dyDescent="0.2">
      <c r="A1226" s="5">
        <v>1165</v>
      </c>
      <c r="B1226" s="1832">
        <f>'Expenditures 15-22'!C151</f>
        <v>154456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25469</v>
      </c>
      <c r="D1229" s="2" t="str">
        <f t="shared" si="18"/>
        <v>Error?</v>
      </c>
    </row>
    <row r="1230" spans="1:4" x14ac:dyDescent="0.2">
      <c r="A1230" s="10">
        <v>1169</v>
      </c>
      <c r="B1230" s="1832"/>
      <c r="D1230" s="2" t="str">
        <f t="shared" si="18"/>
        <v>OK</v>
      </c>
    </row>
    <row r="1231" spans="1:4" x14ac:dyDescent="0.2">
      <c r="A1231" s="5">
        <v>1170</v>
      </c>
      <c r="B1231" s="1832">
        <f>'Expenditures 15-22'!D127</f>
        <v>25469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25469</v>
      </c>
      <c r="C1233" s="2" t="s">
        <v>569</v>
      </c>
      <c r="D1233" s="2" t="str">
        <f t="shared" si="18"/>
        <v>Error?</v>
      </c>
    </row>
    <row r="1234" spans="1:4" x14ac:dyDescent="0.2">
      <c r="A1234" s="5">
        <v>1173</v>
      </c>
      <c r="B1234" s="1832">
        <f>'Expenditures 15-22'!D151</f>
        <v>25469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261669</v>
      </c>
      <c r="D1237" s="2" t="str">
        <f t="shared" si="18"/>
        <v>Error?</v>
      </c>
    </row>
    <row r="1238" spans="1:4" x14ac:dyDescent="0.2">
      <c r="A1238" s="10">
        <v>1177</v>
      </c>
      <c r="B1238" s="1832"/>
      <c r="D1238" s="2" t="str">
        <f t="shared" si="18"/>
        <v>OK</v>
      </c>
    </row>
    <row r="1239" spans="1:4" x14ac:dyDescent="0.2">
      <c r="A1239" s="5">
        <v>1178</v>
      </c>
      <c r="B1239" s="1832">
        <f>'Expenditures 15-22'!E127</f>
        <v>261669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261669</v>
      </c>
      <c r="C1241" s="2" t="s">
        <v>569</v>
      </c>
      <c r="D1241" s="2" t="str">
        <f t="shared" si="18"/>
        <v>Error?</v>
      </c>
    </row>
    <row r="1242" spans="1:4" x14ac:dyDescent="0.2">
      <c r="A1242" s="5">
        <v>1181</v>
      </c>
      <c r="B1242" s="1832">
        <f>'Expenditures 15-22'!E151</f>
        <v>266923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95490</v>
      </c>
      <c r="D1245" s="2" t="str">
        <f t="shared" si="18"/>
        <v>Error?</v>
      </c>
    </row>
    <row r="1246" spans="1:4" x14ac:dyDescent="0.2">
      <c r="A1246" s="10">
        <v>1185</v>
      </c>
      <c r="B1246" s="1832"/>
      <c r="D1246" s="2" t="str">
        <f t="shared" si="18"/>
        <v>OK</v>
      </c>
    </row>
    <row r="1247" spans="1:4" x14ac:dyDescent="0.2">
      <c r="A1247" s="5">
        <v>1186</v>
      </c>
      <c r="B1247" s="1832">
        <f>'Expenditures 15-22'!F127</f>
        <v>95490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95490</v>
      </c>
      <c r="C1249" s="2" t="s">
        <v>569</v>
      </c>
      <c r="D1249" s="2" t="str">
        <f t="shared" si="18"/>
        <v>Error?</v>
      </c>
    </row>
    <row r="1250" spans="1:4" x14ac:dyDescent="0.2">
      <c r="A1250" s="5">
        <v>1189</v>
      </c>
      <c r="B1250" s="1832">
        <f>'Expenditures 15-22'!F151</f>
        <v>95490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37613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37613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37613</v>
      </c>
      <c r="C1258" s="2" t="s">
        <v>569</v>
      </c>
      <c r="D1258" s="2" t="str">
        <f t="shared" si="18"/>
        <v>Error?</v>
      </c>
    </row>
    <row r="1259" spans="1:4" x14ac:dyDescent="0.2">
      <c r="A1259" s="5">
        <v>1198</v>
      </c>
      <c r="B1259" s="1832">
        <f>'Expenditures 15-22'!G151</f>
        <v>37613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574697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574697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574697</v>
      </c>
      <c r="C1281" s="2" t="s">
        <v>569</v>
      </c>
      <c r="D1281" s="2" t="str">
        <f t="shared" si="19"/>
        <v>Error?</v>
      </c>
    </row>
    <row r="1282" spans="1:4" x14ac:dyDescent="0.2">
      <c r="A1282" s="5">
        <v>1221</v>
      </c>
      <c r="B1282" s="1832">
        <f>'Expenditures 15-22'!K139</f>
        <v>5254</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579951</v>
      </c>
      <c r="C1288" s="2" t="s">
        <v>569</v>
      </c>
      <c r="D1288" s="2" t="str">
        <f t="shared" si="19"/>
        <v>Error?</v>
      </c>
    </row>
    <row r="1289" spans="1:4" x14ac:dyDescent="0.2">
      <c r="A1289" s="5">
        <v>1228</v>
      </c>
      <c r="B1289" s="1832">
        <f>'Expenditures 15-22'!K152</f>
        <v>102014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121915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262415</v>
      </c>
      <c r="C1317" s="2" t="s">
        <v>569</v>
      </c>
      <c r="D1317" s="2" t="str">
        <f t="shared" si="19"/>
        <v>Error?</v>
      </c>
    </row>
    <row r="1318" spans="1:4" x14ac:dyDescent="0.2">
      <c r="A1318" s="5">
        <v>1257</v>
      </c>
      <c r="B1318" s="1832">
        <f>'Expenditures 15-22'!H174</f>
        <v>262415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121915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262415</v>
      </c>
      <c r="C1331" s="2" t="s">
        <v>569</v>
      </c>
      <c r="D1331" s="2" t="str">
        <f t="shared" si="19"/>
        <v>Error?</v>
      </c>
    </row>
    <row r="1332" spans="1:4" x14ac:dyDescent="0.2">
      <c r="A1332" s="5">
        <v>1271</v>
      </c>
      <c r="B1332" s="1832">
        <f>'Expenditures 15-22'!K174</f>
        <v>262415</v>
      </c>
      <c r="C1332" s="2" t="s">
        <v>569</v>
      </c>
      <c r="D1332" s="2" t="str">
        <f t="shared" si="19"/>
        <v>Error?</v>
      </c>
    </row>
    <row r="1333" spans="1:4" x14ac:dyDescent="0.2">
      <c r="A1333" s="5">
        <v>1272</v>
      </c>
      <c r="B1333" s="1832">
        <f>'Expenditures 15-22'!K175</f>
        <v>292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201929</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201929</v>
      </c>
      <c r="C1339" s="2" t="s">
        <v>569</v>
      </c>
      <c r="D1339" s="2" t="str">
        <f t="shared" si="19"/>
        <v>Error?</v>
      </c>
    </row>
    <row r="1340" spans="1:4" x14ac:dyDescent="0.2">
      <c r="A1340" s="5">
        <v>1279</v>
      </c>
      <c r="B1340" s="1832">
        <f>'Expenditures 15-22'!C210</f>
        <v>201929</v>
      </c>
      <c r="C1340" s="2" t="s">
        <v>569</v>
      </c>
      <c r="D1340" s="2" t="str">
        <f t="shared" si="19"/>
        <v>Error?</v>
      </c>
    </row>
    <row r="1341" spans="1:4" x14ac:dyDescent="0.2">
      <c r="A1341" s="5">
        <v>1280</v>
      </c>
      <c r="B1341" s="1832">
        <f>'Expenditures 15-22'!D182</f>
        <v>24766</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24766</v>
      </c>
      <c r="C1345" s="2" t="s">
        <v>569</v>
      </c>
      <c r="D1345" s="2" t="str">
        <f t="shared" si="20"/>
        <v>Error?</v>
      </c>
    </row>
    <row r="1346" spans="1:4" x14ac:dyDescent="0.2">
      <c r="A1346" s="5">
        <v>1285</v>
      </c>
      <c r="B1346" s="1832">
        <f>'Expenditures 15-22'!D210</f>
        <v>24766</v>
      </c>
      <c r="C1346" s="2" t="s">
        <v>569</v>
      </c>
      <c r="D1346" s="2" t="str">
        <f t="shared" si="20"/>
        <v>Error?</v>
      </c>
    </row>
    <row r="1347" spans="1:4" x14ac:dyDescent="0.2">
      <c r="A1347" s="5">
        <v>1286</v>
      </c>
      <c r="B1347" s="1832">
        <f>'Expenditures 15-22'!E182</f>
        <v>100934</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100934</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100934</v>
      </c>
      <c r="C1353" s="2" t="s">
        <v>569</v>
      </c>
      <c r="D1353" s="2" t="str">
        <f t="shared" si="20"/>
        <v>Error?</v>
      </c>
    </row>
    <row r="1354" spans="1:4" x14ac:dyDescent="0.2">
      <c r="A1354" s="5">
        <v>1293</v>
      </c>
      <c r="B1354" s="1832">
        <f>'Expenditures 15-22'!F182</f>
        <v>31573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31573</v>
      </c>
      <c r="C1358" s="2" t="s">
        <v>569</v>
      </c>
      <c r="D1358" s="2" t="str">
        <f t="shared" si="20"/>
        <v>Error?</v>
      </c>
    </row>
    <row r="1359" spans="1:4" x14ac:dyDescent="0.2">
      <c r="A1359" s="5">
        <v>1298</v>
      </c>
      <c r="B1359" s="1832">
        <f>'Expenditures 15-22'!F210</f>
        <v>31573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233</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233</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233</v>
      </c>
      <c r="C1376" s="2" t="s">
        <v>569</v>
      </c>
      <c r="D1376" s="2" t="str">
        <f t="shared" si="20"/>
        <v>Error?</v>
      </c>
    </row>
    <row r="1377" spans="1:4" x14ac:dyDescent="0.2">
      <c r="A1377" s="5">
        <v>1316</v>
      </c>
      <c r="B1377" s="1832">
        <f>'Expenditures 15-22'!K182</f>
        <v>359435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359435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359435</v>
      </c>
      <c r="C1388" s="2" t="s">
        <v>569</v>
      </c>
      <c r="D1388" s="2" t="str">
        <f t="shared" si="20"/>
        <v>Error?</v>
      </c>
    </row>
    <row r="1389" spans="1:4" x14ac:dyDescent="0.2">
      <c r="A1389" s="5">
        <v>1328</v>
      </c>
      <c r="B1389" s="1832">
        <f>'Expenditures 15-22'!K211</f>
        <v>-49356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920</v>
      </c>
      <c r="D1407" s="2" t="str">
        <f t="shared" ref="D1407:D1470" si="21">IF(ISBLANK(B1407),"OK",IF(A1407-B1407=0,"OK","Error?"))</f>
        <v>Error?</v>
      </c>
    </row>
    <row r="1408" spans="1:4" x14ac:dyDescent="0.2">
      <c r="A1408" s="5">
        <v>1347</v>
      </c>
      <c r="B1408" s="1832">
        <f>'Expenditures 15-22'!D223</f>
        <v>4656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51178</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223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223</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1029</v>
      </c>
      <c r="D1423" s="2" t="str">
        <f t="shared" si="21"/>
        <v>Error?</v>
      </c>
    </row>
    <row r="1424" spans="1:4" x14ac:dyDescent="0.2">
      <c r="A1424" s="5">
        <v>1363</v>
      </c>
      <c r="B1424" s="1832">
        <f>'Expenditures 15-22'!D257</f>
        <v>4822</v>
      </c>
      <c r="C1424" s="2" t="s">
        <v>569</v>
      </c>
      <c r="D1424" s="2" t="str">
        <f t="shared" si="21"/>
        <v>Error?</v>
      </c>
    </row>
    <row r="1425" spans="1:4" x14ac:dyDescent="0.2">
      <c r="A1425" s="5">
        <v>1364</v>
      </c>
      <c r="B1425" s="1832">
        <f>'Expenditures 15-22'!D259</f>
        <v>17301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17301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11159</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27962</v>
      </c>
      <c r="D1431" s="2" t="str">
        <f t="shared" si="21"/>
        <v>Error?</v>
      </c>
    </row>
    <row r="1432" spans="1:4" x14ac:dyDescent="0.2">
      <c r="A1432" s="5">
        <v>1371</v>
      </c>
      <c r="B1432" s="1832">
        <f>'Expenditures 15-22'!D267</f>
        <v>33616</v>
      </c>
      <c r="D1432" s="2" t="str">
        <f t="shared" si="21"/>
        <v>Error?</v>
      </c>
    </row>
    <row r="1433" spans="1:4" x14ac:dyDescent="0.2">
      <c r="A1433" s="5">
        <v>1372</v>
      </c>
      <c r="B1433" s="1832">
        <f>'Expenditures 15-22'!D268</f>
        <v>10232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82969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105315</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156493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920</v>
      </c>
      <c r="C1471" s="2" t="s">
        <v>569</v>
      </c>
      <c r="D1471" s="2" t="str">
        <f t="shared" ref="D1471:D1534" si="22">IF(ISBLANK(B1471),"OK",IF(A1471-B1471=0,"OK","Error?"))</f>
        <v>Error?</v>
      </c>
    </row>
    <row r="1472" spans="1:4" x14ac:dyDescent="0.2">
      <c r="A1472" s="5">
        <v>1411</v>
      </c>
      <c r="B1472" s="1832">
        <f>'Expenditures 15-22'!K223</f>
        <v>4656</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51178</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223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223</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1029</v>
      </c>
      <c r="C1487" s="2" t="s">
        <v>569</v>
      </c>
      <c r="D1487" s="2" t="str">
        <f t="shared" si="22"/>
        <v>Error?</v>
      </c>
    </row>
    <row r="1488" spans="1:4" x14ac:dyDescent="0.2">
      <c r="A1488" s="5">
        <v>1427</v>
      </c>
      <c r="B1488" s="1832">
        <f>'Expenditures 15-22'!K257</f>
        <v>4822</v>
      </c>
      <c r="C1488" s="2" t="s">
        <v>569</v>
      </c>
      <c r="D1488" s="2" t="str">
        <f t="shared" si="22"/>
        <v>Error?</v>
      </c>
    </row>
    <row r="1489" spans="1:4" x14ac:dyDescent="0.2">
      <c r="A1489" s="5">
        <v>1428</v>
      </c>
      <c r="B1489" s="1832">
        <f>'Expenditures 15-22'!K259</f>
        <v>17301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17301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11159</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27962</v>
      </c>
      <c r="C1495" s="2" t="s">
        <v>569</v>
      </c>
      <c r="D1495" s="2" t="str">
        <f t="shared" si="22"/>
        <v>Error?</v>
      </c>
    </row>
    <row r="1496" spans="1:4" x14ac:dyDescent="0.2">
      <c r="A1496" s="5">
        <v>1435</v>
      </c>
      <c r="B1496" s="1832">
        <f>'Expenditures 15-22'!K267</f>
        <v>33616</v>
      </c>
      <c r="C1496" s="2" t="s">
        <v>569</v>
      </c>
      <c r="D1496" s="2" t="str">
        <f t="shared" si="22"/>
        <v>Error?</v>
      </c>
    </row>
    <row r="1497" spans="1:4" x14ac:dyDescent="0.2">
      <c r="A1497" s="5">
        <v>1436</v>
      </c>
      <c r="B1497" s="1832">
        <f>'Expenditures 15-22'!K268</f>
        <v>10232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82969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105315</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156493</v>
      </c>
      <c r="C1517" s="2" t="s">
        <v>569</v>
      </c>
      <c r="D1517" s="2" t="str">
        <f t="shared" si="22"/>
        <v>Error?</v>
      </c>
    </row>
    <row r="1518" spans="1:4" x14ac:dyDescent="0.2">
      <c r="A1518" s="5">
        <v>1457</v>
      </c>
      <c r="B1518" s="1832">
        <f>'Expenditures 15-22'!K296</f>
        <v>10153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4804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4804</v>
      </c>
      <c r="C1535" s="2" t="s">
        <v>569</v>
      </c>
      <c r="D1535" s="2" t="str">
        <f t="shared" ref="D1535:D1598" si="23">IF(ISBLANK(B1535),"OK",IF(A1535-B1535=0,"OK","Error?"))</f>
        <v>Error?</v>
      </c>
    </row>
    <row r="1536" spans="1:4" x14ac:dyDescent="0.2">
      <c r="A1536" s="5">
        <v>1475</v>
      </c>
      <c r="B1536" s="1832">
        <f>'Expenditures 15-22'!E312</f>
        <v>4804</v>
      </c>
      <c r="C1536" s="2" t="s">
        <v>569</v>
      </c>
      <c r="D1536" s="2" t="str">
        <f t="shared" si="23"/>
        <v>Error?</v>
      </c>
    </row>
    <row r="1537" spans="1:4" x14ac:dyDescent="0.2">
      <c r="A1537" s="5">
        <v>1476</v>
      </c>
      <c r="B1537" s="1832">
        <f>'Expenditures 15-22'!F301</f>
        <v>2060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2060</v>
      </c>
      <c r="C1541" s="2" t="s">
        <v>569</v>
      </c>
      <c r="D1541" s="2" t="str">
        <f t="shared" si="23"/>
        <v>Error?</v>
      </c>
    </row>
    <row r="1542" spans="1:4" x14ac:dyDescent="0.2">
      <c r="A1542" s="5">
        <v>1481</v>
      </c>
      <c r="B1542" s="1832">
        <f>'Expenditures 15-22'!F312</f>
        <v>2060</v>
      </c>
      <c r="C1542" s="2" t="s">
        <v>569</v>
      </c>
      <c r="D1542" s="2" t="str">
        <f t="shared" si="23"/>
        <v>Error?</v>
      </c>
    </row>
    <row r="1543" spans="1:4" x14ac:dyDescent="0.2">
      <c r="A1543" s="5">
        <v>1482</v>
      </c>
      <c r="B1543" s="1832">
        <f>'Expenditures 15-22'!G301</f>
        <v>50256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50256</v>
      </c>
      <c r="C1547" s="2" t="s">
        <v>569</v>
      </c>
      <c r="D1547" s="2" t="str">
        <f t="shared" si="23"/>
        <v>Error?</v>
      </c>
    </row>
    <row r="1548" spans="1:4" x14ac:dyDescent="0.2">
      <c r="A1548" s="5">
        <v>1487</v>
      </c>
      <c r="B1548" s="1832">
        <f>'Expenditures 15-22'!G312</f>
        <v>50256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57120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57120</v>
      </c>
      <c r="C1559" s="2" t="s">
        <v>569</v>
      </c>
      <c r="D1559" s="2" t="str">
        <f t="shared" si="23"/>
        <v>Error?</v>
      </c>
    </row>
    <row r="1560" spans="1:4" x14ac:dyDescent="0.2">
      <c r="A1560" s="5">
        <v>1499</v>
      </c>
      <c r="B1560" s="1832">
        <f>'Expenditures 15-22'!K312</f>
        <v>57120</v>
      </c>
      <c r="C1560" s="2" t="s">
        <v>569</v>
      </c>
      <c r="D1560" s="2" t="str">
        <f t="shared" si="23"/>
        <v>Error?</v>
      </c>
    </row>
    <row r="1561" spans="1:4" x14ac:dyDescent="0.2">
      <c r="A1561" s="5">
        <v>1500</v>
      </c>
      <c r="B1561" s="1832">
        <f>'Expenditures 15-22'!K313</f>
        <v>22931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2082230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2355977</v>
      </c>
      <c r="C1630" s="2" t="s">
        <v>569</v>
      </c>
      <c r="D1630" s="2" t="str">
        <f t="shared" si="24"/>
        <v>Error?</v>
      </c>
    </row>
    <row r="1631" spans="1:4" x14ac:dyDescent="0.2">
      <c r="A1631" s="5">
        <v>1570</v>
      </c>
      <c r="B1631" s="1832">
        <f>'Acct Summary 7-8'!D79</f>
        <v>249058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301072</v>
      </c>
      <c r="C1644" s="2" t="s">
        <v>569</v>
      </c>
      <c r="D1644" s="2" t="str">
        <f t="shared" si="24"/>
        <v>Error?</v>
      </c>
    </row>
    <row r="1645" spans="1:4" x14ac:dyDescent="0.2">
      <c r="A1645" s="5">
        <v>1584</v>
      </c>
      <c r="B1645" s="1832">
        <f>'Acct Summary 7-8'!E79</f>
        <v>5684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5976</v>
      </c>
      <c r="C1658" s="2" t="s">
        <v>569</v>
      </c>
      <c r="D1658" s="2" t="str">
        <f t="shared" si="24"/>
        <v>Error?</v>
      </c>
    </row>
    <row r="1659" spans="1:4" x14ac:dyDescent="0.2">
      <c r="A1659" s="5">
        <v>1598</v>
      </c>
      <c r="B1659" s="1832">
        <f>'Acct Summary 7-8'!F79</f>
        <v>367166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317810</v>
      </c>
      <c r="C1672" s="2" t="s">
        <v>569</v>
      </c>
      <c r="D1672" s="2" t="str">
        <f t="shared" si="25"/>
        <v>Error?</v>
      </c>
    </row>
    <row r="1673" spans="1:4" x14ac:dyDescent="0.2">
      <c r="A1673" s="5">
        <v>1612</v>
      </c>
      <c r="B1673" s="1832">
        <f>'Acct Summary 7-8'!G79</f>
        <v>138525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148678</v>
      </c>
      <c r="C1686" s="2" t="s">
        <v>569</v>
      </c>
      <c r="D1686" s="2" t="str">
        <f t="shared" si="25"/>
        <v>Error?</v>
      </c>
    </row>
    <row r="1687" spans="1:4" x14ac:dyDescent="0.2">
      <c r="A1687" s="5">
        <v>1626</v>
      </c>
      <c r="B1687" s="1832">
        <f>'Acct Summary 7-8'!H79</f>
        <v>41714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64645</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1787346</v>
      </c>
      <c r="C1744" s="2" t="s">
        <v>569</v>
      </c>
      <c r="D1744" s="2" t="str">
        <f t="shared" si="26"/>
        <v>Error?</v>
      </c>
    </row>
    <row r="1745" spans="1:5" x14ac:dyDescent="0.2">
      <c r="A1745" s="5">
        <v>1684</v>
      </c>
      <c r="B1745" s="1832">
        <f>'Tax Sched 23'!B5</f>
        <v>311432</v>
      </c>
      <c r="C1745" s="2" t="s">
        <v>569</v>
      </c>
      <c r="D1745" s="2" t="str">
        <f t="shared" si="26"/>
        <v>Error?</v>
      </c>
    </row>
    <row r="1746" spans="1:5" x14ac:dyDescent="0.2">
      <c r="A1746" s="5">
        <v>1685</v>
      </c>
      <c r="B1746" s="1832">
        <f>'Tax Sched 23'!B6</f>
        <v>261541</v>
      </c>
      <c r="C1746" s="2" t="s">
        <v>569</v>
      </c>
      <c r="D1746" s="2" t="str">
        <f t="shared" si="26"/>
        <v>Error?</v>
      </c>
    </row>
    <row r="1747" spans="1:5" x14ac:dyDescent="0.2">
      <c r="A1747" s="5">
        <v>1686</v>
      </c>
      <c r="B1747" s="1832">
        <f>'Tax Sched 23'!B7</f>
        <v>108325</v>
      </c>
      <c r="C1747" s="2" t="s">
        <v>569</v>
      </c>
      <c r="D1747" s="2" t="str">
        <f t="shared" si="26"/>
        <v>Error?</v>
      </c>
    </row>
    <row r="1748" spans="1:5" x14ac:dyDescent="0.2">
      <c r="A1748" s="5">
        <v>1687</v>
      </c>
      <c r="B1748" s="1832">
        <f>'Tax Sched 23'!B8</f>
        <v>80485</v>
      </c>
      <c r="C1748" s="2" t="s">
        <v>569</v>
      </c>
      <c r="D1748" s="2" t="str">
        <f t="shared" si="26"/>
        <v>Error?</v>
      </c>
    </row>
    <row r="1749" spans="1:5" x14ac:dyDescent="0.2">
      <c r="A1749" s="5">
        <v>1688</v>
      </c>
      <c r="B1749" s="1832">
        <f>'Tax Sched 23'!B10</f>
        <v>27081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209173</v>
      </c>
      <c r="C1752" s="2" t="s">
        <v>569</v>
      </c>
      <c r="D1752" s="2" t="str">
        <f t="shared" si="26"/>
        <v>Error?</v>
      </c>
    </row>
    <row r="1753" spans="1:5" x14ac:dyDescent="0.2">
      <c r="A1753" s="5">
        <v>1692</v>
      </c>
      <c r="B1753" s="1832">
        <f>'Tax Sched 23'!B12</f>
        <v>27081</v>
      </c>
      <c r="C1753" s="2" t="s">
        <v>569</v>
      </c>
      <c r="D1753" s="2" t="str">
        <f t="shared" si="26"/>
        <v>Error?</v>
      </c>
    </row>
    <row r="1754" spans="1:5" x14ac:dyDescent="0.2">
      <c r="A1754" s="5">
        <v>1693</v>
      </c>
      <c r="B1754" s="1832">
        <f>'Tax Sched 23'!B14</f>
        <v>21665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2941695</v>
      </c>
      <c r="C1759" s="2" t="s">
        <v>569</v>
      </c>
      <c r="D1759" s="2" t="str">
        <f t="shared" si="26"/>
        <v>Error?</v>
      </c>
    </row>
    <row r="1760" spans="1:5" x14ac:dyDescent="0.2">
      <c r="A1760" s="5">
        <v>1699</v>
      </c>
      <c r="B1760" s="1832">
        <f>'Tax Sched 23'!D4</f>
        <v>1787346</v>
      </c>
      <c r="C1760" s="2" t="s">
        <v>569</v>
      </c>
      <c r="D1760" s="2" t="str">
        <f t="shared" si="26"/>
        <v>Error?</v>
      </c>
    </row>
    <row r="1761" spans="1:7" x14ac:dyDescent="0.2">
      <c r="A1761" s="5">
        <v>1700</v>
      </c>
      <c r="B1761" s="1832">
        <f>'Tax Sched 23'!D5</f>
        <v>311432</v>
      </c>
      <c r="C1761" s="2" t="s">
        <v>569</v>
      </c>
      <c r="D1761" s="2" t="str">
        <f t="shared" si="26"/>
        <v>Error?</v>
      </c>
    </row>
    <row r="1762" spans="1:7" s="8" customFormat="1" x14ac:dyDescent="0.2">
      <c r="A1762" s="5">
        <v>1701</v>
      </c>
      <c r="B1762" s="1832">
        <f>'Tax Sched 23'!D6</f>
        <v>261541</v>
      </c>
      <c r="C1762" s="2" t="s">
        <v>569</v>
      </c>
      <c r="D1762" s="2" t="str">
        <f t="shared" si="26"/>
        <v>Error?</v>
      </c>
      <c r="E1762" s="9"/>
      <c r="G1762"/>
    </row>
    <row r="1763" spans="1:7" x14ac:dyDescent="0.2">
      <c r="A1763" s="5">
        <v>1702</v>
      </c>
      <c r="B1763" s="1832">
        <f>'Tax Sched 23'!D7</f>
        <v>108325</v>
      </c>
      <c r="C1763" s="2" t="s">
        <v>569</v>
      </c>
      <c r="D1763" s="2" t="str">
        <f t="shared" si="26"/>
        <v>Error?</v>
      </c>
    </row>
    <row r="1764" spans="1:7" x14ac:dyDescent="0.2">
      <c r="A1764" s="5">
        <v>1703</v>
      </c>
      <c r="B1764" s="1832">
        <f>'Tax Sched 23'!D8</f>
        <v>80485</v>
      </c>
      <c r="C1764" s="2" t="s">
        <v>569</v>
      </c>
      <c r="D1764" s="2" t="str">
        <f t="shared" si="26"/>
        <v>Error?</v>
      </c>
    </row>
    <row r="1765" spans="1:7" x14ac:dyDescent="0.2">
      <c r="A1765" s="5">
        <v>1704</v>
      </c>
      <c r="B1765" s="1832">
        <f>'Tax Sched 23'!D10</f>
        <v>27081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209173</v>
      </c>
      <c r="C1768" s="2" t="s">
        <v>569</v>
      </c>
      <c r="D1768" s="2" t="str">
        <f t="shared" si="26"/>
        <v>Error?</v>
      </c>
    </row>
    <row r="1769" spans="1:7" x14ac:dyDescent="0.2">
      <c r="A1769" s="5">
        <v>1708</v>
      </c>
      <c r="B1769" s="1832">
        <f>'Tax Sched 23'!D12</f>
        <v>27081</v>
      </c>
      <c r="C1769" s="2" t="s">
        <v>569</v>
      </c>
      <c r="D1769" s="2" t="str">
        <f t="shared" si="26"/>
        <v>Error?</v>
      </c>
    </row>
    <row r="1770" spans="1:7" x14ac:dyDescent="0.2">
      <c r="A1770" s="5">
        <v>1709</v>
      </c>
      <c r="B1770" s="1832">
        <f>'Tax Sched 23'!D14</f>
        <v>21665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2941695</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1863587</v>
      </c>
      <c r="C1792" s="2" t="s">
        <v>569</v>
      </c>
      <c r="D1792" s="2" t="str">
        <f t="shared" si="27"/>
        <v>Error?</v>
      </c>
    </row>
    <row r="1793" spans="1:4" x14ac:dyDescent="0.2">
      <c r="A1793" s="5">
        <v>1732</v>
      </c>
      <c r="B1793" s="1832">
        <f>'Tax Sched 23'!F5</f>
        <v>324716</v>
      </c>
      <c r="C1793" s="2" t="s">
        <v>569</v>
      </c>
      <c r="D1793" s="2" t="str">
        <f t="shared" si="27"/>
        <v>Error?</v>
      </c>
    </row>
    <row r="1794" spans="1:4" x14ac:dyDescent="0.2">
      <c r="A1794" s="5">
        <v>1733</v>
      </c>
      <c r="B1794" s="1832">
        <f>'Tax Sched 23'!F6</f>
        <v>266174</v>
      </c>
      <c r="C1794" s="2" t="s">
        <v>569</v>
      </c>
      <c r="D1794" s="2" t="str">
        <f t="shared" si="27"/>
        <v>Error?</v>
      </c>
    </row>
    <row r="1795" spans="1:4" x14ac:dyDescent="0.2">
      <c r="A1795" s="5">
        <v>1734</v>
      </c>
      <c r="B1795" s="1832">
        <f>'Tax Sched 23'!F7</f>
        <v>112945</v>
      </c>
      <c r="C1795" s="2" t="s">
        <v>569</v>
      </c>
      <c r="D1795" s="2" t="str">
        <f t="shared" si="27"/>
        <v>Error?</v>
      </c>
    </row>
    <row r="1796" spans="1:4" x14ac:dyDescent="0.2">
      <c r="A1796" s="5">
        <v>1735</v>
      </c>
      <c r="B1796" s="1832">
        <f>'Tax Sched 23'!F8</f>
        <v>69900</v>
      </c>
      <c r="C1796" s="2" t="s">
        <v>569</v>
      </c>
      <c r="D1796" s="2" t="str">
        <f t="shared" si="27"/>
        <v>Error?</v>
      </c>
    </row>
    <row r="1797" spans="1:4" x14ac:dyDescent="0.2">
      <c r="A1797" s="5">
        <v>1736</v>
      </c>
      <c r="B1797" s="1832">
        <f>'Tax Sched 23'!F10</f>
        <v>28236</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184597</v>
      </c>
      <c r="C1800" s="2" t="s">
        <v>569</v>
      </c>
      <c r="D1800" s="2" t="str">
        <f t="shared" si="27"/>
        <v>Error?</v>
      </c>
    </row>
    <row r="1801" spans="1:4" x14ac:dyDescent="0.2">
      <c r="A1801" s="5">
        <v>1740</v>
      </c>
      <c r="B1801" s="1832">
        <f>'Tax Sched 23'!F12</f>
        <v>28236</v>
      </c>
      <c r="C1801" s="2" t="s">
        <v>569</v>
      </c>
      <c r="D1801" s="2" t="str">
        <f t="shared" si="27"/>
        <v>Error?</v>
      </c>
    </row>
    <row r="1802" spans="1:4" x14ac:dyDescent="0.2">
      <c r="A1802" s="5">
        <v>1741</v>
      </c>
      <c r="B1802" s="1832">
        <f>'Tax Sched 23'!F14</f>
        <v>22589</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2979789</v>
      </c>
      <c r="C1807" s="2" t="s">
        <v>569</v>
      </c>
      <c r="D1807" s="2" t="str">
        <f t="shared" si="27"/>
        <v>Error?</v>
      </c>
    </row>
    <row r="1808" spans="1:4" x14ac:dyDescent="0.2">
      <c r="A1808" s="5">
        <v>1747</v>
      </c>
      <c r="B1808" s="1832">
        <f>'Tax Sched 23'!E4</f>
        <v>1863587</v>
      </c>
      <c r="D1808" s="2" t="str">
        <f t="shared" si="27"/>
        <v>Error?</v>
      </c>
    </row>
    <row r="1809" spans="1:4" x14ac:dyDescent="0.2">
      <c r="A1809" s="5">
        <v>1748</v>
      </c>
      <c r="B1809" s="1832">
        <f>'Tax Sched 23'!E5</f>
        <v>324716</v>
      </c>
      <c r="D1809" s="2" t="str">
        <f t="shared" si="27"/>
        <v>Error?</v>
      </c>
    </row>
    <row r="1810" spans="1:4" x14ac:dyDescent="0.2">
      <c r="A1810" s="5">
        <v>1749</v>
      </c>
      <c r="B1810" s="1832">
        <f>'Tax Sched 23'!E6</f>
        <v>266174</v>
      </c>
      <c r="D1810" s="2" t="str">
        <f t="shared" si="27"/>
        <v>Error?</v>
      </c>
    </row>
    <row r="1811" spans="1:4" x14ac:dyDescent="0.2">
      <c r="A1811" s="5">
        <v>1750</v>
      </c>
      <c r="B1811" s="1832">
        <f>'Tax Sched 23'!E7</f>
        <v>112945</v>
      </c>
      <c r="D1811" s="2" t="str">
        <f t="shared" si="27"/>
        <v>Error?</v>
      </c>
    </row>
    <row r="1812" spans="1:4" x14ac:dyDescent="0.2">
      <c r="A1812" s="5">
        <v>1751</v>
      </c>
      <c r="B1812" s="1832">
        <f>'Tax Sched 23'!E8</f>
        <v>69900</v>
      </c>
      <c r="D1812" s="2" t="str">
        <f t="shared" si="27"/>
        <v>Error?</v>
      </c>
    </row>
    <row r="1813" spans="1:4" x14ac:dyDescent="0.2">
      <c r="A1813" s="5">
        <v>1752</v>
      </c>
      <c r="B1813" s="1832">
        <f>'Tax Sched 23'!E10</f>
        <v>28236</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184597</v>
      </c>
      <c r="D1816" s="2" t="str">
        <f t="shared" si="27"/>
        <v>Error?</v>
      </c>
    </row>
    <row r="1817" spans="1:4" x14ac:dyDescent="0.2">
      <c r="A1817" s="5">
        <v>1756</v>
      </c>
      <c r="B1817" s="1832">
        <f>'Tax Sched 23'!E12</f>
        <v>28236</v>
      </c>
      <c r="D1817" s="2" t="str">
        <f t="shared" si="27"/>
        <v>Error?</v>
      </c>
    </row>
    <row r="1818" spans="1:4" x14ac:dyDescent="0.2">
      <c r="A1818" s="5">
        <v>1757</v>
      </c>
      <c r="B1818" s="1832">
        <f>'Tax Sched 23'!E14</f>
        <v>22589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2979789</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1305000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21665</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21665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21665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18400</v>
      </c>
      <c r="D2008" s="2" t="str">
        <f t="shared" si="30"/>
        <v>Error?</v>
      </c>
    </row>
    <row r="2009" spans="1:4" x14ac:dyDescent="0.2">
      <c r="A2009" s="5">
        <v>1948</v>
      </c>
      <c r="B2009" s="1832">
        <f>'Cap Outlay Deprec 26'!C8</f>
        <v>3909628</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270330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4220153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35108</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177704</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293275</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59603</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59603</v>
      </c>
      <c r="C2025" s="2" t="s">
        <v>569</v>
      </c>
      <c r="D2025" s="2" t="str">
        <f t="shared" si="30"/>
        <v>Error?</v>
      </c>
    </row>
    <row r="2026" spans="1:4" x14ac:dyDescent="0.2">
      <c r="A2026" s="5">
        <v>1965</v>
      </c>
      <c r="B2026" s="1832">
        <f>'Cap Outlay Deprec 26'!F5</f>
        <v>18400</v>
      </c>
      <c r="C2026" s="2" t="s">
        <v>569</v>
      </c>
      <c r="D2026" s="2" t="str">
        <f t="shared" si="30"/>
        <v>Error?</v>
      </c>
    </row>
    <row r="2027" spans="1:4" x14ac:dyDescent="0.2">
      <c r="A2027" s="5">
        <v>1966</v>
      </c>
      <c r="B2027" s="1832">
        <f>'Cap Outlay Deprec 26'!F8</f>
        <v>3944736</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388431</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4453825</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2764339</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156945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2928549</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55128</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42330</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131544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59603</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59603</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2819467</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139672</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3000490</v>
      </c>
      <c r="C2055" s="2" t="s">
        <v>569</v>
      </c>
      <c r="D2055" s="2" t="str">
        <f t="shared" si="31"/>
        <v>Error?</v>
      </c>
    </row>
    <row r="2056" spans="1:4" x14ac:dyDescent="0.2">
      <c r="A2056" s="5">
        <v>1995</v>
      </c>
      <c r="B2056" s="1832">
        <f>'Cap Outlay Deprec 26'!L5</f>
        <v>18400</v>
      </c>
      <c r="C2056" s="2" t="s">
        <v>569</v>
      </c>
      <c r="D2056" s="2" t="str">
        <f t="shared" si="31"/>
        <v>Error?</v>
      </c>
    </row>
    <row r="2057" spans="1:4" x14ac:dyDescent="0.2">
      <c r="A2057" s="5">
        <v>1996</v>
      </c>
      <c r="B2057" s="1832">
        <f>'Cap Outlay Deprec 26'!L8</f>
        <v>1125269</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248759</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1453335</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379404</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595253</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5254</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49213</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64645</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2059757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1056401</v>
      </c>
      <c r="C2553" s="2" t="s">
        <v>569</v>
      </c>
      <c r="D2553" s="2" t="str">
        <f t="shared" si="38"/>
        <v>Error?</v>
      </c>
    </row>
    <row r="2554" spans="1:4" x14ac:dyDescent="0.2">
      <c r="A2554" s="5">
        <v>2493</v>
      </c>
      <c r="B2554" s="1832">
        <f>'Acct Summary 7-8'!C7</f>
        <v>478091</v>
      </c>
      <c r="C2554" s="2" t="s">
        <v>569</v>
      </c>
      <c r="D2554" s="2" t="str">
        <f t="shared" si="38"/>
        <v>Error?</v>
      </c>
    </row>
    <row r="2555" spans="1:4" x14ac:dyDescent="0.2">
      <c r="A2555" s="5">
        <v>2494</v>
      </c>
      <c r="B2555" s="1832">
        <f>'Acct Summary 7-8'!C8</f>
        <v>3594249</v>
      </c>
      <c r="C2555" s="2" t="s">
        <v>569</v>
      </c>
      <c r="D2555" s="2" t="str">
        <f t="shared" si="38"/>
        <v>Error?</v>
      </c>
    </row>
    <row r="2556" spans="1:4" x14ac:dyDescent="0.2">
      <c r="A2556" s="5">
        <v>2495</v>
      </c>
      <c r="B2556" s="1832">
        <f>'Acct Summary 7-8'!C12</f>
        <v>2113755</v>
      </c>
      <c r="C2556" s="2" t="s">
        <v>569</v>
      </c>
      <c r="D2556" s="2" t="str">
        <f t="shared" si="38"/>
        <v>Error?</v>
      </c>
    </row>
    <row r="2557" spans="1:4" x14ac:dyDescent="0.2">
      <c r="A2557" s="5">
        <v>2496</v>
      </c>
      <c r="B2557" s="1832">
        <f>'Acct Summary 7-8'!C13</f>
        <v>740918</v>
      </c>
      <c r="C2557" s="2" t="s">
        <v>569</v>
      </c>
      <c r="D2557" s="2" t="str">
        <f t="shared" si="38"/>
        <v>Error?</v>
      </c>
    </row>
    <row r="2558" spans="1:4" x14ac:dyDescent="0.2">
      <c r="A2558" s="5">
        <v>2497</v>
      </c>
      <c r="B2558" s="1832">
        <f>'Acct Summary 7-8'!C14</f>
        <v>20576</v>
      </c>
      <c r="C2558" s="2" t="s">
        <v>569</v>
      </c>
      <c r="D2558" s="2" t="str">
        <f t="shared" si="38"/>
        <v>Error?</v>
      </c>
    </row>
    <row r="2559" spans="1:4" x14ac:dyDescent="0.2">
      <c r="A2559" s="5">
        <v>2498</v>
      </c>
      <c r="B2559" s="1832">
        <f>'Acct Summary 7-8'!C15</f>
        <v>595253</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3470502</v>
      </c>
      <c r="C2561" s="2" t="s">
        <v>569</v>
      </c>
      <c r="D2561" s="2" t="str">
        <f t="shared" si="39"/>
        <v>Error?</v>
      </c>
    </row>
    <row r="2562" spans="1:4" x14ac:dyDescent="0.2">
      <c r="A2562" s="5">
        <v>2501</v>
      </c>
      <c r="B2562" s="1832">
        <f>'Acct Summary 7-8'!C20</f>
        <v>123747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631965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681965</v>
      </c>
      <c r="C2568" s="2" t="s">
        <v>569</v>
      </c>
      <c r="D2568" s="2" t="str">
        <f t="shared" si="39"/>
        <v>Error?</v>
      </c>
    </row>
    <row r="2569" spans="1:4" x14ac:dyDescent="0.2">
      <c r="A2569" s="5">
        <v>2508</v>
      </c>
      <c r="B2569" s="1832">
        <f>'Acct Summary 7-8'!D13</f>
        <v>574697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5254</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579951</v>
      </c>
      <c r="C2573" s="2" t="s">
        <v>569</v>
      </c>
      <c r="D2573" s="2" t="str">
        <f t="shared" si="39"/>
        <v>Error?</v>
      </c>
    </row>
    <row r="2574" spans="1:4" x14ac:dyDescent="0.2">
      <c r="A2574" s="5">
        <v>2513</v>
      </c>
      <c r="B2574" s="1832">
        <f>'Acct Summary 7-8'!D20</f>
        <v>102014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111261</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198235</v>
      </c>
      <c r="C2593" s="2" t="s">
        <v>569</v>
      </c>
      <c r="D2593" s="2" t="str">
        <f t="shared" si="39"/>
        <v>Error?</v>
      </c>
    </row>
    <row r="2594" spans="1:4" x14ac:dyDescent="0.2">
      <c r="A2594" s="5">
        <v>2533</v>
      </c>
      <c r="B2594" s="1832">
        <f>'Acct Summary 7-8'!F7</f>
        <v>583</v>
      </c>
      <c r="C2594" s="2" t="s">
        <v>569</v>
      </c>
      <c r="D2594" s="2" t="str">
        <f t="shared" si="39"/>
        <v>Error?</v>
      </c>
    </row>
    <row r="2595" spans="1:4" x14ac:dyDescent="0.2">
      <c r="A2595" s="5">
        <v>2534</v>
      </c>
      <c r="B2595" s="1832">
        <f>'Acct Summary 7-8'!F8</f>
        <v>310079</v>
      </c>
      <c r="C2595" s="2" t="s">
        <v>569</v>
      </c>
      <c r="D2595" s="2" t="str">
        <f t="shared" si="39"/>
        <v>Error?</v>
      </c>
    </row>
    <row r="2596" spans="1:4" x14ac:dyDescent="0.2">
      <c r="A2596" s="5">
        <v>2535</v>
      </c>
      <c r="B2596" s="1832">
        <f>'Acct Summary 7-8'!F13</f>
        <v>359435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359435</v>
      </c>
      <c r="C2600" s="2" t="s">
        <v>569</v>
      </c>
      <c r="D2600" s="2" t="str">
        <f t="shared" si="39"/>
        <v>Error?</v>
      </c>
    </row>
    <row r="2601" spans="1:4" x14ac:dyDescent="0.2">
      <c r="A2601" s="5">
        <v>2540</v>
      </c>
      <c r="B2601" s="1832">
        <f>'Acct Summary 7-8'!F20</f>
        <v>-49356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166646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166646</v>
      </c>
      <c r="C2606" s="2" t="s">
        <v>569</v>
      </c>
      <c r="D2606" s="2" t="str">
        <f t="shared" si="39"/>
        <v>Error?</v>
      </c>
    </row>
    <row r="2607" spans="1:4" x14ac:dyDescent="0.2">
      <c r="A2607" s="5">
        <v>2546</v>
      </c>
      <c r="B2607" s="1832">
        <f>'Acct Summary 7-8'!G12</f>
        <v>51178</v>
      </c>
      <c r="C2607" s="2" t="s">
        <v>569</v>
      </c>
      <c r="D2607" s="2" t="str">
        <f t="shared" si="39"/>
        <v>Error?</v>
      </c>
    </row>
    <row r="2608" spans="1:4" x14ac:dyDescent="0.2">
      <c r="A2608" s="5">
        <v>2547</v>
      </c>
      <c r="B2608" s="1832">
        <f>'Acct Summary 7-8'!G13</f>
        <v>105315</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156493</v>
      </c>
      <c r="C2612" s="2" t="s">
        <v>569</v>
      </c>
      <c r="D2612" s="2" t="str">
        <f t="shared" si="39"/>
        <v>Error?</v>
      </c>
    </row>
    <row r="2613" spans="1:4" x14ac:dyDescent="0.2">
      <c r="A2613" s="5">
        <v>2552</v>
      </c>
      <c r="B2613" s="1832">
        <f>'Acct Summary 7-8'!G20</f>
        <v>10153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262707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262707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262415</v>
      </c>
      <c r="C2634" s="2" t="s">
        <v>569</v>
      </c>
      <c r="D2634" s="2" t="str">
        <f t="shared" si="40"/>
        <v>Error?</v>
      </c>
    </row>
    <row r="2635" spans="1:4" x14ac:dyDescent="0.2">
      <c r="A2635" s="5">
        <v>2574</v>
      </c>
      <c r="B2635" s="1832">
        <f>'Acct Summary 7-8'!E17</f>
        <v>262415</v>
      </c>
      <c r="C2635" s="2" t="s">
        <v>569</v>
      </c>
      <c r="D2635" s="2" t="str">
        <f t="shared" si="40"/>
        <v>Error?</v>
      </c>
    </row>
    <row r="2636" spans="1:4" x14ac:dyDescent="0.2">
      <c r="A2636" s="5">
        <v>2575</v>
      </c>
      <c r="B2636" s="1832">
        <f>'Acct Summary 7-8'!E20</f>
        <v>292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80051</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80051</v>
      </c>
      <c r="C2658" s="2" t="s">
        <v>569</v>
      </c>
      <c r="D2658" s="2" t="str">
        <f t="shared" si="40"/>
        <v>Error?</v>
      </c>
    </row>
    <row r="2659" spans="1:4" x14ac:dyDescent="0.2">
      <c r="A2659" s="5">
        <v>2598</v>
      </c>
      <c r="B2659" s="1832">
        <f>'Acct Summary 7-8'!H13</f>
        <v>57120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57120</v>
      </c>
      <c r="C2661" s="2" t="s">
        <v>569</v>
      </c>
      <c r="D2661" s="2" t="str">
        <f t="shared" si="40"/>
        <v>Error?</v>
      </c>
    </row>
    <row r="2662" spans="1:4" x14ac:dyDescent="0.2">
      <c r="A2662" s="5">
        <v>2601</v>
      </c>
      <c r="B2662" s="1832">
        <f>'Acct Summary 7-8'!H20</f>
        <v>22931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215849</v>
      </c>
      <c r="C2789" s="2" t="s">
        <v>569</v>
      </c>
      <c r="D2789" s="2" t="str">
        <f t="shared" si="42"/>
        <v>Error?</v>
      </c>
    </row>
    <row r="2790" spans="1:4" x14ac:dyDescent="0.2">
      <c r="A2790" s="5">
        <v>2729</v>
      </c>
      <c r="B2790" s="1832">
        <f>'Expenditures 15-22'!E102</f>
        <v>215849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85540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85540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62526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85540</v>
      </c>
      <c r="D2912" s="2" t="str">
        <f t="shared" si="44"/>
        <v>Error?</v>
      </c>
    </row>
    <row r="2913" spans="1:4" x14ac:dyDescent="0.2">
      <c r="A2913" s="5">
        <v>2852</v>
      </c>
      <c r="B2913" s="1832">
        <f>'Assets-Liab 5-6'!I41</f>
        <v>85540</v>
      </c>
      <c r="C2913" s="2" t="s">
        <v>569</v>
      </c>
      <c r="D2913" s="2" t="str">
        <f t="shared" si="44"/>
        <v>Error?</v>
      </c>
    </row>
    <row r="2914" spans="1:4" x14ac:dyDescent="0.2">
      <c r="A2914" s="5">
        <v>2853</v>
      </c>
      <c r="B2914" s="1832">
        <f>'Assets-Liab 5-6'!L33</f>
        <v>62526</v>
      </c>
      <c r="D2914" s="2" t="str">
        <f t="shared" si="44"/>
        <v>Error?</v>
      </c>
    </row>
    <row r="2915" spans="1:4" x14ac:dyDescent="0.2">
      <c r="A2915" s="10">
        <v>2854</v>
      </c>
      <c r="B2915" s="1832"/>
      <c r="D2915" s="2" t="str">
        <f t="shared" si="44"/>
        <v>OK</v>
      </c>
    </row>
    <row r="2916" spans="1:4" x14ac:dyDescent="0.2">
      <c r="A2916" s="5">
        <v>2855</v>
      </c>
      <c r="B2916" s="1832">
        <f>'Assets-Liab 5-6'!L34</f>
        <v>62526</v>
      </c>
      <c r="C2916" s="2" t="s">
        <v>569</v>
      </c>
      <c r="D2916" s="2" t="str">
        <f t="shared" si="44"/>
        <v>Error?</v>
      </c>
    </row>
    <row r="2917" spans="1:4" x14ac:dyDescent="0.2">
      <c r="A2917" s="5">
        <v>2856</v>
      </c>
      <c r="B2917" s="1832">
        <f>'Assets-Liab 5-6'!L41</f>
        <v>62526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215849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379404</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595253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5254</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75360</v>
      </c>
      <c r="D3055" s="2" t="str">
        <f t="shared" si="46"/>
        <v>Error?</v>
      </c>
    </row>
    <row r="3056" spans="1:4" x14ac:dyDescent="0.2">
      <c r="A3056" s="5">
        <v>2995</v>
      </c>
      <c r="B3056" s="1832">
        <f>'Expenditures 15-22'!D10</f>
        <v>29478</v>
      </c>
      <c r="D3056" s="2" t="str">
        <f t="shared" si="46"/>
        <v>Error?</v>
      </c>
    </row>
    <row r="3057" spans="1:4" x14ac:dyDescent="0.2">
      <c r="A3057" s="5">
        <v>2996</v>
      </c>
      <c r="B3057" s="1832">
        <f>'Expenditures 15-22'!E10</f>
        <v>29961</v>
      </c>
      <c r="D3057" s="2" t="str">
        <f t="shared" si="46"/>
        <v>Error?</v>
      </c>
    </row>
    <row r="3058" spans="1:4" x14ac:dyDescent="0.2">
      <c r="A3058" s="5">
        <v>2997</v>
      </c>
      <c r="B3058" s="1832">
        <f>'Expenditures 15-22'!F10</f>
        <v>15179</v>
      </c>
      <c r="D3058" s="2" t="str">
        <f t="shared" si="46"/>
        <v>Error?</v>
      </c>
    </row>
    <row r="3059" spans="1:4" x14ac:dyDescent="0.2">
      <c r="A3059" s="5">
        <v>2998</v>
      </c>
      <c r="B3059" s="1832">
        <f>'Expenditures 15-22'!G10</f>
        <v>125177</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275155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4901</v>
      </c>
      <c r="D3064" s="2" t="str">
        <f t="shared" si="46"/>
        <v>Error?</v>
      </c>
    </row>
    <row r="3065" spans="1:4" x14ac:dyDescent="0.2">
      <c r="A3065" s="5">
        <v>3004</v>
      </c>
      <c r="B3065" s="1832">
        <f>'Expenditures 15-22'!K219</f>
        <v>4901</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27795</v>
      </c>
      <c r="C3225" s="2" t="s">
        <v>569</v>
      </c>
      <c r="D3225" s="2" t="str">
        <f t="shared" si="49"/>
        <v>Error?</v>
      </c>
    </row>
    <row r="3226" spans="1:4" x14ac:dyDescent="0.2">
      <c r="A3226" s="5">
        <v>3165</v>
      </c>
      <c r="B3226" s="1832">
        <f>'Acct Summary 7-8'!I8</f>
        <v>27795</v>
      </c>
      <c r="C3226" s="2" t="s">
        <v>569</v>
      </c>
      <c r="D3226" s="2" t="str">
        <f t="shared" si="49"/>
        <v>Error?</v>
      </c>
    </row>
    <row r="3227" spans="1:4" x14ac:dyDescent="0.2">
      <c r="A3227" s="5">
        <v>3166</v>
      </c>
      <c r="B3227" s="1832">
        <f>'Acct Summary 7-8'!I20</f>
        <v>27795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150000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150000</v>
      </c>
      <c r="C3232" s="2" t="s">
        <v>569</v>
      </c>
      <c r="D3232" s="2" t="str">
        <f t="shared" si="49"/>
        <v>Error?</v>
      </c>
    </row>
    <row r="3233" spans="1:4" x14ac:dyDescent="0.2">
      <c r="A3233" s="5">
        <v>3172</v>
      </c>
      <c r="B3233" s="1832">
        <f>'Acct Summary 7-8'!C78</f>
        <v>273747</v>
      </c>
      <c r="C3233" s="2" t="s">
        <v>569</v>
      </c>
      <c r="D3233" s="2" t="str">
        <f t="shared" si="49"/>
        <v>Error?</v>
      </c>
    </row>
    <row r="3234" spans="1:4" x14ac:dyDescent="0.2">
      <c r="A3234" s="5">
        <v>3173</v>
      </c>
      <c r="B3234" s="1832">
        <f>'Acct Summary 7-8'!D43</f>
        <v>100000</v>
      </c>
      <c r="D3234" s="2" t="str">
        <f t="shared" si="49"/>
        <v>Error?</v>
      </c>
    </row>
    <row r="3235" spans="1:4" x14ac:dyDescent="0.2">
      <c r="A3235" s="5">
        <v>3174</v>
      </c>
      <c r="B3235" s="1832">
        <f>'Acct Summary 7-8'!D44</f>
        <v>100000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150000</v>
      </c>
      <c r="C3237" s="2" t="s">
        <v>569</v>
      </c>
      <c r="D3237" s="2" t="str">
        <f t="shared" si="49"/>
        <v>Error?</v>
      </c>
    </row>
    <row r="3238" spans="1:4" x14ac:dyDescent="0.2">
      <c r="A3238" s="5">
        <v>3177</v>
      </c>
      <c r="B3238" s="1832">
        <f>'Acct Summary 7-8'!D77</f>
        <v>-50000</v>
      </c>
      <c r="C3238" s="2" t="s">
        <v>569</v>
      </c>
      <c r="D3238" s="2" t="str">
        <f t="shared" si="49"/>
        <v>Error?</v>
      </c>
    </row>
    <row r="3239" spans="1:4" x14ac:dyDescent="0.2">
      <c r="A3239" s="5">
        <v>3178</v>
      </c>
      <c r="B3239" s="1832">
        <f>'Acct Summary 7-8'!D78</f>
        <v>52014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-49356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10153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292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22931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27795</v>
      </c>
      <c r="C3320" s="2" t="s">
        <v>569</v>
      </c>
      <c r="D3320" s="2" t="str">
        <f t="shared" si="50"/>
        <v>Error?</v>
      </c>
    </row>
    <row r="3321" spans="1:4" x14ac:dyDescent="0.2">
      <c r="A3321" s="5">
        <v>3260</v>
      </c>
      <c r="B3321" s="1832">
        <f>'Acct Summary 7-8'!I79</f>
        <v>57745</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85540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254485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53457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278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308220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15377</v>
      </c>
      <c r="D3387" s="2" t="str">
        <f t="shared" si="51"/>
        <v>Error?</v>
      </c>
    </row>
    <row r="3388" spans="1:4" x14ac:dyDescent="0.2">
      <c r="A3388" s="5">
        <v>3327</v>
      </c>
      <c r="B3388" s="1832">
        <f>'Expenditures 15-22'!D217</f>
        <v>25324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15377</v>
      </c>
      <c r="C3390" s="2" t="s">
        <v>569</v>
      </c>
      <c r="D3390" s="2" t="str">
        <f t="shared" si="51"/>
        <v>Error?</v>
      </c>
    </row>
    <row r="3391" spans="1:4" x14ac:dyDescent="0.2">
      <c r="A3391" s="5">
        <v>3330</v>
      </c>
      <c r="B3391" s="1832">
        <f>'Expenditures 15-22'!K217</f>
        <v>25324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9600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31872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235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676</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62526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80485</v>
      </c>
      <c r="C3446" s="2" t="s">
        <v>569</v>
      </c>
      <c r="D3446" s="2" t="str">
        <f t="shared" si="52"/>
        <v>Error?</v>
      </c>
    </row>
    <row r="3447" spans="1:4" x14ac:dyDescent="0.2">
      <c r="A3447" s="5">
        <v>3386</v>
      </c>
      <c r="B3447" s="1832">
        <f>'Tax Sched 23'!D16</f>
        <v>80485</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50573</v>
      </c>
      <c r="C3449" s="2" t="s">
        <v>569</v>
      </c>
      <c r="D3449" s="2" t="str">
        <f t="shared" si="52"/>
        <v>Error?</v>
      </c>
    </row>
    <row r="3450" spans="1:4" x14ac:dyDescent="0.2">
      <c r="A3450" s="5">
        <v>3389</v>
      </c>
      <c r="B3450" s="1832">
        <f>'Tax Sched 23'!E16</f>
        <v>50573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879</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74049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74928</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74928</v>
      </c>
      <c r="D3567" s="2" t="str">
        <f t="shared" si="54"/>
        <v>Error?</v>
      </c>
    </row>
    <row r="3568" spans="1:4" x14ac:dyDescent="0.2">
      <c r="A3568" s="5">
        <v>3507</v>
      </c>
      <c r="B3568" s="1832">
        <f>'Assets-Liab 5-6'!K41</f>
        <v>74928</v>
      </c>
      <c r="C3568" s="2" t="s">
        <v>569</v>
      </c>
      <c r="D3568" s="2" t="str">
        <f t="shared" si="54"/>
        <v>Error?</v>
      </c>
    </row>
    <row r="3569" spans="1:4" x14ac:dyDescent="0.2">
      <c r="A3569" s="5">
        <v>3508</v>
      </c>
      <c r="B3569" s="1832">
        <f>'Acct Summary 7-8'!K4</f>
        <v>27829</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27829</v>
      </c>
      <c r="C3571" s="2" t="s">
        <v>569</v>
      </c>
      <c r="D3571" s="2" t="str">
        <f t="shared" si="54"/>
        <v>Error?</v>
      </c>
    </row>
    <row r="3572" spans="1:4" x14ac:dyDescent="0.2">
      <c r="A3572" s="5">
        <v>3511</v>
      </c>
      <c r="B3572" s="1832">
        <f>'Acct Summary 7-8'!K13</f>
        <v>81615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81615</v>
      </c>
      <c r="C3575" s="2" t="s">
        <v>569</v>
      </c>
      <c r="D3575" s="2" t="str">
        <f t="shared" si="54"/>
        <v>Error?</v>
      </c>
    </row>
    <row r="3576" spans="1:4" x14ac:dyDescent="0.2">
      <c r="A3576" s="5">
        <v>3515</v>
      </c>
      <c r="B3576" s="1832">
        <f>'Acct Summary 7-8'!K20</f>
        <v>-53786</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-53786</v>
      </c>
      <c r="C3588" s="2" t="s">
        <v>569</v>
      </c>
      <c r="D3588" s="2" t="str">
        <f t="shared" si="55"/>
        <v>Error?</v>
      </c>
    </row>
    <row r="3589" spans="1:4" x14ac:dyDescent="0.2">
      <c r="A3589" s="5">
        <v>3528</v>
      </c>
      <c r="B3589" s="1832">
        <f>'Acct Summary 7-8'!K79</f>
        <v>128714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74928</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5034</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5034</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5034</v>
      </c>
      <c r="C3635" s="2" t="s">
        <v>569</v>
      </c>
      <c r="D3635" s="2" t="str">
        <f t="shared" si="55"/>
        <v>Error?</v>
      </c>
    </row>
    <row r="3636" spans="1:4" x14ac:dyDescent="0.2">
      <c r="A3636" s="5">
        <v>3575</v>
      </c>
      <c r="B3636" s="1832">
        <f>'Expenditures 15-22'!E367</f>
        <v>5034</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76581</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76581</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76581</v>
      </c>
      <c r="C3649" s="2" t="s">
        <v>569</v>
      </c>
      <c r="D3649" s="2" t="str">
        <f t="shared" si="56"/>
        <v>Error?</v>
      </c>
    </row>
    <row r="3650" spans="1:4" x14ac:dyDescent="0.2">
      <c r="A3650" s="5">
        <v>3589</v>
      </c>
      <c r="B3650" s="1832">
        <f>'Expenditures 15-22'!G367</f>
        <v>76581</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81615</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81615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81615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81615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-53786</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27081</v>
      </c>
      <c r="C3725" s="2" t="s">
        <v>569</v>
      </c>
      <c r="D3725" s="2" t="str">
        <f t="shared" si="57"/>
        <v>Error?</v>
      </c>
    </row>
    <row r="3726" spans="1:4" x14ac:dyDescent="0.2">
      <c r="A3726" s="5">
        <v>3665</v>
      </c>
      <c r="B3726" s="1832">
        <f>'Tax Sched 23'!D13</f>
        <v>27081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28236</v>
      </c>
      <c r="C3728" s="2" t="s">
        <v>569</v>
      </c>
      <c r="D3728" s="2" t="str">
        <f t="shared" si="57"/>
        <v>Error?</v>
      </c>
    </row>
    <row r="3729" spans="1:4" x14ac:dyDescent="0.2">
      <c r="A3729" s="5">
        <v>3668</v>
      </c>
      <c r="B3729" s="1832">
        <f>'Tax Sched 23'!E13</f>
        <v>28236</v>
      </c>
      <c r="D3729" s="2" t="str">
        <f t="shared" si="57"/>
        <v>Error?</v>
      </c>
    </row>
    <row r="3730" spans="1:4" x14ac:dyDescent="0.2">
      <c r="A3730" s="5">
        <v>3669</v>
      </c>
      <c r="B3730" s="1832">
        <f>'ICR Computation 30'!E10</f>
        <v>93481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1384402</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4978651</v>
      </c>
      <c r="C4122" s="2" t="s">
        <v>569</v>
      </c>
      <c r="D4122" s="2" t="str">
        <f t="shared" si="63"/>
        <v>Error?</v>
      </c>
    </row>
    <row r="4123" spans="1:4" x14ac:dyDescent="0.2">
      <c r="A4123" s="5">
        <v>4062</v>
      </c>
      <c r="B4123" s="1832">
        <f>'Acct Summary 7-8'!D10</f>
        <v>681965</v>
      </c>
      <c r="C4123" s="2" t="s">
        <v>569</v>
      </c>
      <c r="D4123" s="2" t="str">
        <f t="shared" si="63"/>
        <v>Error?</v>
      </c>
    </row>
    <row r="4124" spans="1:4" x14ac:dyDescent="0.2">
      <c r="A4124" s="5">
        <v>4063</v>
      </c>
      <c r="B4124" s="1832">
        <f>'Acct Summary 7-8'!E10</f>
        <v>262707</v>
      </c>
      <c r="C4124" s="2" t="s">
        <v>569</v>
      </c>
      <c r="D4124" s="2" t="str">
        <f t="shared" si="63"/>
        <v>Error?</v>
      </c>
    </row>
    <row r="4125" spans="1:4" x14ac:dyDescent="0.2">
      <c r="A4125" s="5">
        <v>4064</v>
      </c>
      <c r="B4125" s="1832">
        <f>'Acct Summary 7-8'!F10</f>
        <v>310079</v>
      </c>
      <c r="C4125" s="2" t="s">
        <v>569</v>
      </c>
      <c r="D4125" s="2" t="str">
        <f t="shared" si="63"/>
        <v>Error?</v>
      </c>
    </row>
    <row r="4126" spans="1:4" x14ac:dyDescent="0.2">
      <c r="A4126" s="5">
        <v>4065</v>
      </c>
      <c r="B4126" s="1832">
        <f>'Acct Summary 7-8'!G10</f>
        <v>166646</v>
      </c>
      <c r="C4126" s="2" t="s">
        <v>569</v>
      </c>
      <c r="D4126" s="2" t="str">
        <f t="shared" si="63"/>
        <v>Error?</v>
      </c>
    </row>
    <row r="4127" spans="1:4" x14ac:dyDescent="0.2">
      <c r="A4127" s="5">
        <v>4066</v>
      </c>
      <c r="B4127" s="1832">
        <f>'Acct Summary 7-8'!H10</f>
        <v>80051</v>
      </c>
      <c r="C4127" s="2" t="s">
        <v>569</v>
      </c>
      <c r="D4127" s="2" t="str">
        <f t="shared" si="63"/>
        <v>Error?</v>
      </c>
    </row>
    <row r="4128" spans="1:4" x14ac:dyDescent="0.2">
      <c r="A4128" s="5">
        <v>4067</v>
      </c>
      <c r="B4128" s="1832">
        <f>'Acct Summary 7-8'!I10</f>
        <v>27795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27829</v>
      </c>
      <c r="C4130" s="2" t="s">
        <v>569</v>
      </c>
      <c r="D4130" s="2" t="str">
        <f t="shared" si="63"/>
        <v>Error?</v>
      </c>
    </row>
    <row r="4131" spans="1:4" x14ac:dyDescent="0.2">
      <c r="A4131" s="5">
        <v>4070</v>
      </c>
      <c r="B4131" s="1832">
        <f>'Acct Summary 7-8'!C18</f>
        <v>1384402</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4854904</v>
      </c>
      <c r="C4136" s="2" t="s">
        <v>569</v>
      </c>
      <c r="D4136" s="2" t="str">
        <f t="shared" si="63"/>
        <v>Error?</v>
      </c>
    </row>
    <row r="4137" spans="1:4" x14ac:dyDescent="0.2">
      <c r="A4137" s="5">
        <v>4076</v>
      </c>
      <c r="B4137" s="1832">
        <f>'Acct Summary 7-8'!D19</f>
        <v>579951</v>
      </c>
      <c r="C4137" s="2" t="s">
        <v>569</v>
      </c>
      <c r="D4137" s="2" t="str">
        <f t="shared" si="63"/>
        <v>Error?</v>
      </c>
    </row>
    <row r="4138" spans="1:4" x14ac:dyDescent="0.2">
      <c r="A4138" s="5">
        <v>4077</v>
      </c>
      <c r="B4138" s="1832">
        <f>'Acct Summary 7-8'!E19</f>
        <v>262415</v>
      </c>
      <c r="C4138" s="2" t="s">
        <v>569</v>
      </c>
      <c r="D4138" s="2" t="str">
        <f t="shared" si="63"/>
        <v>Error?</v>
      </c>
    </row>
    <row r="4139" spans="1:4" x14ac:dyDescent="0.2">
      <c r="A4139" s="5">
        <v>4078</v>
      </c>
      <c r="B4139" s="1832">
        <f>'Acct Summary 7-8'!F19</f>
        <v>359435</v>
      </c>
      <c r="C4139" s="2" t="s">
        <v>569</v>
      </c>
      <c r="D4139" s="2" t="str">
        <f t="shared" si="63"/>
        <v>Error?</v>
      </c>
    </row>
    <row r="4140" spans="1:4" x14ac:dyDescent="0.2">
      <c r="A4140" s="5">
        <v>4079</v>
      </c>
      <c r="B4140" s="1832">
        <f>'Acct Summary 7-8'!G19</f>
        <v>156493</v>
      </c>
      <c r="C4140" s="2" t="s">
        <v>569</v>
      </c>
      <c r="D4140" s="2" t="str">
        <f t="shared" si="63"/>
        <v>Error?</v>
      </c>
    </row>
    <row r="4141" spans="1:4" x14ac:dyDescent="0.2">
      <c r="A4141" s="5">
        <v>4080</v>
      </c>
      <c r="B4141" s="1832">
        <f>'Acct Summary 7-8'!H19</f>
        <v>57120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81615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1165000</v>
      </c>
      <c r="C4171" s="2" t="s">
        <v>569</v>
      </c>
      <c r="D4171" s="2" t="str">
        <f t="shared" si="64"/>
        <v>Error?</v>
      </c>
    </row>
    <row r="4172" spans="1:4" x14ac:dyDescent="0.2">
      <c r="A4172" s="5">
        <v>4111</v>
      </c>
      <c r="B4172" s="1832">
        <f>'Short-Term Long-Term Debt 24'!J49</f>
        <v>1159024</v>
      </c>
      <c r="C4172" s="2" t="s">
        <v>569</v>
      </c>
      <c r="D4172" s="2" t="str">
        <f t="shared" si="64"/>
        <v>Error?</v>
      </c>
    </row>
    <row r="4173" spans="1:4" x14ac:dyDescent="0.2">
      <c r="A4173" s="5">
        <v>4112</v>
      </c>
      <c r="B4173" s="1832">
        <f>'Short-Term Long-Term Debt 24'!H49</f>
        <v>140000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5254</v>
      </c>
      <c r="D4201" s="2" t="str">
        <f t="shared" si="64"/>
        <v>Error?</v>
      </c>
    </row>
    <row r="4202" spans="1:4" x14ac:dyDescent="0.2">
      <c r="A4202" s="5">
        <v>4141</v>
      </c>
      <c r="B4202" s="1832">
        <f>'Expenditures 15-22'!E137</f>
        <v>5254</v>
      </c>
      <c r="C4202" s="2" t="s">
        <v>569</v>
      </c>
      <c r="D4202" s="2" t="str">
        <f t="shared" si="64"/>
        <v>Error?</v>
      </c>
    </row>
    <row r="4203" spans="1:4" x14ac:dyDescent="0.2">
      <c r="A4203" s="5">
        <v>4142</v>
      </c>
      <c r="B4203" s="1832">
        <f>'Expenditures 15-22'!E139</f>
        <v>5254</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3300</v>
      </c>
      <c r="C4265" s="2" t="s">
        <v>569</v>
      </c>
      <c r="D4265" s="2" t="str">
        <f t="shared" si="65"/>
        <v>Error?</v>
      </c>
      <c r="E4265" s="125"/>
    </row>
    <row r="4266" spans="1:5" x14ac:dyDescent="0.2">
      <c r="A4266" s="12">
        <v>4205</v>
      </c>
      <c r="B4266" s="1832">
        <f>('FP Info 3'!F10)*100000</f>
        <v>575</v>
      </c>
      <c r="C4266" s="2" t="s">
        <v>569</v>
      </c>
      <c r="D4266" s="2" t="str">
        <f t="shared" si="65"/>
        <v>Error?</v>
      </c>
      <c r="E4266" s="125"/>
    </row>
    <row r="4267" spans="1:5" x14ac:dyDescent="0.2">
      <c r="A4267" s="12">
        <v>4206</v>
      </c>
      <c r="B4267" s="1832">
        <f>('FP Info 3'!H10)*100000</f>
        <v>200</v>
      </c>
      <c r="C4267" s="2" t="s">
        <v>569</v>
      </c>
      <c r="D4267" s="2" t="str">
        <f t="shared" si="65"/>
        <v>Error?</v>
      </c>
      <c r="E4267" s="125"/>
    </row>
    <row r="4268" spans="1:5" x14ac:dyDescent="0.2">
      <c r="A4268" s="12">
        <v>4207</v>
      </c>
      <c r="B4268" s="1832">
        <f>('FP Info 3'!J10)*100000</f>
        <v>4075</v>
      </c>
      <c r="C4268" s="2" t="s">
        <v>569</v>
      </c>
      <c r="D4268" s="2" t="str">
        <f t="shared" si="65"/>
        <v>Error?</v>
      </c>
    </row>
    <row r="4269" spans="1:5" x14ac:dyDescent="0.2">
      <c r="A4269" s="12">
        <v>4208</v>
      </c>
      <c r="B4269" s="1832">
        <f>'FP Info 3'!J16</f>
        <v>3060399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151759</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506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583</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4259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10473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12638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6242</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50000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56472322</v>
      </c>
      <c r="D4995" s="2" t="str">
        <f t="shared" si="77"/>
        <v>Error?</v>
      </c>
    </row>
    <row r="4996" spans="1:4" x14ac:dyDescent="0.2">
      <c r="A4996" s="12">
        <v>4935</v>
      </c>
      <c r="B4996" s="1832">
        <f>'FP Info 3'!H31</f>
        <v>7793180.4360000007</v>
      </c>
      <c r="D4996" s="2" t="str">
        <f t="shared" si="77"/>
        <v>Error?</v>
      </c>
    </row>
    <row r="4997" spans="1:4" x14ac:dyDescent="0.2">
      <c r="A4997" s="12">
        <v>4936</v>
      </c>
      <c r="B4997" s="1832">
        <f>'FP Info 3'!H37</f>
        <v>1165000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150000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150000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27081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1787346</v>
      </c>
      <c r="D5061" s="2" t="str">
        <f t="shared" si="78"/>
        <v>Error?</v>
      </c>
    </row>
    <row r="5062" spans="1:4" x14ac:dyDescent="0.2">
      <c r="A5062" s="10">
        <v>5001</v>
      </c>
      <c r="B5062" s="1832"/>
      <c r="D5062" s="2" t="str">
        <f t="shared" si="78"/>
        <v>OK</v>
      </c>
    </row>
    <row r="5063" spans="1:4" x14ac:dyDescent="0.2">
      <c r="A5063" s="5">
        <v>5002</v>
      </c>
      <c r="B5063" s="1832">
        <f>'Revenues 9-14'!C7</f>
        <v>21665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1836092</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929</v>
      </c>
      <c r="D5070" s="2" t="str">
        <f t="shared" si="78"/>
        <v>Error?</v>
      </c>
    </row>
    <row r="5071" spans="1:4" x14ac:dyDescent="0.2">
      <c r="A5071" s="5">
        <v>5010</v>
      </c>
      <c r="B5071" s="1832">
        <f>'Revenues 9-14'!C18</f>
        <v>929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25101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25101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4271</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955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41613</v>
      </c>
      <c r="C5096" s="2" t="s">
        <v>569</v>
      </c>
      <c r="D5096" s="2" t="str">
        <f t="shared" si="78"/>
        <v>Error?</v>
      </c>
    </row>
    <row r="5097" spans="1:4" x14ac:dyDescent="0.2">
      <c r="A5097" s="5">
        <v>5036</v>
      </c>
      <c r="B5097" s="1832">
        <f>'Revenues 9-14'!C77</f>
        <v>7901</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7901</v>
      </c>
      <c r="C5102" s="2" t="s">
        <v>569</v>
      </c>
      <c r="D5102" s="2" t="str">
        <f t="shared" si="78"/>
        <v>Error?</v>
      </c>
    </row>
    <row r="5103" spans="1:4" x14ac:dyDescent="0.2">
      <c r="A5103" s="5">
        <v>5042</v>
      </c>
      <c r="B5103" s="1832">
        <f>'Revenues 9-14'!C84</f>
        <v>10805</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10805</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8522</v>
      </c>
      <c r="D5114" s="2" t="str">
        <f t="shared" si="78"/>
        <v>Error?</v>
      </c>
    </row>
    <row r="5115" spans="1:4" x14ac:dyDescent="0.2">
      <c r="A5115" s="5">
        <v>5054</v>
      </c>
      <c r="B5115" s="1832">
        <f>'Revenues 9-14'!C98</f>
        <v>16964</v>
      </c>
      <c r="D5115" s="2" t="str">
        <f t="shared" si="78"/>
        <v>Error?</v>
      </c>
    </row>
    <row r="5116" spans="1:4" x14ac:dyDescent="0.2">
      <c r="A5116" s="5">
        <v>5055</v>
      </c>
      <c r="B5116" s="1832">
        <f>'Revenues 9-14'!C99</f>
        <v>5775</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106055</v>
      </c>
      <c r="D5119" s="2" t="str">
        <f t="shared" ref="D5119:D5182" si="79">IF(ISBLANK(B5119),"OK",IF(A5119-B5119=0,"OK","Error?"))</f>
        <v>Error?</v>
      </c>
    </row>
    <row r="5120" spans="1:4" x14ac:dyDescent="0.2">
      <c r="A5120" s="5">
        <v>5059</v>
      </c>
      <c r="B5120" s="1832">
        <f>'Revenues 9-14'!C108</f>
        <v>137316</v>
      </c>
      <c r="C5120" s="2" t="s">
        <v>569</v>
      </c>
      <c r="D5120" s="2" t="str">
        <f t="shared" si="79"/>
        <v>Error?</v>
      </c>
    </row>
    <row r="5121" spans="1:4" x14ac:dyDescent="0.2">
      <c r="A5121" s="5">
        <v>5060</v>
      </c>
      <c r="B5121" s="1832">
        <f>'Revenues 9-14'!C109</f>
        <v>2059757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978036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978036</v>
      </c>
      <c r="C5132" s="2" t="s">
        <v>569</v>
      </c>
      <c r="D5132" s="2" t="str">
        <f t="shared" si="79"/>
        <v>Error?</v>
      </c>
    </row>
    <row r="5133" spans="1:4" x14ac:dyDescent="0.2">
      <c r="A5133" s="5">
        <v>5072</v>
      </c>
      <c r="B5133" s="1832">
        <f>'Revenues 9-14'!C125</f>
        <v>53999</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10291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64290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3674</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3674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937</v>
      </c>
      <c r="D5167" s="2" t="str">
        <f t="shared" si="79"/>
        <v>Error?</v>
      </c>
    </row>
    <row r="5168" spans="1:4" x14ac:dyDescent="0.2">
      <c r="A5168" s="5">
        <v>5107</v>
      </c>
      <c r="B5168" s="1832">
        <f>'Revenues 9-14'!C148</f>
        <v>3222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78365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1056401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58643</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10679</v>
      </c>
      <c r="D5241" s="2" t="str">
        <f t="shared" si="80"/>
        <v>Error?</v>
      </c>
    </row>
    <row r="5242" spans="1:4" x14ac:dyDescent="0.2">
      <c r="A5242" s="5">
        <v>5181</v>
      </c>
      <c r="B5242" s="1832">
        <f>'Revenues 9-14'!C194</f>
        <v>46430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115752</v>
      </c>
      <c r="C5246" s="2" t="s">
        <v>569</v>
      </c>
      <c r="D5246" s="2" t="str">
        <f t="shared" si="80"/>
        <v>Error?</v>
      </c>
    </row>
    <row r="5247" spans="1:4" x14ac:dyDescent="0.2">
      <c r="A5247" s="5">
        <v>5186</v>
      </c>
      <c r="B5247" s="1832">
        <f>'Revenues 9-14'!C200</f>
        <v>74965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10473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226724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10959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96780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107739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478091</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478091</v>
      </c>
      <c r="C5326" s="2" t="s">
        <v>569</v>
      </c>
      <c r="D5326" s="2" t="str">
        <f t="shared" si="82"/>
        <v>Error?</v>
      </c>
    </row>
    <row r="5327" spans="1:5" x14ac:dyDescent="0.2">
      <c r="A5327" s="5">
        <v>5266</v>
      </c>
      <c r="B5327" s="1832">
        <f>'Revenues 9-14'!C268</f>
        <v>3594249</v>
      </c>
      <c r="C5327" s="2" t="s">
        <v>569</v>
      </c>
      <c r="D5327" s="2" t="str">
        <f t="shared" si="82"/>
        <v>Error?</v>
      </c>
    </row>
    <row r="5328" spans="1:5" x14ac:dyDescent="0.2">
      <c r="A5328" s="5">
        <v>5267</v>
      </c>
      <c r="B5328" s="1832">
        <f>'Revenues 9-14'!D5</f>
        <v>311432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311432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77168</v>
      </c>
      <c r="D5337" s="2" t="str">
        <f t="shared" si="82"/>
        <v>Error?</v>
      </c>
    </row>
    <row r="5338" spans="1:4" x14ac:dyDescent="0.2">
      <c r="A5338" s="5">
        <v>5277</v>
      </c>
      <c r="B5338" s="1832">
        <f>'Revenues 9-14'!D17</f>
        <v>158</v>
      </c>
      <c r="D5338" s="2" t="str">
        <f t="shared" si="82"/>
        <v>Error?</v>
      </c>
    </row>
    <row r="5339" spans="1:4" x14ac:dyDescent="0.2">
      <c r="A5339" s="5">
        <v>5278</v>
      </c>
      <c r="B5339" s="1832">
        <f>'Revenues 9-14'!D18</f>
        <v>77326</v>
      </c>
      <c r="C5339" s="2" t="s">
        <v>569</v>
      </c>
      <c r="D5339" s="2" t="str">
        <f t="shared" si="82"/>
        <v>Error?</v>
      </c>
    </row>
    <row r="5340" spans="1:4" x14ac:dyDescent="0.2">
      <c r="A5340" s="5">
        <v>5279</v>
      </c>
      <c r="B5340" s="1832">
        <f>'Revenues 9-14'!D65</f>
        <v>3350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3350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239857</v>
      </c>
      <c r="D5354" s="2" t="str">
        <f t="shared" si="82"/>
        <v>Error?</v>
      </c>
    </row>
    <row r="5355" spans="1:4" x14ac:dyDescent="0.2">
      <c r="A5355" s="5">
        <v>5294</v>
      </c>
      <c r="B5355" s="1832">
        <f>'Revenues 9-14'!D108</f>
        <v>239857</v>
      </c>
      <c r="C5355" s="2" t="s">
        <v>569</v>
      </c>
      <c r="D5355" s="2" t="str">
        <f t="shared" si="82"/>
        <v>Error?</v>
      </c>
    </row>
    <row r="5356" spans="1:4" x14ac:dyDescent="0.2">
      <c r="A5356" s="5">
        <v>5295</v>
      </c>
      <c r="B5356" s="1832">
        <f>'Revenues 9-14'!D109</f>
        <v>631965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681965</v>
      </c>
      <c r="C5508" s="2" t="s">
        <v>569</v>
      </c>
      <c r="D5508" s="2" t="str">
        <f t="shared" si="85"/>
        <v>Error?</v>
      </c>
    </row>
    <row r="5509" spans="1:4" x14ac:dyDescent="0.2">
      <c r="A5509" s="5">
        <v>5448</v>
      </c>
      <c r="B5509" s="1832">
        <f>'Revenues 9-14'!E5</f>
        <v>261541</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261541</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133</v>
      </c>
      <c r="D5517" s="2" t="str">
        <f t="shared" si="85"/>
        <v>Error?</v>
      </c>
    </row>
    <row r="5518" spans="1:4" x14ac:dyDescent="0.2">
      <c r="A5518" s="5">
        <v>5457</v>
      </c>
      <c r="B5518" s="1832">
        <f>'Revenues 9-14'!E18</f>
        <v>133</v>
      </c>
      <c r="C5518" s="2" t="s">
        <v>569</v>
      </c>
      <c r="D5518" s="2" t="str">
        <f t="shared" si="85"/>
        <v>Error?</v>
      </c>
    </row>
    <row r="5519" spans="1:4" x14ac:dyDescent="0.2">
      <c r="A5519" s="5">
        <v>5458</v>
      </c>
      <c r="B5519" s="1832">
        <f>'Revenues 9-14'!E65</f>
        <v>1033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1033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262707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262707</v>
      </c>
      <c r="C5552" s="2" t="s">
        <v>569</v>
      </c>
      <c r="D5552" s="2" t="str">
        <f t="shared" si="85"/>
        <v>Error?</v>
      </c>
    </row>
    <row r="5553" spans="1:4" x14ac:dyDescent="0.2">
      <c r="A5553" s="5">
        <v>5492</v>
      </c>
      <c r="B5553" s="1832">
        <f>'Revenues 9-14'!F5</f>
        <v>108325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108325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55</v>
      </c>
      <c r="D5561" s="2" t="str">
        <f t="shared" si="85"/>
        <v>Error?</v>
      </c>
    </row>
    <row r="5562" spans="1:4" x14ac:dyDescent="0.2">
      <c r="A5562" s="5">
        <v>5501</v>
      </c>
      <c r="B5562" s="1832">
        <f>'Revenues 9-14'!F18</f>
        <v>55</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2881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2881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111261</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65493</v>
      </c>
      <c r="D5615" s="2" t="str">
        <f t="shared" si="86"/>
        <v>Error?</v>
      </c>
    </row>
    <row r="5616" spans="1:4" x14ac:dyDescent="0.2">
      <c r="A5616" s="10">
        <v>5555</v>
      </c>
      <c r="B5616" s="1832"/>
      <c r="D5616" s="2" t="str">
        <f t="shared" si="86"/>
        <v>OK</v>
      </c>
    </row>
    <row r="5617" spans="1:5" x14ac:dyDescent="0.2">
      <c r="A5617" s="5">
        <v>5556</v>
      </c>
      <c r="B5617" s="1832">
        <f>'Revenues 9-14'!F153</f>
        <v>132742</v>
      </c>
      <c r="D5617" s="2" t="str">
        <f t="shared" si="86"/>
        <v>Error?</v>
      </c>
    </row>
    <row r="5618" spans="1:5" x14ac:dyDescent="0.2">
      <c r="A5618" s="5">
        <v>5557</v>
      </c>
      <c r="B5618" s="1832">
        <f>'Revenues 9-14'!F155</f>
        <v>198235</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198235</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198235</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583</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583</v>
      </c>
      <c r="C5719" s="2" t="s">
        <v>569</v>
      </c>
      <c r="D5719" s="2" t="str">
        <f t="shared" si="88"/>
        <v>Error?</v>
      </c>
    </row>
    <row r="5720" spans="1:4" x14ac:dyDescent="0.2">
      <c r="A5720" s="5">
        <v>5659</v>
      </c>
      <c r="B5720" s="1832">
        <f>'Revenues 9-14'!F268</f>
        <v>310079</v>
      </c>
      <c r="C5720" s="2" t="s">
        <v>569</v>
      </c>
      <c r="D5720" s="2" t="str">
        <f t="shared" si="88"/>
        <v>Error?</v>
      </c>
    </row>
    <row r="5721" spans="1:4" x14ac:dyDescent="0.2">
      <c r="A5721" s="5">
        <v>5660</v>
      </c>
      <c r="B5721" s="1832">
        <f>'Revenues 9-14'!G5</f>
        <v>80485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80485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160970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3713</v>
      </c>
      <c r="D5728" s="2" t="str">
        <f t="shared" si="88"/>
        <v>Error?</v>
      </c>
    </row>
    <row r="5729" spans="1:4" x14ac:dyDescent="0.2">
      <c r="A5729" s="5">
        <v>5668</v>
      </c>
      <c r="B5729" s="1832">
        <f>'Revenues 9-14'!G17</f>
        <v>82</v>
      </c>
      <c r="D5729" s="2" t="str">
        <f t="shared" si="88"/>
        <v>Error?</v>
      </c>
    </row>
    <row r="5730" spans="1:4" x14ac:dyDescent="0.2">
      <c r="A5730" s="5">
        <v>5669</v>
      </c>
      <c r="B5730" s="1832">
        <f>'Revenues 9-14'!G18</f>
        <v>3795</v>
      </c>
      <c r="C5730" s="2" t="s">
        <v>569</v>
      </c>
      <c r="D5730" s="2" t="str">
        <f t="shared" si="88"/>
        <v>Error?</v>
      </c>
    </row>
    <row r="5731" spans="1:4" x14ac:dyDescent="0.2">
      <c r="A5731" s="5">
        <v>5670</v>
      </c>
      <c r="B5731" s="1832">
        <f>'Revenues 9-14'!G65</f>
        <v>1881</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1881</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166646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298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298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79753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80051</v>
      </c>
      <c r="C5915" s="2" t="s">
        <v>569</v>
      </c>
      <c r="D5915" s="2" t="str">
        <f t="shared" si="91"/>
        <v>Error?</v>
      </c>
    </row>
    <row r="5916" spans="1:4" x14ac:dyDescent="0.2">
      <c r="A5916" s="5">
        <v>5855</v>
      </c>
      <c r="B5916" s="1832">
        <f>'Revenues 9-14'!I5</f>
        <v>27081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27081</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14</v>
      </c>
      <c r="D5922" s="2" t="str">
        <f t="shared" si="91"/>
        <v>Error?</v>
      </c>
    </row>
    <row r="5923" spans="1:4" x14ac:dyDescent="0.2">
      <c r="A5923" s="5">
        <v>5862</v>
      </c>
      <c r="B5923" s="1832">
        <f>'Revenues 9-14'!I18</f>
        <v>14</v>
      </c>
      <c r="C5923" s="2" t="s">
        <v>569</v>
      </c>
      <c r="D5923" s="2" t="str">
        <f t="shared" si="91"/>
        <v>Error?</v>
      </c>
    </row>
    <row r="5924" spans="1:4" x14ac:dyDescent="0.2">
      <c r="A5924" s="5">
        <v>5863</v>
      </c>
      <c r="B5924" s="1832">
        <f>'Revenues 9-14'!I65</f>
        <v>700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700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27795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27081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27081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14</v>
      </c>
      <c r="D5991" s="2" t="str">
        <f t="shared" si="92"/>
        <v>Error?</v>
      </c>
    </row>
    <row r="5992" spans="1:4" x14ac:dyDescent="0.2">
      <c r="A5992" s="5">
        <v>5931</v>
      </c>
      <c r="B5992" s="1832">
        <f>'Revenues 9-14'!K18</f>
        <v>14</v>
      </c>
      <c r="C5992" s="2" t="s">
        <v>569</v>
      </c>
      <c r="D5992" s="2" t="str">
        <f t="shared" si="92"/>
        <v>Error?</v>
      </c>
    </row>
    <row r="5993" spans="1:4" x14ac:dyDescent="0.2">
      <c r="A5993" s="5">
        <v>5932</v>
      </c>
      <c r="B5993" s="1832">
        <f>'Revenues 9-14'!K65</f>
        <v>734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734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27829</v>
      </c>
      <c r="C6023" s="2" t="s">
        <v>569</v>
      </c>
      <c r="D6023" s="2" t="str">
        <f t="shared" si="93"/>
        <v>Error?</v>
      </c>
    </row>
    <row r="6024" spans="1:5" x14ac:dyDescent="0.2">
      <c r="A6024" s="5">
        <v>5963</v>
      </c>
      <c r="B6024" s="1832">
        <f>'Revenues 9-14'!G109</f>
        <v>166646</v>
      </c>
      <c r="C6024" s="2" t="s">
        <v>569</v>
      </c>
      <c r="D6024" s="2" t="str">
        <f t="shared" si="93"/>
        <v>Error?</v>
      </c>
    </row>
    <row r="6025" spans="1:5" x14ac:dyDescent="0.2">
      <c r="A6025" s="5">
        <v>5964</v>
      </c>
      <c r="B6025" s="1832">
        <f>'Revenues 9-14'!H109</f>
        <v>80051</v>
      </c>
      <c r="C6025" s="2" t="s">
        <v>569</v>
      </c>
      <c r="D6025" s="2" t="str">
        <f t="shared" si="93"/>
        <v>Error?</v>
      </c>
    </row>
    <row r="6026" spans="1:5" x14ac:dyDescent="0.2">
      <c r="A6026" s="5">
        <v>5965</v>
      </c>
      <c r="B6026" s="1832">
        <f>'Revenues 9-14'!I109</f>
        <v>27795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27829</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36387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12056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305.7</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59239</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59239</v>
      </c>
      <c r="D6215" s="2" t="str">
        <f t="shared" si="96"/>
        <v>Error?</v>
      </c>
      <c r="E6215" s="2" t="s">
        <v>189</v>
      </c>
    </row>
    <row r="6216" spans="1:5" x14ac:dyDescent="0.2">
      <c r="A6216">
        <v>6155</v>
      </c>
      <c r="B6216" s="1832">
        <f>'Assets-Liab 5-6'!J41</f>
        <v>59239</v>
      </c>
      <c r="D6216" s="2" t="str">
        <f t="shared" si="96"/>
        <v>Error?</v>
      </c>
      <c r="E6216" s="2" t="s">
        <v>189</v>
      </c>
    </row>
    <row r="6217" spans="1:5" x14ac:dyDescent="0.2">
      <c r="A6217">
        <v>6156</v>
      </c>
      <c r="B6217" s="1832">
        <f>'Assets-Liab 5-6'!J4</f>
        <v>1300</v>
      </c>
      <c r="D6217" s="2" t="str">
        <f t="shared" si="96"/>
        <v>Error?</v>
      </c>
      <c r="E6217" s="2" t="s">
        <v>189</v>
      </c>
    </row>
    <row r="6218" spans="1:5" x14ac:dyDescent="0.2">
      <c r="A6218">
        <v>6157</v>
      </c>
      <c r="B6218" s="1832">
        <f>'Assets-Liab 5-6'!J5</f>
        <v>57939</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211122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211122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211122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207754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207754</v>
      </c>
      <c r="D6229" s="2" t="str">
        <f t="shared" si="96"/>
        <v>Error?</v>
      </c>
      <c r="E6229" s="2" t="s">
        <v>189</v>
      </c>
    </row>
    <row r="6230" spans="1:5" x14ac:dyDescent="0.2">
      <c r="A6230">
        <v>6169</v>
      </c>
      <c r="B6230" s="1832">
        <f>'Acct Summary 7-8'!J20</f>
        <v>3368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100000</v>
      </c>
      <c r="D6260" s="2" t="str">
        <f t="shared" si="96"/>
        <v>Error?</v>
      </c>
      <c r="E6260" s="2" t="s">
        <v>189</v>
      </c>
    </row>
    <row r="6261" spans="1:5" x14ac:dyDescent="0.2">
      <c r="A6261">
        <v>6200</v>
      </c>
      <c r="B6261" s="1832">
        <f>'Acct Summary 7-8'!J76</f>
        <v>100000</v>
      </c>
      <c r="D6261" s="2" t="str">
        <f t="shared" si="96"/>
        <v>Error?</v>
      </c>
      <c r="E6261" s="2" t="s">
        <v>189</v>
      </c>
    </row>
    <row r="6262" spans="1:5" x14ac:dyDescent="0.2">
      <c r="A6262">
        <v>6201</v>
      </c>
      <c r="B6262" s="1832">
        <f>'Acct Summary 7-8'!J77</f>
        <v>-100000</v>
      </c>
      <c r="D6262" s="2" t="str">
        <f t="shared" si="96"/>
        <v>Error?</v>
      </c>
      <c r="E6262" s="2" t="s">
        <v>189</v>
      </c>
    </row>
    <row r="6263" spans="1:5" x14ac:dyDescent="0.2">
      <c r="A6263">
        <v>6202</v>
      </c>
      <c r="B6263" s="1832">
        <f>'Acct Summary 7-8'!J78</f>
        <v>-96632</v>
      </c>
      <c r="D6263" s="2" t="str">
        <f t="shared" si="96"/>
        <v>Error?</v>
      </c>
      <c r="E6263" s="2" t="s">
        <v>189</v>
      </c>
    </row>
    <row r="6264" spans="1:5" x14ac:dyDescent="0.2">
      <c r="A6264">
        <v>6203</v>
      </c>
      <c r="B6264" s="1832">
        <f>'Acct Summary 7-8'!J79</f>
        <v>155871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59239</v>
      </c>
      <c r="D6266" s="2" t="str">
        <f t="shared" si="96"/>
        <v>Error?</v>
      </c>
      <c r="E6266" s="2" t="s">
        <v>189</v>
      </c>
    </row>
    <row r="6267" spans="1:5" x14ac:dyDescent="0.2">
      <c r="A6267">
        <v>6206</v>
      </c>
      <c r="B6267" s="1832">
        <f>'Acct Summary 7-8'!C82</f>
        <v>273747</v>
      </c>
      <c r="D6267" s="2" t="str">
        <f t="shared" si="96"/>
        <v>Error?</v>
      </c>
      <c r="E6267" s="2" t="s">
        <v>189</v>
      </c>
    </row>
    <row r="6268" spans="1:5" x14ac:dyDescent="0.2">
      <c r="A6268">
        <v>6207</v>
      </c>
      <c r="B6268" s="1832">
        <f>'Acct Summary 7-8'!D82</f>
        <v>52014</v>
      </c>
      <c r="D6268" s="2" t="str">
        <f t="shared" si="96"/>
        <v>Error?</v>
      </c>
      <c r="E6268" s="2" t="s">
        <v>189</v>
      </c>
    </row>
    <row r="6269" spans="1:5" x14ac:dyDescent="0.2">
      <c r="A6269">
        <v>6208</v>
      </c>
      <c r="B6269" s="1832">
        <f>'Acct Summary 7-8'!E82</f>
        <v>292</v>
      </c>
      <c r="D6269" s="2" t="str">
        <f t="shared" si="96"/>
        <v>Error?</v>
      </c>
      <c r="E6269" s="2" t="s">
        <v>189</v>
      </c>
    </row>
    <row r="6270" spans="1:5" x14ac:dyDescent="0.2">
      <c r="A6270">
        <v>6209</v>
      </c>
      <c r="B6270" s="1832">
        <f>'Acct Summary 7-8'!F82</f>
        <v>-49356</v>
      </c>
      <c r="D6270" s="2" t="str">
        <f t="shared" si="96"/>
        <v>Error?</v>
      </c>
      <c r="E6270" s="2" t="s">
        <v>189</v>
      </c>
    </row>
    <row r="6271" spans="1:5" x14ac:dyDescent="0.2">
      <c r="A6271">
        <v>6210</v>
      </c>
      <c r="B6271" s="1832">
        <f>'Acct Summary 7-8'!G82</f>
        <v>10153</v>
      </c>
      <c r="D6271" s="2" t="str">
        <f t="shared" ref="D6271:D6334" si="97">IF(ISBLANK(B6271),"OK",IF(A6271-B6271=0,"OK","Error?"))</f>
        <v>Error?</v>
      </c>
      <c r="E6271" s="2" t="s">
        <v>189</v>
      </c>
    </row>
    <row r="6272" spans="1:5" x14ac:dyDescent="0.2">
      <c r="A6272">
        <v>6211</v>
      </c>
      <c r="B6272" s="1832">
        <f>'Acct Summary 7-8'!H82</f>
        <v>22931</v>
      </c>
      <c r="D6272" s="2" t="str">
        <f t="shared" si="97"/>
        <v>Error?</v>
      </c>
      <c r="E6272" s="2" t="s">
        <v>189</v>
      </c>
    </row>
    <row r="6273" spans="1:5" x14ac:dyDescent="0.2">
      <c r="A6273">
        <v>6212</v>
      </c>
      <c r="B6273" s="1832">
        <f>'Acct Summary 7-8'!I82</f>
        <v>27795</v>
      </c>
      <c r="D6273" s="2" t="str">
        <f t="shared" si="97"/>
        <v>Error?</v>
      </c>
      <c r="E6273" s="2" t="s">
        <v>189</v>
      </c>
    </row>
    <row r="6274" spans="1:5" x14ac:dyDescent="0.2">
      <c r="A6274">
        <v>6213</v>
      </c>
      <c r="B6274" s="1832">
        <f>'Acct Summary 7-8'!J82</f>
        <v>-96632</v>
      </c>
      <c r="D6274" s="2" t="str">
        <f t="shared" si="97"/>
        <v>Error?</v>
      </c>
      <c r="E6274" s="2" t="s">
        <v>189</v>
      </c>
    </row>
    <row r="6275" spans="1:5" x14ac:dyDescent="0.2">
      <c r="A6275">
        <v>6214</v>
      </c>
      <c r="B6275" s="1832">
        <f>'Acct Summary 7-8'!K82</f>
        <v>-53786</v>
      </c>
      <c r="D6275" s="2" t="str">
        <f t="shared" si="97"/>
        <v>Error?</v>
      </c>
      <c r="E6275" s="2" t="s">
        <v>189</v>
      </c>
    </row>
    <row r="6276" spans="1:5" x14ac:dyDescent="0.2">
      <c r="A6276">
        <v>6215</v>
      </c>
      <c r="B6276" s="1832">
        <f>'Acct Summary 7-8'!C83</f>
        <v>0.11619256045368864</v>
      </c>
      <c r="D6276" s="2" t="str">
        <f t="shared" si="97"/>
        <v>Error?</v>
      </c>
      <c r="E6276" s="2" t="s">
        <v>189</v>
      </c>
    </row>
    <row r="6277" spans="1:5" x14ac:dyDescent="0.2">
      <c r="A6277">
        <v>6216</v>
      </c>
      <c r="B6277" s="1832">
        <f>'Acct Summary 7-8'!D83</f>
        <v>0.17276266142318117</v>
      </c>
      <c r="D6277" s="2" t="str">
        <f t="shared" si="97"/>
        <v>Error?</v>
      </c>
      <c r="E6277" s="2" t="s">
        <v>189</v>
      </c>
    </row>
    <row r="6278" spans="1:5" x14ac:dyDescent="0.2">
      <c r="A6278">
        <v>6217</v>
      </c>
      <c r="B6278" s="1832">
        <f>'Acct Summary 7-8'!E83</f>
        <v>4.8862115127175365E-2</v>
      </c>
      <c r="D6278" s="2" t="str">
        <f t="shared" si="97"/>
        <v>Error?</v>
      </c>
      <c r="E6278" s="2" t="s">
        <v>189</v>
      </c>
    </row>
    <row r="6279" spans="1:5" x14ac:dyDescent="0.2">
      <c r="A6279">
        <v>6218</v>
      </c>
      <c r="B6279" s="1832">
        <f>'Acct Summary 7-8'!F83</f>
        <v>-0.15530033667914792</v>
      </c>
      <c r="D6279" s="2" t="str">
        <f t="shared" si="97"/>
        <v>Error?</v>
      </c>
      <c r="E6279" s="2" t="s">
        <v>189</v>
      </c>
    </row>
    <row r="6280" spans="1:5" x14ac:dyDescent="0.2">
      <c r="A6280">
        <v>6219</v>
      </c>
      <c r="B6280" s="1832">
        <f>'Acct Summary 7-8'!G83</f>
        <v>6.8288516122089346E-2</v>
      </c>
      <c r="D6280" s="2" t="str">
        <f t="shared" si="97"/>
        <v>Error?</v>
      </c>
      <c r="E6280" s="2" t="s">
        <v>189</v>
      </c>
    </row>
    <row r="6281" spans="1:5" x14ac:dyDescent="0.2">
      <c r="A6281">
        <v>6220</v>
      </c>
      <c r="B6281" s="1832">
        <f>'Acct Summary 7-8'!H83</f>
        <v>0.35472194291901926</v>
      </c>
      <c r="D6281" s="2" t="str">
        <f t="shared" si="97"/>
        <v>Error?</v>
      </c>
      <c r="E6281" s="2" t="s">
        <v>189</v>
      </c>
    </row>
    <row r="6282" spans="1:5" x14ac:dyDescent="0.2">
      <c r="A6282">
        <v>6221</v>
      </c>
      <c r="B6282" s="1832">
        <f>'Acct Summary 7-8'!I83</f>
        <v>0.32493570259527704</v>
      </c>
      <c r="D6282" s="2" t="str">
        <f t="shared" si="97"/>
        <v>Error?</v>
      </c>
      <c r="E6282" s="2" t="s">
        <v>189</v>
      </c>
    </row>
    <row r="6283" spans="1:5" x14ac:dyDescent="0.2">
      <c r="A6283">
        <v>6222</v>
      </c>
      <c r="B6283" s="1832">
        <f>'Acct Summary 7-8'!J83</f>
        <v>-1.6312226742517599</v>
      </c>
      <c r="D6283" s="2" t="str">
        <f t="shared" si="97"/>
        <v>Error?</v>
      </c>
      <c r="E6283" s="2" t="s">
        <v>189</v>
      </c>
    </row>
    <row r="6284" spans="1:5" x14ac:dyDescent="0.2">
      <c r="A6284">
        <v>6223</v>
      </c>
      <c r="B6284" s="1832">
        <f>'Acct Summary 7-8'!K83</f>
        <v>-0.71783578902412981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209173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209173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106</v>
      </c>
      <c r="D6305" s="2" t="str">
        <f t="shared" si="97"/>
        <v>Error?</v>
      </c>
      <c r="E6305" s="2" t="s">
        <v>189</v>
      </c>
    </row>
    <row r="6306" spans="1:5" x14ac:dyDescent="0.2">
      <c r="A6306">
        <v>6245</v>
      </c>
      <c r="B6306" s="1832">
        <f>'Revenues 9-14'!J18</f>
        <v>106</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1843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1843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211122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207754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211122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3793</v>
      </c>
      <c r="D7093" s="2" t="str">
        <f t="shared" si="109"/>
        <v>Error?</v>
      </c>
    </row>
    <row r="7094" spans="1:4" x14ac:dyDescent="0.2">
      <c r="A7094">
        <v>7033</v>
      </c>
      <c r="B7094" s="1832">
        <f>'Expenditures 15-22'!K254</f>
        <v>3793</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24949</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24949</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4892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4892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63341</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63341</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64335</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64335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50237</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50237</v>
      </c>
      <c r="D7198" s="2" t="str">
        <f t="shared" si="111"/>
        <v>Error?</v>
      </c>
    </row>
    <row r="7199" spans="1:4" x14ac:dyDescent="0.2">
      <c r="A7199">
        <v>7138</v>
      </c>
      <c r="B7199" s="1832">
        <f>'Expenditures 15-22'!C330</f>
        <v>64335</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143419</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207754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64335</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143419</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207754</v>
      </c>
      <c r="D7224" s="2" t="str">
        <f t="shared" si="111"/>
        <v>Error?</v>
      </c>
    </row>
    <row r="7225" spans="1:4" x14ac:dyDescent="0.2">
      <c r="A7225">
        <v>7164</v>
      </c>
      <c r="B7225" s="1832">
        <f>'Expenditures 15-22'!K343</f>
        <v>3368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21795</v>
      </c>
      <c r="D7615" s="2" t="str">
        <f t="shared" ref="D7615:D7678" si="124">IF(ISBLANK(B7615),"OK",IF(A7615-B7615=0,"OK","Error?"))</f>
        <v>Error?</v>
      </c>
      <c r="E7615" s="2" t="s">
        <v>19</v>
      </c>
    </row>
    <row r="7616" spans="1:5" x14ac:dyDescent="0.2">
      <c r="A7616">
        <f t="shared" si="123"/>
        <v>7555</v>
      </c>
      <c r="B7616" s="1832">
        <f>'Cap Outlay Deprec 26'!D14</f>
        <v>80463</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102258</v>
      </c>
      <c r="D7618" s="2" t="str">
        <f t="shared" si="124"/>
        <v>Error?</v>
      </c>
      <c r="E7618" s="2" t="s">
        <v>19</v>
      </c>
    </row>
    <row r="7619" spans="1:5" x14ac:dyDescent="0.2">
      <c r="A7619">
        <f t="shared" si="123"/>
        <v>7558</v>
      </c>
      <c r="B7619" s="1832">
        <f>'Cap Outlay Deprec 26'!H14</f>
        <v>7265</v>
      </c>
      <c r="D7619" s="2" t="str">
        <f t="shared" si="124"/>
        <v>Error?</v>
      </c>
      <c r="E7619" s="2" t="s">
        <v>19</v>
      </c>
    </row>
    <row r="7620" spans="1:5" x14ac:dyDescent="0.2">
      <c r="A7620">
        <f t="shared" si="123"/>
        <v>7559</v>
      </c>
      <c r="B7620" s="1832">
        <f>'Cap Outlay Deprec 26'!I14</f>
        <v>34086</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41351</v>
      </c>
      <c r="D7622" s="2" t="str">
        <f t="shared" si="124"/>
        <v>Error?</v>
      </c>
      <c r="E7622" s="2" t="s">
        <v>19</v>
      </c>
    </row>
    <row r="7623" spans="1:5" x14ac:dyDescent="0.2">
      <c r="A7623">
        <f t="shared" si="123"/>
        <v>7562</v>
      </c>
      <c r="B7623" s="1832">
        <f>'Cap Outlay Deprec 26'!L14</f>
        <v>60907</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131544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41714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298</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79753</v>
      </c>
      <c r="D7713" s="2" t="str">
        <f t="shared" si="126"/>
        <v>Error?</v>
      </c>
      <c r="E7713" s="2" t="s">
        <v>822</v>
      </c>
    </row>
    <row r="7714" spans="1:6" x14ac:dyDescent="0.2">
      <c r="A7714">
        <v>7653</v>
      </c>
      <c r="B7714" s="1832">
        <f>'Rest Tax Levies-Tort Im 25'!K9</f>
        <v>3222</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80051</v>
      </c>
      <c r="D7718" s="2" t="str">
        <f t="shared" si="126"/>
        <v>Error?</v>
      </c>
      <c r="E7718" s="2" t="s">
        <v>822</v>
      </c>
    </row>
    <row r="7719" spans="1:6" x14ac:dyDescent="0.2">
      <c r="A7719">
        <v>7658</v>
      </c>
      <c r="B7719" s="1832">
        <f>'Rest Tax Levies-Tort Im 25'!K12</f>
        <v>3222</v>
      </c>
      <c r="D7719" s="2" t="str">
        <f t="shared" si="126"/>
        <v>Error?</v>
      </c>
      <c r="E7719" s="2" t="s">
        <v>822</v>
      </c>
    </row>
    <row r="7720" spans="1:6" x14ac:dyDescent="0.2">
      <c r="A7720">
        <v>7659</v>
      </c>
      <c r="B7720" s="1832">
        <f>'Rest Tax Levies-Tort Im 25'!H14</f>
        <v>21665</v>
      </c>
      <c r="D7720" s="2" t="str">
        <f t="shared" si="126"/>
        <v>Error?</v>
      </c>
      <c r="E7720" s="2" t="s">
        <v>822</v>
      </c>
    </row>
    <row r="7721" spans="1:6" x14ac:dyDescent="0.2">
      <c r="A7721">
        <v>7660</v>
      </c>
      <c r="B7721" s="1832">
        <f>'Rest Tax Levies-Tort Im 25'!K14</f>
        <v>3222</v>
      </c>
      <c r="D7721" s="2" t="str">
        <f t="shared" si="126"/>
        <v>Error?</v>
      </c>
      <c r="E7721" s="2" t="s">
        <v>822</v>
      </c>
    </row>
    <row r="7722" spans="1:6" x14ac:dyDescent="0.2">
      <c r="A7722">
        <v>7661</v>
      </c>
      <c r="B7722" s="1832">
        <f>'Rest Tax Levies-Tort Im 25'!J15</f>
        <v>57120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57120</v>
      </c>
      <c r="D7730" s="2" t="str">
        <f t="shared" si="126"/>
        <v>Error?</v>
      </c>
      <c r="E7730" s="2" t="s">
        <v>822</v>
      </c>
    </row>
    <row r="7731" spans="1:6" x14ac:dyDescent="0.2">
      <c r="A7731">
        <v>7670</v>
      </c>
      <c r="B7731" s="1832">
        <f>'Revenues 9-14'!H103</f>
        <v>79753</v>
      </c>
      <c r="D7731" s="2" t="str">
        <f t="shared" si="126"/>
        <v>Error?</v>
      </c>
      <c r="E7731" s="2" t="s">
        <v>822</v>
      </c>
    </row>
    <row r="7732" spans="1:6" x14ac:dyDescent="0.2">
      <c r="A7732">
        <v>7671</v>
      </c>
      <c r="B7732" s="1832">
        <f>'Rest Tax Levies-Tort Im 25'!J24</f>
        <v>64645</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64645</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3222</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1305000</v>
      </c>
      <c r="D7817" s="2" t="str">
        <f t="shared" si="128"/>
        <v>Error?</v>
      </c>
      <c r="E7817" s="4" t="s">
        <v>1963</v>
      </c>
    </row>
    <row r="7818" spans="1:5" x14ac:dyDescent="0.2">
      <c r="A7818">
        <v>7757</v>
      </c>
      <c r="B7818" s="1832">
        <f>'PCTC-OEPP 27-28'!F172</f>
        <v>0</v>
      </c>
      <c r="D7818" s="2" t="str">
        <f t="shared" si="128"/>
        <v>Error?</v>
      </c>
      <c r="E7818" s="4" t="s">
        <v>1977</v>
      </c>
    </row>
    <row r="7819" spans="1:5" x14ac:dyDescent="0.2">
      <c r="A7819">
        <v>7758</v>
      </c>
      <c r="B7819" s="1832">
        <f>'PCTC-OEPP 27-28'!F173</f>
        <v>0</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5036550</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20576</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927521</v>
      </c>
      <c r="D7834" s="2" t="str">
        <f t="shared" si="129"/>
        <v>Error?</v>
      </c>
      <c r="E7834" s="4" t="s">
        <v>1995</v>
      </c>
    </row>
    <row r="7835" spans="1:5" x14ac:dyDescent="0.2">
      <c r="A7835">
        <v>7774</v>
      </c>
      <c r="B7835" s="1832">
        <f>'PCTC-OEPP 27-28'!F78</f>
        <v>4109029</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13441.377167157345</v>
      </c>
      <c r="D7837" s="2" t="str">
        <f t="shared" si="129"/>
        <v>Error?</v>
      </c>
      <c r="E7837" s="4" t="s">
        <v>1995</v>
      </c>
    </row>
    <row r="7838" spans="1:5" x14ac:dyDescent="0.2">
      <c r="A7838">
        <v>7777</v>
      </c>
      <c r="B7838" s="1832">
        <f>'PCTC-OEPP 27-28'!F96</f>
        <v>7901</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16964</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64290</v>
      </c>
      <c r="D7842" s="2" t="str">
        <f t="shared" si="129"/>
        <v>Error?</v>
      </c>
      <c r="E7842" s="4" t="s">
        <v>1995</v>
      </c>
    </row>
    <row r="7843" spans="1:5" x14ac:dyDescent="0.2">
      <c r="A7843">
        <v>7782</v>
      </c>
      <c r="B7843" s="1832">
        <f>'PCTC-OEPP 27-28'!F107</f>
        <v>3674</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3222</v>
      </c>
      <c r="D7846" s="2" t="str">
        <f t="shared" si="129"/>
        <v>Error?</v>
      </c>
      <c r="E7846" s="4" t="s">
        <v>1995</v>
      </c>
    </row>
    <row r="7847" spans="1:5" x14ac:dyDescent="0.2">
      <c r="A7847">
        <v>7786</v>
      </c>
      <c r="B7847" s="1832">
        <f>'PCTC-OEPP 27-28'!F112</f>
        <v>198235</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50000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6242</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115752</v>
      </c>
      <c r="D7858" s="2" t="str">
        <f t="shared" si="129"/>
        <v>Error?</v>
      </c>
      <c r="E7858" s="4" t="s">
        <v>1995</v>
      </c>
    </row>
    <row r="7859" spans="1:5" x14ac:dyDescent="0.2">
      <c r="A7859">
        <v>7798</v>
      </c>
      <c r="B7859" s="1832">
        <f>'PCTC-OEPP 27-28'!F127</f>
        <v>226724</v>
      </c>
      <c r="D7859" s="2" t="str">
        <f t="shared" si="129"/>
        <v>Error?</v>
      </c>
      <c r="E7859" s="4" t="s">
        <v>1995</v>
      </c>
    </row>
    <row r="7860" spans="1:5" x14ac:dyDescent="0.2">
      <c r="A7860">
        <v>7799</v>
      </c>
      <c r="B7860" s="1832">
        <f>'PCTC-OEPP 27-28'!F128</f>
        <v>10473</v>
      </c>
      <c r="D7860" s="2" t="str">
        <f t="shared" si="129"/>
        <v>Error?</v>
      </c>
      <c r="E7860" s="4" t="s">
        <v>1995</v>
      </c>
    </row>
    <row r="7861" spans="1:5" x14ac:dyDescent="0.2">
      <c r="A7861">
        <v>7800</v>
      </c>
      <c r="B7861" s="1832">
        <f>'PCTC-OEPP 27-28'!F129</f>
        <v>96780</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12638</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1089</v>
      </c>
      <c r="D7874" s="2" t="str">
        <f t="shared" si="129"/>
        <v>Error?</v>
      </c>
      <c r="E7874" s="4" t="s">
        <v>1995</v>
      </c>
    </row>
    <row r="7875" spans="1:5" x14ac:dyDescent="0.2">
      <c r="A7875">
        <v>7814</v>
      </c>
      <c r="B7875" s="1832">
        <f>'PCTC-OEPP 27-28'!F170</f>
        <v>4259</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871598</v>
      </c>
      <c r="D7877" s="2" t="str">
        <f t="shared" si="129"/>
        <v>Error?</v>
      </c>
      <c r="E7877" s="4" t="s">
        <v>1995</v>
      </c>
    </row>
    <row r="7878" spans="1:5" x14ac:dyDescent="0.2">
      <c r="A7878">
        <v>7817</v>
      </c>
      <c r="B7878" s="1832">
        <f>'PCTC-OEPP 27-28'!F176</f>
        <v>3237431</v>
      </c>
      <c r="D7878" s="2" t="str">
        <f t="shared" si="129"/>
        <v>Error?</v>
      </c>
      <c r="E7878" s="4" t="s">
        <v>1995</v>
      </c>
    </row>
    <row r="7879" spans="1:5" x14ac:dyDescent="0.2">
      <c r="A7879">
        <v>7818</v>
      </c>
      <c r="B7879" s="1832">
        <f>'PCTC-OEPP 27-28'!F178</f>
        <v>3368975</v>
      </c>
      <c r="D7879" s="2" t="str">
        <f t="shared" si="129"/>
        <v>Error?</v>
      </c>
      <c r="E7879" s="4" t="s">
        <v>1995</v>
      </c>
    </row>
    <row r="7880" spans="1:5" x14ac:dyDescent="0.2">
      <c r="A7880">
        <v>7819</v>
      </c>
      <c r="B7880" s="1832">
        <f>'PCTC-OEPP 27-28'!F180</f>
        <v>11020.526660124306</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Lowpoint-Washburn CUSD 21</v>
      </c>
      <c r="B7" s="2517"/>
      <c r="C7" s="2517"/>
      <c r="D7" s="2555"/>
      <c r="E7" s="2556">
        <f>COVER!A13</f>
        <v>53102021026</v>
      </c>
      <c r="F7" s="2557"/>
      <c r="G7" s="2523" t="str">
        <f>COVER!T23</f>
        <v>066-005055</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Ginoli &amp; Company Ltd</v>
      </c>
      <c r="H9" s="2530"/>
      <c r="I9" s="2530"/>
      <c r="J9" s="2530"/>
      <c r="K9" s="2530"/>
      <c r="L9" s="2531"/>
    </row>
    <row r="10" spans="1:29" ht="13.5" customHeight="1" x14ac:dyDescent="0.2">
      <c r="A10" s="2513" t="str">
        <f>COVER!A38</f>
        <v>Duane Schupp</v>
      </c>
      <c r="B10" s="2514"/>
      <c r="C10" s="2514"/>
      <c r="D10" s="2514"/>
      <c r="E10" s="2514"/>
      <c r="F10" s="2515"/>
      <c r="G10" s="2529" t="str">
        <f>COVER!T17</f>
        <v>7625 N University Street, Suite A</v>
      </c>
      <c r="H10" s="2542"/>
      <c r="I10" s="2542"/>
      <c r="J10" s="2542"/>
      <c r="K10" s="2542"/>
      <c r="L10" s="2543"/>
    </row>
    <row r="11" spans="1:29" ht="13.5" customHeight="1" x14ac:dyDescent="0.2">
      <c r="A11" s="963" t="s">
        <v>1502</v>
      </c>
      <c r="B11" s="964"/>
      <c r="C11" s="965"/>
      <c r="D11" s="970"/>
      <c r="E11" s="965"/>
      <c r="F11" s="969"/>
      <c r="G11" s="2529" t="str">
        <f>COVER!T19</f>
        <v>Peoria</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mreinken@ginolicpa.com</v>
      </c>
      <c r="J13" s="2551"/>
      <c r="K13" s="2551"/>
      <c r="L13" s="2552"/>
    </row>
    <row r="14" spans="1:29" ht="13.5" customHeight="1" x14ac:dyDescent="0.2">
      <c r="A14" s="2529" t="str">
        <f>COVER!A19</f>
        <v>508 E Walnut Street</v>
      </c>
      <c r="B14" s="2542"/>
      <c r="C14" s="2542"/>
      <c r="D14" s="2542"/>
      <c r="E14" s="2542"/>
      <c r="F14" s="2543"/>
      <c r="G14" s="974" t="s">
        <v>1175</v>
      </c>
      <c r="H14" s="972"/>
      <c r="I14" s="972"/>
      <c r="J14" s="972"/>
      <c r="K14" s="972"/>
      <c r="L14" s="973"/>
    </row>
    <row r="15" spans="1:29" ht="13.5" customHeight="1" x14ac:dyDescent="0.2">
      <c r="A15" s="2529" t="str">
        <f>COVER!A21</f>
        <v>Washburn</v>
      </c>
      <c r="B15" s="2542"/>
      <c r="C15" s="2542"/>
      <c r="D15" s="2542"/>
      <c r="E15" s="2542"/>
      <c r="F15" s="2543"/>
      <c r="G15" s="2539" t="str">
        <f>COVER!T15</f>
        <v>Mark D Reinken</v>
      </c>
      <c r="H15" s="2540"/>
      <c r="I15" s="2540"/>
      <c r="J15" s="2540"/>
      <c r="K15" s="2540"/>
      <c r="L15" s="2541"/>
    </row>
    <row r="16" spans="1:29" ht="12.2" customHeight="1" x14ac:dyDescent="0.2">
      <c r="A16" s="2519" t="str">
        <f>COVER!A25</f>
        <v>61570-0596</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(309) 671-2350</v>
      </c>
      <c r="H18" s="2517"/>
      <c r="I18" s="2517"/>
      <c r="J18" s="2517"/>
      <c r="K18" s="2516" t="str">
        <f>COVER!X21</f>
        <v>(309) 671-5459</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Lowpoint-Washburn CUSD 21</v>
      </c>
      <c r="B1" s="2559"/>
      <c r="C1" s="2559"/>
      <c r="D1" s="2559"/>
    </row>
    <row r="2" spans="1:11" s="991" customFormat="1" ht="12.75" x14ac:dyDescent="0.2">
      <c r="A2" s="2560">
        <f>'Single Audit Cover'!E7</f>
        <v>53102021026</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Lowpoint-Washburn CUSD 21</v>
      </c>
      <c r="B1" s="2563"/>
      <c r="C1" s="2563"/>
      <c r="D1" s="2563"/>
      <c r="E1" s="2563"/>
    </row>
    <row r="2" spans="1:5" x14ac:dyDescent="0.2">
      <c r="A2" s="2564">
        <f>'Single Audit Cover'!E7</f>
        <v>53102021026</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478674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12056</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-4259</v>
      </c>
    </row>
    <row r="19" spans="1:4" ht="13.5" thickBot="1" x14ac:dyDescent="0.25">
      <c r="A19" s="1041" t="s">
        <v>1224</v>
      </c>
      <c r="D19" s="1042">
        <f>SUM(D10:D17)</f>
        <v>486471</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486471</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486471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Lowpoint-Washburn CUSD 21</v>
      </c>
      <c r="C1" s="2567"/>
      <c r="D1" s="2567"/>
      <c r="E1" s="2567"/>
      <c r="F1" s="2567"/>
      <c r="G1" s="2567"/>
      <c r="H1" s="2567"/>
      <c r="I1" s="2567"/>
      <c r="J1" s="2567"/>
      <c r="K1" s="2567"/>
      <c r="L1" s="2567"/>
      <c r="M1" s="2567"/>
    </row>
    <row r="2" spans="2:14" ht="15" x14ac:dyDescent="0.2">
      <c r="B2" s="2568">
        <f>'Single Audit Cover'!E7</f>
        <v>53102021026</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Lowpoint-Washburn CUSD 21</v>
      </c>
      <c r="B1" s="2572"/>
      <c r="C1" s="2572"/>
      <c r="D1" s="2572"/>
      <c r="E1" s="2572"/>
      <c r="F1" s="2572"/>
    </row>
    <row r="2" spans="1:7" ht="13.5" customHeight="1" x14ac:dyDescent="0.2">
      <c r="A2" s="2568">
        <f>'Single Audit Cover'!E7</f>
        <v>53102021026</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1808</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2048</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2048</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t="s">
        <v>2067</v>
      </c>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1986</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1986</v>
      </c>
      <c r="B88" s="2188"/>
      <c r="C88" s="2188"/>
      <c r="D88" s="2189"/>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t="s">
        <v>2068</v>
      </c>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2049</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Lowpoint-Washburn CUSD 21</v>
      </c>
      <c r="C1" s="2588"/>
      <c r="D1" s="2588"/>
      <c r="E1" s="2588"/>
      <c r="F1" s="2588"/>
      <c r="G1" s="2588"/>
      <c r="H1" s="2588"/>
      <c r="I1" s="2588"/>
      <c r="J1" s="1178"/>
    </row>
    <row r="2" spans="2:10" s="295" customFormat="1" ht="12.75" customHeight="1" x14ac:dyDescent="0.2">
      <c r="B2" s="2589">
        <f>'Single Audit Cover'!E7</f>
        <v>53102021026</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25"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Lowpoint-Washburn CUSD 21</v>
      </c>
      <c r="C1" s="2587"/>
      <c r="D1" s="2587"/>
      <c r="E1" s="2587"/>
      <c r="F1" s="2587"/>
      <c r="G1" s="2587"/>
      <c r="H1" s="2587"/>
      <c r="I1" s="2587"/>
      <c r="J1" s="2587"/>
      <c r="K1" s="2587"/>
      <c r="L1" s="1144"/>
      <c r="M1" s="1144"/>
    </row>
    <row r="2" spans="1:13" ht="12" customHeight="1" x14ac:dyDescent="0.2">
      <c r="B2" s="2589">
        <f>'Single Audit Cover'!E7</f>
        <v>53102021026</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v>1</v>
      </c>
      <c r="E10" s="300"/>
      <c r="F10" s="1156" t="s">
        <v>1284</v>
      </c>
      <c r="G10" s="1157"/>
      <c r="H10" s="1158" t="s">
        <v>1283</v>
      </c>
      <c r="I10" s="1157" t="s">
        <v>2048</v>
      </c>
      <c r="J10" s="1159" t="s">
        <v>1282</v>
      </c>
      <c r="K10" s="300"/>
      <c r="L10" s="1151"/>
    </row>
    <row r="11" spans="1:13" ht="13.5" customHeight="1" x14ac:dyDescent="0.2">
      <c r="B11" s="300"/>
      <c r="C11" s="300"/>
      <c r="D11" s="300"/>
      <c r="E11" s="300"/>
      <c r="F11" s="300"/>
      <c r="G11" s="1153"/>
      <c r="H11" s="300"/>
      <c r="I11" s="1160" t="s">
        <v>1281</v>
      </c>
      <c r="J11" s="300"/>
      <c r="K11" s="1161">
        <v>1986</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t="s">
        <v>2082</v>
      </c>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t="s">
        <v>2083</v>
      </c>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t="s">
        <v>2084</v>
      </c>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t="s">
        <v>2085</v>
      </c>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t="s">
        <v>2086</v>
      </c>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t="s">
        <v>2087</v>
      </c>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t="s">
        <v>2088</v>
      </c>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Lowpoint-Washburn CUSD 21</v>
      </c>
      <c r="C1" s="2614"/>
      <c r="D1" s="2614"/>
      <c r="E1" s="2614"/>
      <c r="F1" s="2614"/>
      <c r="G1" s="2614"/>
      <c r="H1" s="2614"/>
      <c r="I1" s="2614"/>
      <c r="J1" s="2614"/>
      <c r="K1" s="2614"/>
      <c r="L1" s="1221"/>
    </row>
    <row r="2" spans="1:12" ht="12.75" customHeight="1" x14ac:dyDescent="0.2">
      <c r="B2" s="2615">
        <f>'Single Audit Cover'!E7</f>
        <v>53102021026</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Lowpoint-Washburn CUSD 21</v>
      </c>
      <c r="C1" s="2587"/>
      <c r="D1" s="2587"/>
      <c r="E1" s="1240"/>
    </row>
    <row r="2" spans="2:5" s="1058" customFormat="1" ht="12.75" customHeight="1" x14ac:dyDescent="0.2">
      <c r="B2" s="2589">
        <f>'Single Audit Cover'!E7</f>
        <v>53102021026</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3" sqref="B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56472322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3.3000000000000002E-2</v>
      </c>
      <c r="E10" s="333" t="s">
        <v>998</v>
      </c>
      <c r="F10" s="332">
        <v>5.7499999999999999E-3</v>
      </c>
      <c r="G10" s="333" t="s">
        <v>998</v>
      </c>
      <c r="H10" s="332">
        <v>2E-3</v>
      </c>
      <c r="I10" s="333" t="s">
        <v>999</v>
      </c>
      <c r="J10" s="1424">
        <f>ROUND(D10+F10+H10,5)</f>
        <v>4.0750000000000001E-2</v>
      </c>
      <c r="K10" s="217"/>
      <c r="L10" s="332">
        <v>5.0000000000000001E-4</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4614088</v>
      </c>
      <c r="E16" s="1547"/>
      <c r="F16" s="1546">
        <f>SUM('Acct Summary 7-8'!C17,'Acct Summary 7-8'!D17,'Acct Summary 7-8'!F17)</f>
        <v>4409888</v>
      </c>
      <c r="G16" s="1547"/>
      <c r="H16" s="1546">
        <f>SUM(D16-F16)</f>
        <v>204200</v>
      </c>
      <c r="I16" s="1548"/>
      <c r="J16" s="1546">
        <f>SUM('Acct Summary 7-8'!C81,'Acct Summary 7-8'!D81,'Acct Summary 7-8'!F81,'Acct Summary 7-8'!I81)</f>
        <v>3060399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7793180.4360000007</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1165000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7"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Lowpoint-Washburn CUSD 21</v>
      </c>
      <c r="E7" s="368"/>
      <c r="G7" s="247"/>
      <c r="H7" s="364"/>
      <c r="I7" s="364"/>
      <c r="J7" s="364"/>
      <c r="K7" s="364"/>
      <c r="L7" s="307"/>
      <c r="M7" s="307"/>
      <c r="N7" s="307"/>
      <c r="O7" s="307"/>
      <c r="P7" s="307"/>
    </row>
    <row r="8" spans="1:18" ht="12.75" x14ac:dyDescent="0.2">
      <c r="A8" s="307"/>
      <c r="B8" s="307"/>
      <c r="C8" s="366" t="s">
        <v>1115</v>
      </c>
      <c r="D8" s="369">
        <f>COVER!A13</f>
        <v>53102021026</v>
      </c>
      <c r="E8" s="370"/>
      <c r="G8" s="307"/>
      <c r="H8" s="307"/>
      <c r="I8" s="307"/>
      <c r="J8" s="307"/>
      <c r="K8" s="307"/>
      <c r="L8" s="307"/>
      <c r="M8" s="307"/>
      <c r="N8" s="307"/>
      <c r="O8" s="307"/>
      <c r="P8" s="307"/>
    </row>
    <row r="9" spans="1:18" ht="12.75" x14ac:dyDescent="0.2">
      <c r="A9" s="307"/>
      <c r="B9" s="307"/>
      <c r="C9" s="366" t="s">
        <v>708</v>
      </c>
      <c r="D9" s="371" t="str">
        <f>COVER!A15</f>
        <v>Woodford and Marshall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3060399</v>
      </c>
      <c r="I12" s="380"/>
      <c r="J12" s="380"/>
      <c r="K12" s="1559">
        <f>TRUNC((H12/H13*100000),5)/100000</f>
        <v>0.66327278540000001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4614088</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4409888</v>
      </c>
      <c r="I17" s="380"/>
      <c r="J17" s="389"/>
      <c r="K17" s="1559">
        <f>TRUNC((H17/H18*100000),5)/100000</f>
        <v>0.95574423370000006</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4614088</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3060399</v>
      </c>
      <c r="I24" s="394"/>
      <c r="J24" s="394"/>
      <c r="K24" s="1555">
        <f>TRUNC(((H24/H25*100000)/100000),2)</f>
        <v>249.83</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12249.688889999999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1956060.0532800001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1165000</v>
      </c>
      <c r="I32" s="392"/>
      <c r="J32" s="392"/>
      <c r="K32" s="1555">
        <f>TRUNC(100-((((H32/H33*100))*100)/100),2)</f>
        <v>85.05</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7793180.4360000007</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51" sqref="A5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9600</v>
      </c>
      <c r="D4" s="1573">
        <v>31872</v>
      </c>
      <c r="E4" s="1573"/>
      <c r="F4" s="1573">
        <v>235</v>
      </c>
      <c r="G4" s="1573">
        <v>676</v>
      </c>
      <c r="H4" s="1573"/>
      <c r="I4" s="1573"/>
      <c r="J4" s="1574">
        <v>1300</v>
      </c>
      <c r="K4" s="1573">
        <v>879</v>
      </c>
      <c r="L4" s="1573">
        <v>62526</v>
      </c>
      <c r="M4" s="1575"/>
      <c r="N4" s="1576"/>
    </row>
    <row r="5" spans="1:14" x14ac:dyDescent="0.2">
      <c r="A5" s="427" t="s">
        <v>985</v>
      </c>
      <c r="B5" s="429">
        <v>120</v>
      </c>
      <c r="C5" s="1572">
        <v>2346377</v>
      </c>
      <c r="D5" s="1573">
        <v>269200</v>
      </c>
      <c r="E5" s="1573">
        <v>5976</v>
      </c>
      <c r="F5" s="1573">
        <v>317575</v>
      </c>
      <c r="G5" s="1573">
        <v>148002</v>
      </c>
      <c r="H5" s="1573">
        <v>64645</v>
      </c>
      <c r="I5" s="1573">
        <v>85540</v>
      </c>
      <c r="J5" s="1574">
        <v>57939</v>
      </c>
      <c r="K5" s="1577">
        <v>74049</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2355977</v>
      </c>
      <c r="D13" s="1587">
        <f t="shared" ref="D13:L13" si="0">SUM(D4:D12)</f>
        <v>301072</v>
      </c>
      <c r="E13" s="1587">
        <f t="shared" si="0"/>
        <v>5976</v>
      </c>
      <c r="F13" s="1587">
        <f t="shared" si="0"/>
        <v>317810</v>
      </c>
      <c r="G13" s="1587">
        <f t="shared" si="0"/>
        <v>148678</v>
      </c>
      <c r="H13" s="1587">
        <f t="shared" si="0"/>
        <v>64645</v>
      </c>
      <c r="I13" s="1587">
        <f t="shared" si="0"/>
        <v>85540</v>
      </c>
      <c r="J13" s="1587">
        <f t="shared" si="0"/>
        <v>59239</v>
      </c>
      <c r="K13" s="1587">
        <f t="shared" si="0"/>
        <v>74928</v>
      </c>
      <c r="L13" s="1587">
        <f t="shared" si="0"/>
        <v>62526</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18400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3944736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490689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5976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1159024</v>
      </c>
    </row>
    <row r="23" spans="1:14" ht="13.5" customHeight="1" thickBot="1" x14ac:dyDescent="0.25">
      <c r="A23" s="1426" t="s">
        <v>638</v>
      </c>
      <c r="B23" s="1429"/>
      <c r="C23" s="1575"/>
      <c r="D23" s="1575"/>
      <c r="E23" s="1575"/>
      <c r="F23" s="1575"/>
      <c r="G23" s="1575"/>
      <c r="H23" s="1575"/>
      <c r="I23" s="1575"/>
      <c r="J23" s="1575"/>
      <c r="K23" s="1575"/>
      <c r="L23" s="1575"/>
      <c r="M23" s="1594">
        <f>SUM(M15:M22)</f>
        <v>4453825</v>
      </c>
      <c r="N23" s="1594">
        <f>SUM(N21:N22)</f>
        <v>1165000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62526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62526</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1165000</v>
      </c>
    </row>
    <row r="37" spans="1:14" ht="13.5" thickBot="1" x14ac:dyDescent="0.25">
      <c r="A37" s="1426" t="s">
        <v>648</v>
      </c>
      <c r="B37" s="1429"/>
      <c r="C37" s="1582"/>
      <c r="D37" s="1582"/>
      <c r="E37" s="1582"/>
      <c r="F37" s="1582"/>
      <c r="G37" s="1582"/>
      <c r="H37" s="1582"/>
      <c r="I37" s="1582"/>
      <c r="J37" s="1582"/>
      <c r="K37" s="1582"/>
      <c r="L37" s="1585"/>
      <c r="M37" s="1575"/>
      <c r="N37" s="1594">
        <f>SUM(N36:N36)</f>
        <v>1165000</v>
      </c>
    </row>
    <row r="38" spans="1:14" s="307" customFormat="1" ht="13.5" customHeight="1" thickTop="1" x14ac:dyDescent="0.2">
      <c r="A38" s="438" t="s">
        <v>417</v>
      </c>
      <c r="B38" s="432">
        <v>714</v>
      </c>
      <c r="C38" s="1573"/>
      <c r="D38" s="1573"/>
      <c r="E38" s="1573"/>
      <c r="F38" s="1573"/>
      <c r="G38" s="1573">
        <v>49213</v>
      </c>
      <c r="H38" s="1573">
        <v>64645</v>
      </c>
      <c r="I38" s="1573"/>
      <c r="J38" s="1574"/>
      <c r="K38" s="1573"/>
      <c r="L38" s="1586"/>
      <c r="M38" s="1604"/>
      <c r="N38" s="1604"/>
    </row>
    <row r="39" spans="1:14" s="307" customFormat="1" ht="13.5" customHeight="1" x14ac:dyDescent="0.2">
      <c r="A39" s="438" t="s">
        <v>339</v>
      </c>
      <c r="B39" s="432">
        <v>730</v>
      </c>
      <c r="C39" s="1573">
        <v>2355977</v>
      </c>
      <c r="D39" s="1573">
        <v>301072</v>
      </c>
      <c r="E39" s="1573">
        <v>5976</v>
      </c>
      <c r="F39" s="1573">
        <v>317810</v>
      </c>
      <c r="G39" s="1573">
        <v>99465</v>
      </c>
      <c r="H39" s="1573"/>
      <c r="I39" s="1573">
        <v>85540</v>
      </c>
      <c r="J39" s="1574">
        <v>59239</v>
      </c>
      <c r="K39" s="1573">
        <v>74928</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4453825</v>
      </c>
      <c r="N40" s="1604"/>
    </row>
    <row r="41" spans="1:14" ht="13.5" customHeight="1" thickBot="1" x14ac:dyDescent="0.25">
      <c r="A41" s="1426" t="s">
        <v>650</v>
      </c>
      <c r="B41" s="1405"/>
      <c r="C41" s="1594">
        <f>(SUM(C34,C37,C38,C39))</f>
        <v>2355977</v>
      </c>
      <c r="D41" s="1594">
        <f t="shared" ref="D41:L41" si="2">SUM(D34,D37,D38:D39)</f>
        <v>301072</v>
      </c>
      <c r="E41" s="1594">
        <f t="shared" si="2"/>
        <v>5976</v>
      </c>
      <c r="F41" s="1594">
        <f t="shared" si="2"/>
        <v>317810</v>
      </c>
      <c r="G41" s="1594">
        <f t="shared" si="2"/>
        <v>148678</v>
      </c>
      <c r="H41" s="1594">
        <f t="shared" si="2"/>
        <v>64645</v>
      </c>
      <c r="I41" s="1594">
        <f t="shared" si="2"/>
        <v>85540</v>
      </c>
      <c r="J41" s="1594">
        <f t="shared" si="2"/>
        <v>59239</v>
      </c>
      <c r="K41" s="1594">
        <f t="shared" si="2"/>
        <v>74928</v>
      </c>
      <c r="L41" s="1594">
        <f t="shared" si="2"/>
        <v>62526</v>
      </c>
      <c r="M41" s="1594">
        <f>SUM(M40)</f>
        <v>4453825</v>
      </c>
      <c r="N41" s="1594">
        <f>SUM(N37)</f>
        <v>1165000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2059757</v>
      </c>
      <c r="D4" s="1606">
        <f>'Revenues 9-14'!D109</f>
        <v>631965</v>
      </c>
      <c r="E4" s="1606">
        <f>'Revenues 9-14'!E109</f>
        <v>262707</v>
      </c>
      <c r="F4" s="1606">
        <f>'Revenues 9-14'!F109</f>
        <v>111261</v>
      </c>
      <c r="G4" s="1606">
        <f>'Revenues 9-14'!G109</f>
        <v>166646</v>
      </c>
      <c r="H4" s="1606">
        <f>'Revenues 9-14'!H109</f>
        <v>80051</v>
      </c>
      <c r="I4" s="1606">
        <f>'Revenues 9-14'!I109</f>
        <v>27795</v>
      </c>
      <c r="J4" s="1606">
        <f>'Revenues 9-14'!J109</f>
        <v>211122</v>
      </c>
      <c r="K4" s="1606">
        <f>'Revenues 9-14'!K109</f>
        <v>27829</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1056401</v>
      </c>
      <c r="D6" s="1607">
        <f>'Revenues 9-14'!D170</f>
        <v>50000</v>
      </c>
      <c r="E6" s="1607">
        <f>'Revenues 9-14'!E170</f>
        <v>0</v>
      </c>
      <c r="F6" s="1607">
        <f>'Revenues 9-14'!F170</f>
        <v>198235</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478091</v>
      </c>
      <c r="D7" s="1607">
        <f>'Revenues 9-14'!D267</f>
        <v>0</v>
      </c>
      <c r="E7" s="1607">
        <f>'Revenues 9-14'!E267</f>
        <v>0</v>
      </c>
      <c r="F7" s="1607">
        <f>'Revenues 9-14'!F267</f>
        <v>583</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3594249</v>
      </c>
      <c r="D8" s="1594">
        <f t="shared" ref="D8:K8" si="0">SUM(D4:D7)</f>
        <v>681965</v>
      </c>
      <c r="E8" s="1594">
        <f t="shared" si="0"/>
        <v>262707</v>
      </c>
      <c r="F8" s="1594">
        <f t="shared" si="0"/>
        <v>310079</v>
      </c>
      <c r="G8" s="1594">
        <f t="shared" si="0"/>
        <v>166646</v>
      </c>
      <c r="H8" s="1594">
        <f t="shared" si="0"/>
        <v>80051</v>
      </c>
      <c r="I8" s="1594">
        <f t="shared" si="0"/>
        <v>27795</v>
      </c>
      <c r="J8" s="1594">
        <f t="shared" si="0"/>
        <v>211122</v>
      </c>
      <c r="K8" s="1594">
        <f t="shared" si="0"/>
        <v>27829</v>
      </c>
      <c r="L8" s="325"/>
    </row>
    <row r="9" spans="1:13" ht="15.75" thickTop="1" x14ac:dyDescent="0.2">
      <c r="A9" s="449" t="s">
        <v>1634</v>
      </c>
      <c r="B9" s="450">
        <v>3998</v>
      </c>
      <c r="C9" s="1586">
        <v>1384402</v>
      </c>
      <c r="D9" s="1613"/>
      <c r="E9" s="1586"/>
      <c r="F9" s="1586"/>
      <c r="G9" s="1614"/>
      <c r="H9" s="1586"/>
      <c r="I9" s="1609" t="s">
        <v>1159</v>
      </c>
      <c r="J9" s="1583"/>
      <c r="K9" s="1586"/>
      <c r="L9" s="325"/>
    </row>
    <row r="10" spans="1:13" s="452" customFormat="1" ht="13.5" thickBot="1" x14ac:dyDescent="0.25">
      <c r="A10" s="1426" t="s">
        <v>1163</v>
      </c>
      <c r="B10" s="1407"/>
      <c r="C10" s="1594">
        <f>SUM(C8:C9)</f>
        <v>4978651</v>
      </c>
      <c r="D10" s="1594">
        <f t="shared" ref="D10:K10" si="1">SUM(D8:D9)</f>
        <v>681965</v>
      </c>
      <c r="E10" s="1594">
        <f t="shared" si="1"/>
        <v>262707</v>
      </c>
      <c r="F10" s="1594">
        <f t="shared" si="1"/>
        <v>310079</v>
      </c>
      <c r="G10" s="1594">
        <f t="shared" si="1"/>
        <v>166646</v>
      </c>
      <c r="H10" s="1594">
        <f t="shared" si="1"/>
        <v>80051</v>
      </c>
      <c r="I10" s="1594">
        <f t="shared" si="1"/>
        <v>27795</v>
      </c>
      <c r="J10" s="1594">
        <f t="shared" si="1"/>
        <v>211122</v>
      </c>
      <c r="K10" s="1594">
        <f t="shared" si="1"/>
        <v>27829</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2113755</v>
      </c>
      <c r="D12" s="1616" t="s">
        <v>1159</v>
      </c>
      <c r="E12" s="1575" t="s">
        <v>1159</v>
      </c>
      <c r="F12" s="1575" t="s">
        <v>1159</v>
      </c>
      <c r="G12" s="1606">
        <f>'Expenditures 15-22'!K229</f>
        <v>51178</v>
      </c>
      <c r="H12" s="1617"/>
      <c r="I12" s="1575" t="s">
        <v>1159</v>
      </c>
      <c r="J12" s="1575" t="s">
        <v>1159</v>
      </c>
      <c r="K12" s="1617" t="s">
        <v>1159</v>
      </c>
      <c r="L12" s="325"/>
    </row>
    <row r="13" spans="1:13" ht="15.75" customHeight="1" x14ac:dyDescent="0.2">
      <c r="A13" s="1314" t="s">
        <v>454</v>
      </c>
      <c r="B13" s="1316">
        <v>2000</v>
      </c>
      <c r="C13" s="1607">
        <f>'Expenditures 15-22'!K74</f>
        <v>740918</v>
      </c>
      <c r="D13" s="1607">
        <f>'Expenditures 15-22'!K129</f>
        <v>574697</v>
      </c>
      <c r="E13" s="1576" t="s">
        <v>1159</v>
      </c>
      <c r="F13" s="1607">
        <f>'Expenditures 15-22'!K184</f>
        <v>359435</v>
      </c>
      <c r="G13" s="1607">
        <f>'Expenditures 15-22'!K279</f>
        <v>105315</v>
      </c>
      <c r="H13" s="1607">
        <f>'Expenditures 15-22'!K303</f>
        <v>57120</v>
      </c>
      <c r="I13" s="1575" t="s">
        <v>1159</v>
      </c>
      <c r="J13" s="1607">
        <f>'Expenditures 15-22'!K330</f>
        <v>207754</v>
      </c>
      <c r="K13" s="1618">
        <f>'Expenditures 15-22'!K352</f>
        <v>81615</v>
      </c>
      <c r="L13" s="325"/>
    </row>
    <row r="14" spans="1:13" ht="15.75" customHeight="1" x14ac:dyDescent="0.2">
      <c r="A14" s="1314" t="s">
        <v>446</v>
      </c>
      <c r="B14" s="1316">
        <v>3000</v>
      </c>
      <c r="C14" s="1607">
        <f>'Expenditures 15-22'!K75</f>
        <v>20576</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595253</v>
      </c>
      <c r="D15" s="1607">
        <f>'Expenditures 15-22'!K139</f>
        <v>5254</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262415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3470502</v>
      </c>
      <c r="D17" s="1594">
        <f t="shared" si="2"/>
        <v>579951</v>
      </c>
      <c r="E17" s="1594">
        <f t="shared" si="2"/>
        <v>262415</v>
      </c>
      <c r="F17" s="1594">
        <f t="shared" si="2"/>
        <v>359435</v>
      </c>
      <c r="G17" s="1594">
        <f t="shared" si="2"/>
        <v>156493</v>
      </c>
      <c r="H17" s="1594">
        <f t="shared" si="2"/>
        <v>57120</v>
      </c>
      <c r="I17" s="1575"/>
      <c r="J17" s="1594">
        <f>SUM(J12:J16)</f>
        <v>207754</v>
      </c>
      <c r="K17" s="1594">
        <f>SUM(K12:K16)</f>
        <v>81615</v>
      </c>
      <c r="L17" s="325"/>
    </row>
    <row r="18" spans="1:12" ht="15" customHeight="1" thickTop="1" x14ac:dyDescent="0.2">
      <c r="A18" s="1430" t="s">
        <v>1635</v>
      </c>
      <c r="B18" s="1431">
        <v>4180</v>
      </c>
      <c r="C18" s="1606">
        <f t="shared" ref="C18:H18" si="3">C9</f>
        <v>1384402</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4854904</v>
      </c>
      <c r="D19" s="1594">
        <f t="shared" si="4"/>
        <v>579951</v>
      </c>
      <c r="E19" s="1594">
        <f t="shared" si="4"/>
        <v>262415</v>
      </c>
      <c r="F19" s="1594">
        <f t="shared" si="4"/>
        <v>359435</v>
      </c>
      <c r="G19" s="1594">
        <f t="shared" si="4"/>
        <v>156493</v>
      </c>
      <c r="H19" s="1594">
        <f t="shared" si="4"/>
        <v>57120</v>
      </c>
      <c r="I19" s="1575"/>
      <c r="J19" s="1594">
        <f>SUM(J17:J18)</f>
        <v>207754</v>
      </c>
      <c r="K19" s="1594">
        <f>SUM(K17:K18)</f>
        <v>81615</v>
      </c>
      <c r="L19" s="325"/>
    </row>
    <row r="20" spans="1:12" ht="16.5" thickTop="1" thickBot="1" x14ac:dyDescent="0.25">
      <c r="A20" s="2232" t="s">
        <v>1636</v>
      </c>
      <c r="B20" s="2233"/>
      <c r="C20" s="1622">
        <f>C8-C17</f>
        <v>123747</v>
      </c>
      <c r="D20" s="1622">
        <f t="shared" ref="D20:K20" si="5">D8-D17</f>
        <v>102014</v>
      </c>
      <c r="E20" s="1622">
        <f t="shared" si="5"/>
        <v>292</v>
      </c>
      <c r="F20" s="1622">
        <f t="shared" si="5"/>
        <v>-49356</v>
      </c>
      <c r="G20" s="1622">
        <f t="shared" si="5"/>
        <v>10153</v>
      </c>
      <c r="H20" s="1622">
        <f t="shared" si="5"/>
        <v>22931</v>
      </c>
      <c r="I20" s="1622">
        <f t="shared" si="5"/>
        <v>27795</v>
      </c>
      <c r="J20" s="1622">
        <f t="shared" si="5"/>
        <v>3368</v>
      </c>
      <c r="K20" s="1622">
        <f t="shared" si="5"/>
        <v>-53786</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v>150000</v>
      </c>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v>100000</v>
      </c>
      <c r="E43" s="1574"/>
      <c r="F43" s="1574"/>
      <c r="G43" s="1574"/>
      <c r="H43" s="1574"/>
      <c r="I43" s="1574"/>
      <c r="J43" s="1574"/>
      <c r="K43" s="1574"/>
      <c r="L43" s="453"/>
    </row>
    <row r="44" spans="1:12" s="433" customFormat="1" ht="13.5" customHeight="1" thickBot="1" x14ac:dyDescent="0.25">
      <c r="A44" s="2246" t="s">
        <v>371</v>
      </c>
      <c r="B44" s="2247"/>
      <c r="C44" s="1624">
        <f>SUM(C24:C43)</f>
        <v>150000</v>
      </c>
      <c r="D44" s="1624">
        <f t="shared" ref="D44:K44" si="6">SUM(D24:D43)</f>
        <v>100000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v>150000</v>
      </c>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v>100000</v>
      </c>
      <c r="K75" s="1628"/>
      <c r="L75" s="453"/>
    </row>
    <row r="76" spans="1:12" s="433" customFormat="1" ht="14.25" thickTop="1" thickBot="1" x14ac:dyDescent="0.25">
      <c r="A76" s="2222" t="s">
        <v>437</v>
      </c>
      <c r="B76" s="2223"/>
      <c r="C76" s="1624">
        <f t="shared" ref="C76:K76" si="7">SUM(C47:C75)</f>
        <v>0</v>
      </c>
      <c r="D76" s="1624">
        <f t="shared" si="7"/>
        <v>150000</v>
      </c>
      <c r="E76" s="1624">
        <f t="shared" si="7"/>
        <v>0</v>
      </c>
      <c r="F76" s="1624">
        <f t="shared" si="7"/>
        <v>0</v>
      </c>
      <c r="G76" s="1624">
        <f t="shared" si="7"/>
        <v>0</v>
      </c>
      <c r="H76" s="1624">
        <f t="shared" si="7"/>
        <v>0</v>
      </c>
      <c r="I76" s="1624">
        <f t="shared" si="7"/>
        <v>0</v>
      </c>
      <c r="J76" s="1624">
        <f t="shared" si="7"/>
        <v>100000</v>
      </c>
      <c r="K76" s="1624">
        <f t="shared" si="7"/>
        <v>0</v>
      </c>
      <c r="L76" s="453"/>
    </row>
    <row r="77" spans="1:12" ht="14.25" thickTop="1" thickBot="1" x14ac:dyDescent="0.25">
      <c r="A77" s="2224" t="s">
        <v>1167</v>
      </c>
      <c r="B77" s="2225"/>
      <c r="C77" s="1624">
        <f t="shared" ref="C77:K77" si="8">C44-C76</f>
        <v>150000</v>
      </c>
      <c r="D77" s="1624">
        <f t="shared" si="8"/>
        <v>-50000</v>
      </c>
      <c r="E77" s="1624">
        <f t="shared" si="8"/>
        <v>0</v>
      </c>
      <c r="F77" s="1624">
        <f t="shared" si="8"/>
        <v>0</v>
      </c>
      <c r="G77" s="1624">
        <f t="shared" si="8"/>
        <v>0</v>
      </c>
      <c r="H77" s="1624">
        <f t="shared" si="8"/>
        <v>0</v>
      </c>
      <c r="I77" s="1624">
        <f t="shared" si="8"/>
        <v>0</v>
      </c>
      <c r="J77" s="1624">
        <f t="shared" si="8"/>
        <v>-100000</v>
      </c>
      <c r="K77" s="1624">
        <f t="shared" si="8"/>
        <v>0</v>
      </c>
      <c r="L77" s="325"/>
    </row>
    <row r="78" spans="1:12" ht="21.75" customHeight="1" thickTop="1" thickBot="1" x14ac:dyDescent="0.25">
      <c r="A78" s="2228" t="s">
        <v>593</v>
      </c>
      <c r="B78" s="2229"/>
      <c r="C78" s="1629">
        <f t="shared" ref="C78:K78" si="9">C20+C77</f>
        <v>273747</v>
      </c>
      <c r="D78" s="1629">
        <f t="shared" si="9"/>
        <v>52014</v>
      </c>
      <c r="E78" s="1629">
        <f t="shared" si="9"/>
        <v>292</v>
      </c>
      <c r="F78" s="1629">
        <f t="shared" si="9"/>
        <v>-49356</v>
      </c>
      <c r="G78" s="1629">
        <f t="shared" si="9"/>
        <v>10153</v>
      </c>
      <c r="H78" s="1629">
        <f t="shared" si="9"/>
        <v>22931</v>
      </c>
      <c r="I78" s="1629">
        <f t="shared" si="9"/>
        <v>27795</v>
      </c>
      <c r="J78" s="1629">
        <f t="shared" si="9"/>
        <v>-96632</v>
      </c>
      <c r="K78" s="1629">
        <f t="shared" si="9"/>
        <v>-53786</v>
      </c>
      <c r="L78" s="457"/>
    </row>
    <row r="79" spans="1:12" ht="13.5" thickTop="1" x14ac:dyDescent="0.2">
      <c r="A79" s="1844" t="str">
        <f>"Fund Balances - July 1, "&amp;'AFR20'!E2-1</f>
        <v>Fund Balances - July 1, 2019</v>
      </c>
      <c r="B79" s="458"/>
      <c r="C79" s="1583">
        <v>2082230</v>
      </c>
      <c r="D79" s="1630">
        <v>249058</v>
      </c>
      <c r="E79" s="1630">
        <v>5684</v>
      </c>
      <c r="F79" s="1630">
        <v>367166</v>
      </c>
      <c r="G79" s="1630">
        <v>138525</v>
      </c>
      <c r="H79" s="1630">
        <v>41714</v>
      </c>
      <c r="I79" s="1630">
        <v>57745</v>
      </c>
      <c r="J79" s="1630">
        <v>155871</v>
      </c>
      <c r="K79" s="1630">
        <v>128714</v>
      </c>
      <c r="L79" s="325"/>
    </row>
    <row r="80" spans="1:12" x14ac:dyDescent="0.2">
      <c r="A80" s="2234" t="s">
        <v>1772</v>
      </c>
      <c r="B80" s="2235"/>
      <c r="C80" s="1574">
        <v>0</v>
      </c>
      <c r="D80" s="1574">
        <v>0</v>
      </c>
      <c r="E80" s="1574">
        <v>0</v>
      </c>
      <c r="F80" s="1574">
        <v>0</v>
      </c>
      <c r="G80" s="1574">
        <v>0</v>
      </c>
      <c r="H80" s="1574">
        <v>0</v>
      </c>
      <c r="I80" s="1574">
        <v>0</v>
      </c>
      <c r="J80" s="1574">
        <v>0</v>
      </c>
      <c r="K80" s="1574">
        <v>0</v>
      </c>
      <c r="L80" s="325"/>
    </row>
    <row r="81" spans="1:12" ht="13.5" thickBot="1" x14ac:dyDescent="0.25">
      <c r="A81" s="2226" t="str">
        <f>"Fund Balances - June 30, "&amp;'AFR20'!E2</f>
        <v>Fund Balances - June 30, 2020</v>
      </c>
      <c r="B81" s="2227"/>
      <c r="C81" s="1594">
        <f>(SUM(C78:C80))</f>
        <v>2355977</v>
      </c>
      <c r="D81" s="1594">
        <f>SUM(D78:D80)</f>
        <v>301072</v>
      </c>
      <c r="E81" s="1594">
        <f t="shared" ref="E81:K81" si="10">SUM(E78:E80)</f>
        <v>5976</v>
      </c>
      <c r="F81" s="1594">
        <f t="shared" si="10"/>
        <v>317810</v>
      </c>
      <c r="G81" s="1594">
        <f t="shared" si="10"/>
        <v>148678</v>
      </c>
      <c r="H81" s="1594">
        <f t="shared" si="10"/>
        <v>64645</v>
      </c>
      <c r="I81" s="1594">
        <f t="shared" si="10"/>
        <v>85540</v>
      </c>
      <c r="J81" s="1594">
        <f t="shared" si="10"/>
        <v>59239</v>
      </c>
      <c r="K81" s="1594">
        <f t="shared" si="10"/>
        <v>74928</v>
      </c>
      <c r="L81" s="325"/>
    </row>
    <row r="82" spans="1:12" ht="0.75" customHeight="1" thickTop="1" thickBot="1" x14ac:dyDescent="0.25">
      <c r="A82" s="459" t="s">
        <v>340</v>
      </c>
      <c r="B82" s="460"/>
      <c r="C82" s="461">
        <f>(C81-C79)</f>
        <v>273747</v>
      </c>
      <c r="D82" s="461">
        <f t="shared" ref="D82:K82" si="11">(D81-D79)</f>
        <v>52014</v>
      </c>
      <c r="E82" s="461">
        <f t="shared" si="11"/>
        <v>292</v>
      </c>
      <c r="F82" s="461">
        <f t="shared" si="11"/>
        <v>-49356</v>
      </c>
      <c r="G82" s="461">
        <f t="shared" si="11"/>
        <v>10153</v>
      </c>
      <c r="H82" s="461">
        <f t="shared" si="11"/>
        <v>22931</v>
      </c>
      <c r="I82" s="461">
        <f t="shared" si="11"/>
        <v>27795</v>
      </c>
      <c r="J82" s="461">
        <f t="shared" si="11"/>
        <v>-96632</v>
      </c>
      <c r="K82" s="461">
        <f t="shared" si="11"/>
        <v>-53786</v>
      </c>
    </row>
    <row r="83" spans="1:12" ht="14.25" hidden="1" thickTop="1" thickBot="1" x14ac:dyDescent="0.25">
      <c r="A83" s="462" t="s">
        <v>341</v>
      </c>
      <c r="B83" s="428"/>
      <c r="C83" s="463">
        <f>C82/C81</f>
        <v>0.11619256045368864</v>
      </c>
      <c r="D83" s="463">
        <f t="shared" ref="D83:K83" si="12">D82/D81</f>
        <v>0.17276266142318117</v>
      </c>
      <c r="E83" s="463">
        <f t="shared" si="12"/>
        <v>4.8862115127175365E-2</v>
      </c>
      <c r="F83" s="463">
        <f t="shared" si="12"/>
        <v>-0.15530033667914792</v>
      </c>
      <c r="G83" s="463">
        <f t="shared" si="12"/>
        <v>6.8288516122089346E-2</v>
      </c>
      <c r="H83" s="463">
        <f t="shared" si="12"/>
        <v>0.35472194291901926</v>
      </c>
      <c r="I83" s="463">
        <f t="shared" si="12"/>
        <v>0.32493570259527704</v>
      </c>
      <c r="J83" s="463">
        <f t="shared" si="12"/>
        <v>-1.6312226742517599</v>
      </c>
      <c r="K83" s="463">
        <f t="shared" si="12"/>
        <v>-0.71783578902412981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3"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1787346</v>
      </c>
      <c r="D5" s="1586">
        <v>311432</v>
      </c>
      <c r="E5" s="1573">
        <v>261541</v>
      </c>
      <c r="F5" s="1631">
        <v>108325</v>
      </c>
      <c r="G5" s="1573">
        <v>80485</v>
      </c>
      <c r="H5" s="1573"/>
      <c r="I5" s="1573">
        <v>27081</v>
      </c>
      <c r="J5" s="1574">
        <v>209173</v>
      </c>
      <c r="K5" s="1573">
        <v>27081</v>
      </c>
    </row>
    <row r="6" spans="1:12" ht="15" x14ac:dyDescent="0.2">
      <c r="A6" s="427" t="s">
        <v>1643</v>
      </c>
      <c r="B6" s="429">
        <v>1130</v>
      </c>
      <c r="C6" s="1573">
        <v>27081</v>
      </c>
      <c r="D6" s="1573"/>
      <c r="E6" s="1580"/>
      <c r="F6" s="1580"/>
      <c r="G6" s="1575"/>
      <c r="H6" s="1575"/>
      <c r="I6" s="1575"/>
      <c r="J6" s="1575"/>
      <c r="K6" s="1575"/>
    </row>
    <row r="7" spans="1:12" x14ac:dyDescent="0.2">
      <c r="A7" s="427" t="s">
        <v>110</v>
      </c>
      <c r="B7" s="471">
        <v>1140</v>
      </c>
      <c r="C7" s="1573">
        <v>21665</v>
      </c>
      <c r="D7" s="1573"/>
      <c r="E7" s="1575"/>
      <c r="F7" s="1574"/>
      <c r="G7" s="1574"/>
      <c r="H7" s="1574"/>
      <c r="I7" s="1575"/>
      <c r="J7" s="1575"/>
      <c r="K7" s="1575"/>
    </row>
    <row r="8" spans="1:12" x14ac:dyDescent="0.2">
      <c r="A8" s="427" t="s">
        <v>410</v>
      </c>
      <c r="B8" s="429">
        <v>1150</v>
      </c>
      <c r="C8" s="1580"/>
      <c r="D8" s="1580"/>
      <c r="E8" s="1582"/>
      <c r="F8" s="1582"/>
      <c r="G8" s="1586">
        <v>80485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1836092</v>
      </c>
      <c r="D12" s="1633">
        <f t="shared" si="0"/>
        <v>311432</v>
      </c>
      <c r="E12" s="1633">
        <f t="shared" si="0"/>
        <v>261541</v>
      </c>
      <c r="F12" s="1633">
        <f t="shared" si="0"/>
        <v>108325</v>
      </c>
      <c r="G12" s="1633">
        <f t="shared" si="0"/>
        <v>160970</v>
      </c>
      <c r="H12" s="1633">
        <f t="shared" si="0"/>
        <v>0</v>
      </c>
      <c r="I12" s="1633">
        <f t="shared" si="0"/>
        <v>27081</v>
      </c>
      <c r="J12" s="1633">
        <f t="shared" si="0"/>
        <v>209173</v>
      </c>
      <c r="K12" s="1594">
        <f t="shared" si="0"/>
        <v>27081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77168</v>
      </c>
      <c r="E16" s="1573"/>
      <c r="F16" s="1573"/>
      <c r="G16" s="1573">
        <v>3713</v>
      </c>
      <c r="H16" s="1573"/>
      <c r="I16" s="1573"/>
      <c r="J16" s="1574"/>
      <c r="K16" s="1573"/>
    </row>
    <row r="17" spans="1:11" ht="12.75" customHeight="1" x14ac:dyDescent="0.2">
      <c r="A17" s="427" t="s">
        <v>802</v>
      </c>
      <c r="B17" s="429">
        <v>1290</v>
      </c>
      <c r="C17" s="1632">
        <v>929</v>
      </c>
      <c r="D17" s="1573">
        <v>158</v>
      </c>
      <c r="E17" s="1573">
        <v>133</v>
      </c>
      <c r="F17" s="1573">
        <v>55</v>
      </c>
      <c r="G17" s="1573">
        <v>82</v>
      </c>
      <c r="H17" s="1573"/>
      <c r="I17" s="1573">
        <v>14</v>
      </c>
      <c r="J17" s="1574">
        <v>106</v>
      </c>
      <c r="K17" s="1573">
        <v>14</v>
      </c>
    </row>
    <row r="18" spans="1:11" ht="12.75" customHeight="1" thickBot="1" x14ac:dyDescent="0.25">
      <c r="A18" s="1406" t="s">
        <v>534</v>
      </c>
      <c r="B18" s="1407"/>
      <c r="C18" s="1635">
        <f>SUM(C14:C17)</f>
        <v>929</v>
      </c>
      <c r="D18" s="1635">
        <f t="shared" ref="D18:K18" si="1">SUM(D14:D17)</f>
        <v>77326</v>
      </c>
      <c r="E18" s="1635">
        <f t="shared" si="1"/>
        <v>133</v>
      </c>
      <c r="F18" s="1635">
        <f t="shared" si="1"/>
        <v>55</v>
      </c>
      <c r="G18" s="1635">
        <f t="shared" si="1"/>
        <v>3795</v>
      </c>
      <c r="H18" s="1635">
        <f t="shared" si="1"/>
        <v>0</v>
      </c>
      <c r="I18" s="1635">
        <f t="shared" si="1"/>
        <v>14</v>
      </c>
      <c r="J18" s="1635">
        <f t="shared" si="1"/>
        <v>106</v>
      </c>
      <c r="K18" s="1636">
        <f t="shared" si="1"/>
        <v>14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25101</v>
      </c>
      <c r="D65" s="1573">
        <v>3350</v>
      </c>
      <c r="E65" s="1573">
        <v>1033</v>
      </c>
      <c r="F65" s="1574">
        <v>2881</v>
      </c>
      <c r="G65" s="1573">
        <v>1881</v>
      </c>
      <c r="H65" s="1573">
        <v>298</v>
      </c>
      <c r="I65" s="1573">
        <v>700</v>
      </c>
      <c r="J65" s="1574">
        <v>1843</v>
      </c>
      <c r="K65" s="1573">
        <v>734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25101</v>
      </c>
      <c r="D67" s="1594">
        <f t="shared" ref="D67:K67" si="2">SUM(D65:D66)</f>
        <v>3350</v>
      </c>
      <c r="E67" s="1594">
        <f t="shared" si="2"/>
        <v>1033</v>
      </c>
      <c r="F67" s="1594">
        <f t="shared" si="2"/>
        <v>2881</v>
      </c>
      <c r="G67" s="1594">
        <f t="shared" si="2"/>
        <v>1881</v>
      </c>
      <c r="H67" s="1594">
        <f t="shared" si="2"/>
        <v>298</v>
      </c>
      <c r="I67" s="1594">
        <f t="shared" si="2"/>
        <v>700</v>
      </c>
      <c r="J67" s="1594">
        <f t="shared" si="2"/>
        <v>1843</v>
      </c>
      <c r="K67" s="1594">
        <f t="shared" si="2"/>
        <v>734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36387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4271</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955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41613</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7901</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7901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10805</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10805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8522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16964</v>
      </c>
      <c r="D98" s="1573"/>
      <c r="E98" s="1612"/>
      <c r="F98" s="1573"/>
      <c r="G98" s="1612"/>
      <c r="H98" s="1612"/>
      <c r="I98" s="1610"/>
      <c r="J98" s="1612"/>
      <c r="K98" s="1612"/>
    </row>
    <row r="99" spans="1:12" ht="12.75" customHeight="1" x14ac:dyDescent="0.2">
      <c r="A99" s="427" t="s">
        <v>816</v>
      </c>
      <c r="B99" s="429">
        <v>1950</v>
      </c>
      <c r="C99" s="1598">
        <v>5775</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79753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106055</v>
      </c>
      <c r="D107" s="1573">
        <v>239857</v>
      </c>
      <c r="E107" s="1573"/>
      <c r="F107" s="1573"/>
      <c r="G107" s="1573"/>
      <c r="H107" s="1573"/>
      <c r="I107" s="1573"/>
      <c r="J107" s="1574"/>
      <c r="K107" s="1573"/>
    </row>
    <row r="108" spans="1:12" ht="12.75" customHeight="1" thickBot="1" x14ac:dyDescent="0.25">
      <c r="A108" s="1406" t="s">
        <v>484</v>
      </c>
      <c r="B108" s="1408"/>
      <c r="C108" s="1633">
        <f>SUM(C95:C107)</f>
        <v>137316</v>
      </c>
      <c r="D108" s="1633">
        <f t="shared" ref="D108:K108" si="3">SUM(D95:D107)</f>
        <v>239857</v>
      </c>
      <c r="E108" s="1633">
        <f t="shared" si="3"/>
        <v>0</v>
      </c>
      <c r="F108" s="1633">
        <f t="shared" si="3"/>
        <v>0</v>
      </c>
      <c r="G108" s="1633">
        <f t="shared" si="3"/>
        <v>0</v>
      </c>
      <c r="H108" s="1633">
        <f t="shared" si="3"/>
        <v>79753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2059757</v>
      </c>
      <c r="D109" s="1641">
        <f t="shared" si="4"/>
        <v>631965</v>
      </c>
      <c r="E109" s="1641">
        <f t="shared" si="4"/>
        <v>262707</v>
      </c>
      <c r="F109" s="1641">
        <f t="shared" si="4"/>
        <v>111261</v>
      </c>
      <c r="G109" s="1641">
        <f t="shared" si="4"/>
        <v>166646</v>
      </c>
      <c r="H109" s="1641">
        <f t="shared" si="4"/>
        <v>80051</v>
      </c>
      <c r="I109" s="1641">
        <f t="shared" si="4"/>
        <v>27795</v>
      </c>
      <c r="J109" s="1641">
        <f t="shared" si="4"/>
        <v>211122</v>
      </c>
      <c r="K109" s="1629">
        <f t="shared" si="4"/>
        <v>27829</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978036</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978036</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53999</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10291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64290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3674</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3674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937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3222</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65493</v>
      </c>
      <c r="G152" s="1574"/>
      <c r="H152" s="1575"/>
      <c r="I152" s="1575"/>
      <c r="J152" s="1575"/>
      <c r="K152" s="1575"/>
    </row>
    <row r="153" spans="1:11" ht="12.75" customHeight="1" x14ac:dyDescent="0.2">
      <c r="A153" s="427" t="s">
        <v>1048</v>
      </c>
      <c r="B153" s="478">
        <v>3510</v>
      </c>
      <c r="C153" s="1632"/>
      <c r="D153" s="1573"/>
      <c r="E153" s="1640"/>
      <c r="F153" s="1573">
        <v>132742</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198235</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v>50000</v>
      </c>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6242</v>
      </c>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78365</v>
      </c>
      <c r="D169" s="1658">
        <f t="shared" si="6"/>
        <v>50000</v>
      </c>
      <c r="E169" s="1658">
        <f t="shared" si="6"/>
        <v>0</v>
      </c>
      <c r="F169" s="1658">
        <f t="shared" si="6"/>
        <v>198235</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1056401</v>
      </c>
      <c r="D170" s="1641">
        <f t="shared" si="7"/>
        <v>50000</v>
      </c>
      <c r="E170" s="1641">
        <f t="shared" si="7"/>
        <v>0</v>
      </c>
      <c r="F170" s="1641">
        <f t="shared" si="7"/>
        <v>198235</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58643</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10679</v>
      </c>
      <c r="D193" s="1575"/>
      <c r="E193" s="1640"/>
      <c r="F193" s="1575"/>
      <c r="G193" s="1664"/>
      <c r="H193" s="1575"/>
      <c r="I193" s="1575"/>
      <c r="J193" s="1575"/>
      <c r="K193" s="1575"/>
    </row>
    <row r="194" spans="1:11" ht="12.75" customHeight="1" x14ac:dyDescent="0.2">
      <c r="A194" s="427" t="s">
        <v>1434</v>
      </c>
      <c r="B194" s="429">
        <v>4225</v>
      </c>
      <c r="C194" s="1632">
        <v>46430</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115752</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74965</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151759</v>
      </c>
      <c r="D203" s="1573"/>
      <c r="E203" s="1575"/>
      <c r="F203" s="1573"/>
      <c r="G203" s="1573"/>
      <c r="H203" s="1575"/>
      <c r="I203" s="1575"/>
      <c r="J203" s="1575"/>
      <c r="K203" s="1575"/>
    </row>
    <row r="204" spans="1:11" ht="12.75" customHeight="1" thickBot="1" x14ac:dyDescent="0.25">
      <c r="A204" s="1406" t="s">
        <v>397</v>
      </c>
      <c r="B204" s="1407"/>
      <c r="C204" s="1633">
        <f>SUM(C200:C203)</f>
        <v>226724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10473</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10473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10959</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96780</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107739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12638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506</v>
      </c>
      <c r="D263" s="1651"/>
      <c r="E263" s="1575"/>
      <c r="F263" s="1651">
        <v>583</v>
      </c>
      <c r="G263" s="1651"/>
      <c r="H263" s="1575"/>
      <c r="I263" s="1575"/>
      <c r="J263" s="1575"/>
      <c r="K263" s="1575"/>
    </row>
    <row r="264" spans="1:11" ht="12.75" customHeight="1" thickTop="1" thickBot="1" x14ac:dyDescent="0.25">
      <c r="A264" s="427" t="s">
        <v>374</v>
      </c>
      <c r="B264" s="429">
        <v>4992</v>
      </c>
      <c r="C264" s="1650">
        <v>4259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478091</v>
      </c>
      <c r="D266" s="1641">
        <f t="shared" si="10"/>
        <v>0</v>
      </c>
      <c r="E266" s="1641">
        <f t="shared" si="10"/>
        <v>0</v>
      </c>
      <c r="F266" s="1641">
        <f t="shared" si="10"/>
        <v>583</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478091</v>
      </c>
      <c r="D267" s="1641">
        <f>SUM(D175,D181,D266)</f>
        <v>0</v>
      </c>
      <c r="E267" s="1641">
        <f>SUM(E175,E266)</f>
        <v>0</v>
      </c>
      <c r="F267" s="1641">
        <f t="shared" ref="F267:K267" si="11">SUM(F175,F181,F266)</f>
        <v>583</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3594249</v>
      </c>
      <c r="D268" s="1641">
        <f t="shared" si="12"/>
        <v>681965</v>
      </c>
      <c r="E268" s="1641">
        <f t="shared" si="12"/>
        <v>262707</v>
      </c>
      <c r="F268" s="1641">
        <f t="shared" si="12"/>
        <v>310079</v>
      </c>
      <c r="G268" s="1641">
        <f t="shared" si="12"/>
        <v>166646</v>
      </c>
      <c r="H268" s="1641">
        <f t="shared" si="12"/>
        <v>80051</v>
      </c>
      <c r="I268" s="1641">
        <f t="shared" si="12"/>
        <v>27795</v>
      </c>
      <c r="J268" s="1641">
        <f t="shared" si="12"/>
        <v>211122</v>
      </c>
      <c r="K268" s="1629">
        <f t="shared" si="12"/>
        <v>27829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notes to the financial statements are an integral part of this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42" zoomScaleNormal="142" workbookViewId="0">
      <pane ySplit="2" topLeftCell="A318" activePane="bottomLeft" state="frozen"/>
      <selection pane="bottomLeft" activeCell="E325" sqref="E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1014972</v>
      </c>
      <c r="D5" s="1573">
        <v>239844</v>
      </c>
      <c r="E5" s="1573">
        <v>9184</v>
      </c>
      <c r="F5" s="1573">
        <v>22955</v>
      </c>
      <c r="G5" s="1573">
        <v>3648</v>
      </c>
      <c r="H5" s="1573">
        <v>18731</v>
      </c>
      <c r="I5" s="1574"/>
      <c r="J5" s="1574"/>
      <c r="K5" s="1672">
        <f>SUM(C5:J5)</f>
        <v>1309334</v>
      </c>
      <c r="L5" s="1573">
        <v>1380192</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254485</v>
      </c>
      <c r="D8" s="1573">
        <v>53457</v>
      </c>
      <c r="E8" s="1573"/>
      <c r="F8" s="1573">
        <v>278</v>
      </c>
      <c r="G8" s="1573"/>
      <c r="H8" s="1573"/>
      <c r="I8" s="1574"/>
      <c r="J8" s="1574"/>
      <c r="K8" s="1672">
        <f t="shared" si="0"/>
        <v>308220</v>
      </c>
      <c r="L8" s="1573">
        <v>289819</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75360</v>
      </c>
      <c r="D10" s="1573">
        <v>29478</v>
      </c>
      <c r="E10" s="1573">
        <v>29961</v>
      </c>
      <c r="F10" s="1573">
        <v>15179</v>
      </c>
      <c r="G10" s="1573">
        <v>125177</v>
      </c>
      <c r="H10" s="1573"/>
      <c r="I10" s="1574"/>
      <c r="J10" s="1574"/>
      <c r="K10" s="1672">
        <f t="shared" si="0"/>
        <v>275155</v>
      </c>
      <c r="L10" s="1573">
        <v>336442</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59278</v>
      </c>
      <c r="D13" s="1573">
        <v>15422</v>
      </c>
      <c r="E13" s="1573"/>
      <c r="F13" s="1573">
        <v>93</v>
      </c>
      <c r="G13" s="1573"/>
      <c r="H13" s="1573"/>
      <c r="I13" s="1574"/>
      <c r="J13" s="1574"/>
      <c r="K13" s="1672">
        <f t="shared" si="0"/>
        <v>74793</v>
      </c>
      <c r="L13" s="1573">
        <v>69606</v>
      </c>
    </row>
    <row r="14" spans="1:14" x14ac:dyDescent="0.2">
      <c r="A14" s="1274" t="s">
        <v>957</v>
      </c>
      <c r="B14" s="503">
        <v>1500</v>
      </c>
      <c r="C14" s="1573">
        <v>79675</v>
      </c>
      <c r="D14" s="1573">
        <v>5869</v>
      </c>
      <c r="E14" s="1573">
        <v>13585</v>
      </c>
      <c r="F14" s="1573">
        <v>35082</v>
      </c>
      <c r="G14" s="1573"/>
      <c r="H14" s="1573">
        <v>12042</v>
      </c>
      <c r="I14" s="1574"/>
      <c r="J14" s="1574"/>
      <c r="K14" s="1672">
        <f t="shared" si="0"/>
        <v>146253</v>
      </c>
      <c r="L14" s="1573">
        <v>134443</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c r="D17" s="1574"/>
      <c r="E17" s="1574"/>
      <c r="F17" s="1574"/>
      <c r="G17" s="1574"/>
      <c r="H17" s="1574"/>
      <c r="I17" s="1574"/>
      <c r="J17" s="1574"/>
      <c r="K17" s="1672">
        <f t="shared" si="0"/>
        <v>0</v>
      </c>
      <c r="L17" s="1573">
        <v>0</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1483770</v>
      </c>
      <c r="D33" s="1674">
        <f t="shared" ref="D33:L33" si="1">SUM(D5:D32)</f>
        <v>344070</v>
      </c>
      <c r="E33" s="1674">
        <f t="shared" si="1"/>
        <v>52730</v>
      </c>
      <c r="F33" s="1674">
        <f t="shared" si="1"/>
        <v>73587</v>
      </c>
      <c r="G33" s="1674">
        <f t="shared" si="1"/>
        <v>128825</v>
      </c>
      <c r="H33" s="1674">
        <f t="shared" si="1"/>
        <v>30773</v>
      </c>
      <c r="I33" s="1674">
        <f t="shared" si="1"/>
        <v>0</v>
      </c>
      <c r="J33" s="1674">
        <f t="shared" si="1"/>
        <v>0</v>
      </c>
      <c r="K33" s="1674">
        <f t="shared" si="1"/>
        <v>2113755</v>
      </c>
      <c r="L33" s="1674">
        <f t="shared" si="1"/>
        <v>2210502</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v>43680</v>
      </c>
      <c r="D37" s="1573">
        <v>21613</v>
      </c>
      <c r="E37" s="1573"/>
      <c r="F37" s="1573"/>
      <c r="G37" s="1573"/>
      <c r="H37" s="1573"/>
      <c r="I37" s="1574"/>
      <c r="J37" s="1574"/>
      <c r="K37" s="1672">
        <f t="shared" si="2"/>
        <v>65293</v>
      </c>
      <c r="L37" s="1573">
        <v>60908</v>
      </c>
    </row>
    <row r="38" spans="1:14" x14ac:dyDescent="0.2">
      <c r="A38" s="1274" t="s">
        <v>196</v>
      </c>
      <c r="B38" s="503">
        <v>2130</v>
      </c>
      <c r="C38" s="1573"/>
      <c r="D38" s="1573"/>
      <c r="E38" s="1573">
        <v>2624</v>
      </c>
      <c r="F38" s="1573">
        <v>69</v>
      </c>
      <c r="G38" s="1573"/>
      <c r="H38" s="1573"/>
      <c r="I38" s="1574"/>
      <c r="J38" s="1574"/>
      <c r="K38" s="1672">
        <f t="shared" si="2"/>
        <v>2693</v>
      </c>
      <c r="L38" s="1573">
        <v>4250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43680</v>
      </c>
      <c r="D42" s="1674">
        <f t="shared" ref="D42:L42" si="3">SUM(D36:D41)</f>
        <v>21613</v>
      </c>
      <c r="E42" s="1674">
        <f t="shared" si="3"/>
        <v>2624</v>
      </c>
      <c r="F42" s="1674">
        <f t="shared" si="3"/>
        <v>69</v>
      </c>
      <c r="G42" s="1674">
        <f t="shared" si="3"/>
        <v>0</v>
      </c>
      <c r="H42" s="1674">
        <f t="shared" si="3"/>
        <v>0</v>
      </c>
      <c r="I42" s="1674">
        <f t="shared" si="3"/>
        <v>0</v>
      </c>
      <c r="J42" s="1674">
        <f t="shared" si="3"/>
        <v>0</v>
      </c>
      <c r="K42" s="1674">
        <f t="shared" si="3"/>
        <v>67986</v>
      </c>
      <c r="L42" s="1674">
        <f t="shared" si="3"/>
        <v>65158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v>2430</v>
      </c>
      <c r="F44" s="1586"/>
      <c r="G44" s="1586"/>
      <c r="H44" s="1586"/>
      <c r="I44" s="1574"/>
      <c r="J44" s="1574"/>
      <c r="K44" s="1678">
        <f>SUM(C44:J44)</f>
        <v>2430</v>
      </c>
      <c r="L44" s="1586">
        <v>11600</v>
      </c>
    </row>
    <row r="45" spans="1:14" x14ac:dyDescent="0.2">
      <c r="A45" s="1274" t="s">
        <v>810</v>
      </c>
      <c r="B45" s="503">
        <v>2220</v>
      </c>
      <c r="C45" s="1573">
        <v>2916</v>
      </c>
      <c r="D45" s="1573"/>
      <c r="E45" s="1573">
        <v>12365</v>
      </c>
      <c r="F45" s="1573">
        <v>1153</v>
      </c>
      <c r="G45" s="1573"/>
      <c r="H45" s="1573">
        <v>405</v>
      </c>
      <c r="I45" s="1574"/>
      <c r="J45" s="1574"/>
      <c r="K45" s="1678">
        <f>SUM(C45:J45)</f>
        <v>16839</v>
      </c>
      <c r="L45" s="1573">
        <v>30200</v>
      </c>
    </row>
    <row r="46" spans="1:14" x14ac:dyDescent="0.2">
      <c r="A46" s="1274" t="s">
        <v>811</v>
      </c>
      <c r="B46" s="503">
        <v>2230</v>
      </c>
      <c r="C46" s="1573"/>
      <c r="D46" s="1573"/>
      <c r="E46" s="1573">
        <v>1560</v>
      </c>
      <c r="F46" s="1573"/>
      <c r="G46" s="1573"/>
      <c r="H46" s="1573"/>
      <c r="I46" s="1574"/>
      <c r="J46" s="1574"/>
      <c r="K46" s="1678">
        <f>SUM(C46:J46)</f>
        <v>1560</v>
      </c>
      <c r="L46" s="1573">
        <v>0</v>
      </c>
    </row>
    <row r="47" spans="1:14" ht="12.75" customHeight="1" thickBot="1" x14ac:dyDescent="0.25">
      <c r="A47" s="1380" t="s">
        <v>557</v>
      </c>
      <c r="B47" s="1381" t="s">
        <v>32</v>
      </c>
      <c r="C47" s="1674">
        <f>SUM(C44:C46)</f>
        <v>2916</v>
      </c>
      <c r="D47" s="1674">
        <f t="shared" ref="D47:K47" si="4">SUM(D44:D46)</f>
        <v>0</v>
      </c>
      <c r="E47" s="1674">
        <f t="shared" si="4"/>
        <v>16355</v>
      </c>
      <c r="F47" s="1674">
        <f t="shared" si="4"/>
        <v>1153</v>
      </c>
      <c r="G47" s="1674">
        <f t="shared" si="4"/>
        <v>0</v>
      </c>
      <c r="H47" s="1674">
        <f t="shared" si="4"/>
        <v>405</v>
      </c>
      <c r="I47" s="1674">
        <f t="shared" si="4"/>
        <v>0</v>
      </c>
      <c r="J47" s="1674">
        <f t="shared" si="4"/>
        <v>0</v>
      </c>
      <c r="K47" s="1674">
        <f t="shared" si="4"/>
        <v>20829</v>
      </c>
      <c r="L47" s="1674">
        <f>SUM(L44:L46)</f>
        <v>41800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8156</v>
      </c>
      <c r="F49" s="1586"/>
      <c r="G49" s="1586"/>
      <c r="H49" s="1586">
        <v>2623</v>
      </c>
      <c r="I49" s="1574"/>
      <c r="J49" s="1574"/>
      <c r="K49" s="1678">
        <f>SUM(C49:J49)</f>
        <v>10779</v>
      </c>
      <c r="L49" s="1586">
        <v>16000</v>
      </c>
    </row>
    <row r="50" spans="1:14" x14ac:dyDescent="0.2">
      <c r="A50" s="1274" t="s">
        <v>813</v>
      </c>
      <c r="B50" s="503">
        <v>2320</v>
      </c>
      <c r="C50" s="1573">
        <v>70952</v>
      </c>
      <c r="D50" s="1573">
        <v>31404</v>
      </c>
      <c r="E50" s="1573">
        <v>2203</v>
      </c>
      <c r="F50" s="1573">
        <v>93</v>
      </c>
      <c r="G50" s="1573"/>
      <c r="H50" s="1573">
        <v>1222</v>
      </c>
      <c r="I50" s="1574"/>
      <c r="J50" s="1574"/>
      <c r="K50" s="1678">
        <f>SUM(C50:J50)</f>
        <v>105874</v>
      </c>
      <c r="L50" s="1573">
        <v>104611</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70952</v>
      </c>
      <c r="D53" s="1674">
        <f t="shared" ref="D53:L53" si="5">SUM(D49:D52)</f>
        <v>31404</v>
      </c>
      <c r="E53" s="1674">
        <f t="shared" si="5"/>
        <v>10359</v>
      </c>
      <c r="F53" s="1674">
        <f t="shared" si="5"/>
        <v>93</v>
      </c>
      <c r="G53" s="1674">
        <f t="shared" si="5"/>
        <v>0</v>
      </c>
      <c r="H53" s="1674">
        <f t="shared" si="5"/>
        <v>3845</v>
      </c>
      <c r="I53" s="1674">
        <f t="shared" si="5"/>
        <v>0</v>
      </c>
      <c r="J53" s="1674">
        <f t="shared" si="5"/>
        <v>0</v>
      </c>
      <c r="K53" s="1674">
        <f t="shared" si="5"/>
        <v>116653</v>
      </c>
      <c r="L53" s="1674">
        <f t="shared" si="5"/>
        <v>120611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172200</v>
      </c>
      <c r="D55" s="1586">
        <v>62672</v>
      </c>
      <c r="E55" s="1586">
        <v>1540</v>
      </c>
      <c r="F55" s="1586">
        <v>223</v>
      </c>
      <c r="G55" s="1586"/>
      <c r="H55" s="1586">
        <v>1172</v>
      </c>
      <c r="I55" s="1574"/>
      <c r="J55" s="1574"/>
      <c r="K55" s="1678">
        <f>SUM(C55:J55)</f>
        <v>237807</v>
      </c>
      <c r="L55" s="1586">
        <v>232539</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172200</v>
      </c>
      <c r="D57" s="1679">
        <f t="shared" ref="D57:K57" si="6">SUM(D55:D56)</f>
        <v>62672</v>
      </c>
      <c r="E57" s="1679">
        <f t="shared" si="6"/>
        <v>1540</v>
      </c>
      <c r="F57" s="1679">
        <f t="shared" si="6"/>
        <v>223</v>
      </c>
      <c r="G57" s="1679">
        <f t="shared" si="6"/>
        <v>0</v>
      </c>
      <c r="H57" s="1679">
        <f t="shared" si="6"/>
        <v>1172</v>
      </c>
      <c r="I57" s="1679">
        <f t="shared" si="6"/>
        <v>0</v>
      </c>
      <c r="J57" s="1679">
        <f t="shared" si="6"/>
        <v>0</v>
      </c>
      <c r="K57" s="1679">
        <f t="shared" si="6"/>
        <v>237807</v>
      </c>
      <c r="L57" s="1674">
        <f>SUM(L55:L56)</f>
        <v>232539</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v>70949</v>
      </c>
      <c r="D60" s="1573">
        <v>17871</v>
      </c>
      <c r="E60" s="1573">
        <v>8274</v>
      </c>
      <c r="F60" s="1573">
        <v>1091</v>
      </c>
      <c r="G60" s="1573"/>
      <c r="H60" s="1573">
        <v>3240</v>
      </c>
      <c r="I60" s="1574"/>
      <c r="J60" s="1574"/>
      <c r="K60" s="1678">
        <f t="shared" si="7"/>
        <v>101425</v>
      </c>
      <c r="L60" s="1573">
        <v>92460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v>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v>58489</v>
      </c>
      <c r="D63" s="1573">
        <v>21154</v>
      </c>
      <c r="E63" s="1573">
        <v>1622</v>
      </c>
      <c r="F63" s="1573">
        <v>91859</v>
      </c>
      <c r="G63" s="1573"/>
      <c r="H63" s="1573">
        <v>314</v>
      </c>
      <c r="I63" s="1574"/>
      <c r="J63" s="1574"/>
      <c r="K63" s="1678">
        <f t="shared" si="7"/>
        <v>173438</v>
      </c>
      <c r="L63" s="1573">
        <v>156245</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129438</v>
      </c>
      <c r="D65" s="1674">
        <f t="shared" ref="D65:L65" si="8">SUM(D59:D64)</f>
        <v>39025</v>
      </c>
      <c r="E65" s="1674">
        <f t="shared" si="8"/>
        <v>9896</v>
      </c>
      <c r="F65" s="1674">
        <f t="shared" si="8"/>
        <v>92950</v>
      </c>
      <c r="G65" s="1674">
        <f t="shared" si="8"/>
        <v>0</v>
      </c>
      <c r="H65" s="1674">
        <f t="shared" si="8"/>
        <v>3554</v>
      </c>
      <c r="I65" s="1674">
        <f t="shared" si="8"/>
        <v>0</v>
      </c>
      <c r="J65" s="1674">
        <f t="shared" si="8"/>
        <v>0</v>
      </c>
      <c r="K65" s="1674">
        <f t="shared" si="8"/>
        <v>274863</v>
      </c>
      <c r="L65" s="1674">
        <f t="shared" si="8"/>
        <v>248705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c r="F71" s="1573"/>
      <c r="G71" s="1573"/>
      <c r="H71" s="1573">
        <v>22780</v>
      </c>
      <c r="I71" s="1574"/>
      <c r="J71" s="1574"/>
      <c r="K71" s="1678">
        <f>SUM(C71:J71)</f>
        <v>22780</v>
      </c>
      <c r="L71" s="1573">
        <v>18000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22780</v>
      </c>
      <c r="I72" s="1674">
        <f t="shared" si="9"/>
        <v>0</v>
      </c>
      <c r="J72" s="1674">
        <f t="shared" si="9"/>
        <v>0</v>
      </c>
      <c r="K72" s="1674">
        <f t="shared" si="9"/>
        <v>22780</v>
      </c>
      <c r="L72" s="1674">
        <f>SUM(L67:L71)</f>
        <v>18000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0</v>
      </c>
      <c r="M73" s="501"/>
      <c r="N73" s="501"/>
    </row>
    <row r="74" spans="1:14" ht="12.75" customHeight="1" thickTop="1" thickBot="1" x14ac:dyDescent="0.25">
      <c r="A74" s="1380" t="s">
        <v>806</v>
      </c>
      <c r="B74" s="1384">
        <v>2000</v>
      </c>
      <c r="C74" s="1681">
        <f>SUM(C42,C47,C53,C57,C65,C72,C73)</f>
        <v>419186</v>
      </c>
      <c r="D74" s="1681">
        <f t="shared" ref="D74:K74" si="10">SUM(D42,D47,D53,D57,D65,D72,D73)</f>
        <v>154714</v>
      </c>
      <c r="E74" s="1681">
        <f t="shared" si="10"/>
        <v>40774</v>
      </c>
      <c r="F74" s="1681">
        <f t="shared" si="10"/>
        <v>94488</v>
      </c>
      <c r="G74" s="1681">
        <f t="shared" si="10"/>
        <v>0</v>
      </c>
      <c r="H74" s="1681">
        <f t="shared" si="10"/>
        <v>31756</v>
      </c>
      <c r="I74" s="1681">
        <f t="shared" si="10"/>
        <v>0</v>
      </c>
      <c r="J74" s="1681">
        <f t="shared" si="10"/>
        <v>0</v>
      </c>
      <c r="K74" s="1681">
        <f t="shared" si="10"/>
        <v>740918</v>
      </c>
      <c r="L74" s="1681">
        <f>SUM(L42,L47,L53,L57,L65,L72,L73)</f>
        <v>726813</v>
      </c>
    </row>
    <row r="75" spans="1:14" s="254" customFormat="1" ht="15.75" customHeight="1" thickTop="1" thickBot="1" x14ac:dyDescent="0.25">
      <c r="A75" s="1348" t="s">
        <v>47</v>
      </c>
      <c r="B75" s="1349" t="s">
        <v>571</v>
      </c>
      <c r="C75" s="1649"/>
      <c r="D75" s="1649"/>
      <c r="E75" s="1649">
        <v>20576</v>
      </c>
      <c r="F75" s="1649"/>
      <c r="G75" s="1649"/>
      <c r="H75" s="1649"/>
      <c r="I75" s="1627"/>
      <c r="J75" s="1627"/>
      <c r="K75" s="1674">
        <f>SUM(C75:J75)</f>
        <v>20576</v>
      </c>
      <c r="L75" s="1651">
        <v>26000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0</v>
      </c>
    </row>
    <row r="79" spans="1:14" x14ac:dyDescent="0.2">
      <c r="A79" s="1274" t="s">
        <v>301</v>
      </c>
      <c r="B79" s="503">
        <v>4120</v>
      </c>
      <c r="C79" s="1673"/>
      <c r="D79" s="1673"/>
      <c r="E79" s="1573">
        <v>215849</v>
      </c>
      <c r="F79" s="1673"/>
      <c r="G79" s="1673"/>
      <c r="H79" s="1573">
        <v>379404</v>
      </c>
      <c r="I79" s="1582"/>
      <c r="J79" s="1582"/>
      <c r="K79" s="1672">
        <f t="shared" si="11"/>
        <v>595253</v>
      </c>
      <c r="L79" s="1573">
        <v>236564</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c r="F83" s="1673"/>
      <c r="G83" s="1673"/>
      <c r="H83" s="1573"/>
      <c r="I83" s="1582"/>
      <c r="J83" s="1582"/>
      <c r="K83" s="1672">
        <f t="shared" si="11"/>
        <v>0</v>
      </c>
      <c r="L83" s="1573">
        <v>0</v>
      </c>
    </row>
    <row r="84" spans="1:12" ht="13.5" thickBot="1" x14ac:dyDescent="0.25">
      <c r="A84" s="1380" t="s">
        <v>1468</v>
      </c>
      <c r="B84" s="1385">
        <v>4100</v>
      </c>
      <c r="C84" s="1673"/>
      <c r="D84" s="1673"/>
      <c r="E84" s="1674">
        <f>SUM(E78:E83)</f>
        <v>215849</v>
      </c>
      <c r="F84" s="1673"/>
      <c r="G84" s="1673"/>
      <c r="H84" s="1674">
        <f>SUM(H78:H83)</f>
        <v>379404</v>
      </c>
      <c r="I84" s="1582"/>
      <c r="J84" s="1582"/>
      <c r="K84" s="1674">
        <f>SUM(K78:K83)</f>
        <v>595253</v>
      </c>
      <c r="L84" s="1674">
        <f>SUM(L78:L83)</f>
        <v>236564</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449404</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449404</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215849</v>
      </c>
      <c r="F102" s="1673"/>
      <c r="G102" s="1673"/>
      <c r="H102" s="1681">
        <f>SUM(H84,H92,H100,H101)</f>
        <v>379404</v>
      </c>
      <c r="I102" s="1582"/>
      <c r="J102" s="1582"/>
      <c r="K102" s="1681">
        <f>SUM(K84,K92,K100,K101)</f>
        <v>595253</v>
      </c>
      <c r="L102" s="1681">
        <f>SUM(L84,L92,L100,L101)</f>
        <v>685968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1902956</v>
      </c>
      <c r="D114" s="1674">
        <f t="shared" ref="D114:K114" si="13">SUM(D33,D74,D75,D102,D112,D113)</f>
        <v>498784</v>
      </c>
      <c r="E114" s="1674">
        <f t="shared" si="13"/>
        <v>329929</v>
      </c>
      <c r="F114" s="1674">
        <f t="shared" si="13"/>
        <v>168075</v>
      </c>
      <c r="G114" s="1674">
        <f t="shared" si="13"/>
        <v>128825</v>
      </c>
      <c r="H114" s="1674">
        <f>SUM(H33,H74,H75,H102,H112,H113)</f>
        <v>441933</v>
      </c>
      <c r="I114" s="1674">
        <f t="shared" si="13"/>
        <v>0</v>
      </c>
      <c r="J114" s="1674">
        <f t="shared" si="13"/>
        <v>0</v>
      </c>
      <c r="K114" s="1674">
        <f t="shared" si="13"/>
        <v>3470502</v>
      </c>
      <c r="L114" s="1674">
        <f>SUM(L33,L74,L75,L102,L112,L113)</f>
        <v>3649283</v>
      </c>
    </row>
    <row r="115" spans="1:14" ht="13.5" thickTop="1" x14ac:dyDescent="0.2">
      <c r="A115" s="2262" t="s">
        <v>989</v>
      </c>
      <c r="B115" s="2263"/>
      <c r="C115" s="1675"/>
      <c r="D115" s="1675"/>
      <c r="E115" s="1675"/>
      <c r="F115" s="1675"/>
      <c r="G115" s="1675"/>
      <c r="H115" s="1675"/>
      <c r="I115" s="1675"/>
      <c r="J115" s="1675"/>
      <c r="K115" s="1689">
        <f>'Revenues 9-14'!C268-'Expenditures 15-22'!K114</f>
        <v>123747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154456</v>
      </c>
      <c r="D124" s="1573">
        <v>25469</v>
      </c>
      <c r="E124" s="1573">
        <v>261669</v>
      </c>
      <c r="F124" s="1573">
        <v>95490</v>
      </c>
      <c r="G124" s="1573">
        <v>37613</v>
      </c>
      <c r="H124" s="1573"/>
      <c r="I124" s="1574"/>
      <c r="J124" s="1574"/>
      <c r="K124" s="1674">
        <f>SUM(C124:J124)</f>
        <v>574697</v>
      </c>
      <c r="L124" s="1573">
        <v>557224</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154456</v>
      </c>
      <c r="D127" s="1674">
        <f t="shared" ref="D127:L127" si="14">SUM(D122:D126)</f>
        <v>25469</v>
      </c>
      <c r="E127" s="1674">
        <f t="shared" si="14"/>
        <v>261669</v>
      </c>
      <c r="F127" s="1674">
        <f t="shared" si="14"/>
        <v>95490</v>
      </c>
      <c r="G127" s="1674">
        <f t="shared" si="14"/>
        <v>37613</v>
      </c>
      <c r="H127" s="1674">
        <f t="shared" si="14"/>
        <v>0</v>
      </c>
      <c r="I127" s="1674">
        <f t="shared" si="14"/>
        <v>0</v>
      </c>
      <c r="J127" s="1674">
        <f t="shared" si="14"/>
        <v>0</v>
      </c>
      <c r="K127" s="1674">
        <f t="shared" si="14"/>
        <v>574697</v>
      </c>
      <c r="L127" s="1674">
        <f t="shared" si="14"/>
        <v>557224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154456</v>
      </c>
      <c r="D129" s="1681">
        <f t="shared" ref="D129:L129" si="15">SUM(D120,D127,D128)</f>
        <v>25469</v>
      </c>
      <c r="E129" s="1681">
        <f t="shared" si="15"/>
        <v>261669</v>
      </c>
      <c r="F129" s="1681">
        <f t="shared" si="15"/>
        <v>95490</v>
      </c>
      <c r="G129" s="1681">
        <f t="shared" si="15"/>
        <v>37613</v>
      </c>
      <c r="H129" s="1681">
        <f t="shared" si="15"/>
        <v>0</v>
      </c>
      <c r="I129" s="1681">
        <f t="shared" si="15"/>
        <v>0</v>
      </c>
      <c r="J129" s="1681">
        <f t="shared" si="15"/>
        <v>0</v>
      </c>
      <c r="K129" s="1681">
        <f t="shared" si="15"/>
        <v>574697</v>
      </c>
      <c r="L129" s="1681">
        <f t="shared" si="15"/>
        <v>557224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v>5254</v>
      </c>
      <c r="F136" s="1673"/>
      <c r="G136" s="1673"/>
      <c r="H136" s="1573"/>
      <c r="I136" s="1582"/>
      <c r="J136" s="1673"/>
      <c r="K136" s="1678">
        <f>SUM(E136,H136)</f>
        <v>5254</v>
      </c>
      <c r="L136" s="1573">
        <v>0</v>
      </c>
    </row>
    <row r="137" spans="1:14" ht="12.75" customHeight="1" thickBot="1" x14ac:dyDescent="0.25">
      <c r="A137" s="1380" t="s">
        <v>477</v>
      </c>
      <c r="B137" s="1385">
        <v>4100</v>
      </c>
      <c r="C137" s="1673"/>
      <c r="D137" s="1673"/>
      <c r="E137" s="1674">
        <f>SUM(E133:E136)</f>
        <v>5254</v>
      </c>
      <c r="F137" s="1673"/>
      <c r="G137" s="1673"/>
      <c r="H137" s="1674">
        <f>SUM(H133:H136)</f>
        <v>0</v>
      </c>
      <c r="I137" s="1582"/>
      <c r="J137" s="1673"/>
      <c r="K137" s="1674">
        <f>SUM(K133:K136)</f>
        <v>5254</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5254</v>
      </c>
      <c r="F139" s="1673"/>
      <c r="G139" s="1673"/>
      <c r="H139" s="1687">
        <f>SUM(H137:H138)</f>
        <v>0</v>
      </c>
      <c r="I139" s="1582"/>
      <c r="J139" s="1673"/>
      <c r="K139" s="1678">
        <f>SUM(K137,K138)</f>
        <v>5254</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9" t="s">
        <v>616</v>
      </c>
      <c r="B151" s="2259"/>
      <c r="C151" s="1674">
        <f>SUM(C129,C130,C139,C149,C150)</f>
        <v>154456</v>
      </c>
      <c r="D151" s="1674">
        <f t="shared" ref="D151:K151" si="16">SUM(D129,D130,D139,D149,D150)</f>
        <v>25469</v>
      </c>
      <c r="E151" s="1674">
        <f t="shared" si="16"/>
        <v>266923</v>
      </c>
      <c r="F151" s="1674">
        <f t="shared" si="16"/>
        <v>95490</v>
      </c>
      <c r="G151" s="1674">
        <f t="shared" si="16"/>
        <v>37613</v>
      </c>
      <c r="H151" s="1674">
        <f t="shared" si="16"/>
        <v>0</v>
      </c>
      <c r="I151" s="1674">
        <f t="shared" si="16"/>
        <v>0</v>
      </c>
      <c r="J151" s="1674">
        <f t="shared" si="16"/>
        <v>0</v>
      </c>
      <c r="K151" s="1674">
        <f t="shared" si="16"/>
        <v>579951</v>
      </c>
      <c r="L151" s="1674">
        <f>SUM(L129,L130,L139,L149,L150)</f>
        <v>557224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102014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121915</v>
      </c>
      <c r="I169" s="1673"/>
      <c r="J169" s="1673"/>
      <c r="K169" s="1672">
        <f>SUM(C169:H169)</f>
        <v>121915</v>
      </c>
      <c r="L169" s="1695">
        <v>121915</v>
      </c>
    </row>
    <row r="170" spans="1:14" ht="33.75" customHeight="1" x14ac:dyDescent="0.2">
      <c r="A170" s="543" t="s">
        <v>1651</v>
      </c>
      <c r="B170" s="545" t="s">
        <v>31</v>
      </c>
      <c r="C170" s="1673"/>
      <c r="D170" s="1673"/>
      <c r="E170" s="1673"/>
      <c r="F170" s="1673"/>
      <c r="G170" s="1673"/>
      <c r="H170" s="1646">
        <v>140000</v>
      </c>
      <c r="I170" s="1673"/>
      <c r="J170" s="1673"/>
      <c r="K170" s="1672">
        <f>SUM(C170:J170)</f>
        <v>140000</v>
      </c>
      <c r="L170" s="1646">
        <v>140000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262415</v>
      </c>
      <c r="I172" s="1684"/>
      <c r="J172" s="1673"/>
      <c r="K172" s="1681">
        <f>SUM(K168,K169,K170,K171)</f>
        <v>262415</v>
      </c>
      <c r="L172" s="1681">
        <f>SUM(L168,L169,L170,L171)</f>
        <v>261915</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262415</v>
      </c>
      <c r="I174" s="1684"/>
      <c r="J174" s="1673"/>
      <c r="K174" s="1681">
        <f>SUM(K160,K172,K173)</f>
        <v>262415</v>
      </c>
      <c r="L174" s="1681">
        <f>SUM(L160,L172,L173)</f>
        <v>261915</v>
      </c>
    </row>
    <row r="175" spans="1:14" ht="13.5" thickTop="1" x14ac:dyDescent="0.2">
      <c r="A175" s="2262" t="s">
        <v>989</v>
      </c>
      <c r="B175" s="2263"/>
      <c r="C175" s="1673"/>
      <c r="D175" s="1673"/>
      <c r="E175" s="1673"/>
      <c r="F175" s="1673"/>
      <c r="G175" s="1673"/>
      <c r="H175" s="1675"/>
      <c r="I175" s="1673"/>
      <c r="J175" s="1673"/>
      <c r="K175" s="1689">
        <f>'Revenues 9-14'!E268-'Expenditures 15-22'!K174</f>
        <v>292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201929</v>
      </c>
      <c r="D182" s="1573">
        <v>24766</v>
      </c>
      <c r="E182" s="1573">
        <v>100934</v>
      </c>
      <c r="F182" s="1573">
        <v>31573</v>
      </c>
      <c r="G182" s="1573">
        <v>0</v>
      </c>
      <c r="H182" s="1573">
        <v>233</v>
      </c>
      <c r="I182" s="1574"/>
      <c r="J182" s="1574"/>
      <c r="K182" s="1672">
        <f>SUM(C182:J182)</f>
        <v>359435</v>
      </c>
      <c r="L182" s="1573">
        <v>378360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201929</v>
      </c>
      <c r="D184" s="1681">
        <f t="shared" ref="D184:J184" si="17">SUM(D180,D182,D183)</f>
        <v>24766</v>
      </c>
      <c r="E184" s="1681">
        <f t="shared" si="17"/>
        <v>100934</v>
      </c>
      <c r="F184" s="1681">
        <f t="shared" si="17"/>
        <v>31573</v>
      </c>
      <c r="G184" s="1681">
        <f t="shared" si="17"/>
        <v>0</v>
      </c>
      <c r="H184" s="1681">
        <f t="shared" si="17"/>
        <v>233</v>
      </c>
      <c r="I184" s="1681">
        <f t="shared" si="17"/>
        <v>0</v>
      </c>
      <c r="J184" s="1681">
        <f t="shared" si="17"/>
        <v>0</v>
      </c>
      <c r="K184" s="1681">
        <f>SUM(K180,K182,K183)</f>
        <v>359435</v>
      </c>
      <c r="L184" s="1681">
        <f>SUM(L180, L182:L183)</f>
        <v>378360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201929</v>
      </c>
      <c r="D210" s="1674">
        <f>SUM(D184,D185)</f>
        <v>24766</v>
      </c>
      <c r="E210" s="1674">
        <f>SUM(E184,E185,E196)</f>
        <v>100934</v>
      </c>
      <c r="F210" s="1674">
        <f>SUM(F184,F185)</f>
        <v>31573</v>
      </c>
      <c r="G210" s="1674">
        <f>SUM(G184,G185)</f>
        <v>0</v>
      </c>
      <c r="H210" s="1674">
        <f>SUM(H184,H185,H196,H208,H209)</f>
        <v>233</v>
      </c>
      <c r="I210" s="1674">
        <f>SUM(I184,I185)</f>
        <v>0</v>
      </c>
      <c r="J210" s="1674">
        <f>SUM(J184,J185)</f>
        <v>0</v>
      </c>
      <c r="K210" s="1672">
        <f>SUM(K184,K185,K196,K208,K209)</f>
        <v>359435</v>
      </c>
      <c r="L210" s="1674">
        <f>SUM(L184,L185,L196,L208,L209)</f>
        <v>378360</v>
      </c>
    </row>
    <row r="211" spans="1:14" ht="13.5" thickTop="1" x14ac:dyDescent="0.2">
      <c r="A211" s="2262" t="s">
        <v>989</v>
      </c>
      <c r="B211" s="2263"/>
      <c r="C211" s="1675"/>
      <c r="D211" s="1675"/>
      <c r="E211" s="1675"/>
      <c r="F211" s="1675"/>
      <c r="G211" s="1675"/>
      <c r="H211" s="1675"/>
      <c r="I211" s="1673"/>
      <c r="J211" s="1673"/>
      <c r="K211" s="1689">
        <f>'Revenues 9-14'!F268-'Expenditures 15-22'!K210</f>
        <v>-49356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15377</v>
      </c>
      <c r="E215" s="1673"/>
      <c r="F215" s="1673"/>
      <c r="G215" s="1673"/>
      <c r="H215" s="1673"/>
      <c r="I215" s="1673"/>
      <c r="J215" s="1673"/>
      <c r="K215" s="1672">
        <f>D215</f>
        <v>15377</v>
      </c>
      <c r="L215" s="1573">
        <v>15350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25324</v>
      </c>
      <c r="E217" s="1673"/>
      <c r="F217" s="1673"/>
      <c r="G217" s="1673"/>
      <c r="H217" s="1673"/>
      <c r="I217" s="1673"/>
      <c r="J217" s="1673"/>
      <c r="K217" s="1672">
        <f t="shared" si="19"/>
        <v>25324</v>
      </c>
      <c r="L217" s="1573">
        <v>20075</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4901</v>
      </c>
      <c r="E219" s="1673"/>
      <c r="F219" s="1673"/>
      <c r="G219" s="1673"/>
      <c r="H219" s="1673"/>
      <c r="I219" s="1673"/>
      <c r="J219" s="1673"/>
      <c r="K219" s="1672">
        <f t="shared" si="19"/>
        <v>4901</v>
      </c>
      <c r="L219" s="1573">
        <v>6650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920</v>
      </c>
      <c r="E222" s="1673"/>
      <c r="F222" s="1673"/>
      <c r="G222" s="1673"/>
      <c r="H222" s="1673"/>
      <c r="I222" s="1673"/>
      <c r="J222" s="1673"/>
      <c r="K222" s="1672">
        <f t="shared" si="19"/>
        <v>920</v>
      </c>
      <c r="L222" s="1573">
        <v>850</v>
      </c>
    </row>
    <row r="223" spans="1:14" x14ac:dyDescent="0.2">
      <c r="A223" s="1274" t="s">
        <v>957</v>
      </c>
      <c r="B223" s="503">
        <v>1500</v>
      </c>
      <c r="C223" s="1673"/>
      <c r="D223" s="1573">
        <v>4656</v>
      </c>
      <c r="E223" s="1673"/>
      <c r="F223" s="1673"/>
      <c r="G223" s="1673"/>
      <c r="H223" s="1673"/>
      <c r="I223" s="1673"/>
      <c r="J223" s="1673"/>
      <c r="K223" s="1672">
        <f t="shared" si="19"/>
        <v>4656</v>
      </c>
      <c r="L223" s="1573">
        <v>4270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51178</v>
      </c>
      <c r="E229" s="1673"/>
      <c r="F229" s="1673"/>
      <c r="G229" s="1673"/>
      <c r="H229" s="1673"/>
      <c r="I229" s="1673"/>
      <c r="J229" s="1673"/>
      <c r="K229" s="1674">
        <f>SUM(K215:K228)</f>
        <v>51178</v>
      </c>
      <c r="L229" s="1674">
        <f>SUM(L215:L228)</f>
        <v>47195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223</v>
      </c>
      <c r="E241" s="1673"/>
      <c r="F241" s="1673"/>
      <c r="G241" s="1673"/>
      <c r="H241" s="1673"/>
      <c r="I241" s="1673"/>
      <c r="J241" s="1673"/>
      <c r="K241" s="1678">
        <f>D241</f>
        <v>223</v>
      </c>
      <c r="L241" s="1573">
        <v>925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223</v>
      </c>
      <c r="E243" s="1673"/>
      <c r="F243" s="1673"/>
      <c r="G243" s="1673"/>
      <c r="H243" s="1673"/>
      <c r="I243" s="1673"/>
      <c r="J243" s="1673"/>
      <c r="K243" s="1674">
        <f>SUM(K240:K242)</f>
        <v>223</v>
      </c>
      <c r="L243" s="1674">
        <f>SUM(L240:L242)</f>
        <v>925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1029</v>
      </c>
      <c r="E246" s="1673"/>
      <c r="F246" s="1673"/>
      <c r="G246" s="1673"/>
      <c r="H246" s="1673"/>
      <c r="I246" s="1673"/>
      <c r="J246" s="1673"/>
      <c r="K246" s="1678">
        <f t="shared" ref="K246:K256" si="21">D246</f>
        <v>1029</v>
      </c>
      <c r="L246" s="1573">
        <v>1000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3793</v>
      </c>
      <c r="E254" s="1673"/>
      <c r="F254" s="1673"/>
      <c r="G254" s="1673"/>
      <c r="H254" s="1673"/>
      <c r="I254" s="1673"/>
      <c r="J254" s="1673"/>
      <c r="K254" s="1678">
        <f t="shared" si="21"/>
        <v>3793</v>
      </c>
      <c r="L254" s="1573">
        <v>4020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4822</v>
      </c>
      <c r="E257" s="1673"/>
      <c r="F257" s="1673"/>
      <c r="G257" s="1673"/>
      <c r="H257" s="1673"/>
      <c r="I257" s="1673"/>
      <c r="J257" s="1673"/>
      <c r="K257" s="1674">
        <f>SUM(K245:K256)</f>
        <v>4822</v>
      </c>
      <c r="L257" s="1674">
        <f>SUM(L245:L256)</f>
        <v>5020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17301</v>
      </c>
      <c r="E259" s="1673"/>
      <c r="F259" s="1673"/>
      <c r="G259" s="1673"/>
      <c r="H259" s="1673"/>
      <c r="I259" s="1673"/>
      <c r="J259" s="1673"/>
      <c r="K259" s="1678">
        <f>D259</f>
        <v>17301</v>
      </c>
      <c r="L259" s="1586">
        <v>18250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17301</v>
      </c>
      <c r="E261" s="1673"/>
      <c r="F261" s="1673"/>
      <c r="G261" s="1673"/>
      <c r="H261" s="1673"/>
      <c r="I261" s="1673"/>
      <c r="J261" s="1673"/>
      <c r="K261" s="1674">
        <f>SUM(K259:K260)</f>
        <v>17301</v>
      </c>
      <c r="L261" s="1674">
        <f>SUM(L259:L260)</f>
        <v>18250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11159</v>
      </c>
      <c r="E264" s="1673"/>
      <c r="F264" s="1673"/>
      <c r="G264" s="1673"/>
      <c r="H264" s="1673"/>
      <c r="I264" s="1673"/>
      <c r="J264" s="1673"/>
      <c r="K264" s="1678">
        <f t="shared" ref="K264:K269" si="22">D264</f>
        <v>11159</v>
      </c>
      <c r="L264" s="1573">
        <v>10300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27962</v>
      </c>
      <c r="E266" s="1673"/>
      <c r="F266" s="1673"/>
      <c r="G266" s="1673"/>
      <c r="H266" s="1673"/>
      <c r="I266" s="1673"/>
      <c r="J266" s="1673"/>
      <c r="K266" s="1678">
        <f t="shared" si="22"/>
        <v>27962</v>
      </c>
      <c r="L266" s="1573">
        <v>28090</v>
      </c>
    </row>
    <row r="267" spans="1:14" x14ac:dyDescent="0.2">
      <c r="A267" s="1274" t="s">
        <v>947</v>
      </c>
      <c r="B267" s="503">
        <v>2550</v>
      </c>
      <c r="C267" s="1673"/>
      <c r="D267" s="1573">
        <v>33616</v>
      </c>
      <c r="E267" s="1673"/>
      <c r="F267" s="1673"/>
      <c r="G267" s="1673"/>
      <c r="H267" s="1673"/>
      <c r="I267" s="1673"/>
      <c r="J267" s="1673"/>
      <c r="K267" s="1678">
        <f t="shared" si="22"/>
        <v>33616</v>
      </c>
      <c r="L267" s="1573">
        <v>34450</v>
      </c>
    </row>
    <row r="268" spans="1:14" x14ac:dyDescent="0.2">
      <c r="A268" s="1274" t="s">
        <v>100</v>
      </c>
      <c r="B268" s="503">
        <v>2560</v>
      </c>
      <c r="C268" s="1673"/>
      <c r="D268" s="1573">
        <v>10232</v>
      </c>
      <c r="E268" s="1673"/>
      <c r="F268" s="1673"/>
      <c r="G268" s="1673"/>
      <c r="H268" s="1673"/>
      <c r="I268" s="1673"/>
      <c r="J268" s="1673"/>
      <c r="K268" s="1678">
        <f t="shared" si="22"/>
        <v>10232</v>
      </c>
      <c r="L268" s="1573">
        <v>10500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82969</v>
      </c>
      <c r="E270" s="1673"/>
      <c r="F270" s="1673"/>
      <c r="G270" s="1673"/>
      <c r="H270" s="1673"/>
      <c r="I270" s="1673"/>
      <c r="J270" s="1673"/>
      <c r="K270" s="1674">
        <f>SUM(K263:K269)</f>
        <v>82969</v>
      </c>
      <c r="L270" s="1674">
        <f>SUM(L263:L269)</f>
        <v>83340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105315</v>
      </c>
      <c r="E279" s="1673"/>
      <c r="F279" s="1673"/>
      <c r="G279" s="1673"/>
      <c r="H279" s="1673"/>
      <c r="I279" s="1673"/>
      <c r="J279" s="1673"/>
      <c r="K279" s="1681">
        <f>SUM(K238,K243,K257,K261,K270,K277,K278)</f>
        <v>105315</v>
      </c>
      <c r="L279" s="1681">
        <f>SUM(L238,L243,L257,L261,L270,L277,L278)</f>
        <v>107535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0" t="s">
        <v>502</v>
      </c>
      <c r="B295" s="2281"/>
      <c r="C295" s="1673"/>
      <c r="D295" s="1674">
        <f>SUM(D229,D279,D280,D285)</f>
        <v>156493</v>
      </c>
      <c r="E295" s="1673"/>
      <c r="F295" s="1673"/>
      <c r="G295" s="1673"/>
      <c r="H295" s="1674">
        <f>H293</f>
        <v>0</v>
      </c>
      <c r="I295" s="1673"/>
      <c r="J295" s="1673"/>
      <c r="K295" s="1674">
        <f>SUM(K229,K279,K280,K285,K293,K294)</f>
        <v>156493</v>
      </c>
      <c r="L295" s="1674">
        <f>SUM(L229,L279,L280,L285,L293,L294)</f>
        <v>154730</v>
      </c>
    </row>
    <row r="296" spans="1:14" ht="13.5" thickTop="1" x14ac:dyDescent="0.2">
      <c r="A296" s="2262" t="s">
        <v>989</v>
      </c>
      <c r="B296" s="2263"/>
      <c r="C296" s="1673"/>
      <c r="D296" s="1675"/>
      <c r="E296" s="1673"/>
      <c r="F296" s="1673"/>
      <c r="G296" s="1673"/>
      <c r="H296" s="1707"/>
      <c r="I296" s="1673"/>
      <c r="J296" s="1673"/>
      <c r="K296" s="1689">
        <f>'Revenues 9-14'!G268-'Expenditures 15-22'!K295</f>
        <v>10153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4804</v>
      </c>
      <c r="F301" s="1573">
        <v>2060</v>
      </c>
      <c r="G301" s="1573">
        <v>50256</v>
      </c>
      <c r="H301" s="1573"/>
      <c r="I301" s="1574"/>
      <c r="J301" s="1574"/>
      <c r="K301" s="1672">
        <f>SUM(C301:J301)</f>
        <v>57120</v>
      </c>
      <c r="L301" s="1574">
        <v>38500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4804</v>
      </c>
      <c r="F303" s="1681">
        <f t="shared" si="23"/>
        <v>2060</v>
      </c>
      <c r="G303" s="1681">
        <f t="shared" si="23"/>
        <v>50256</v>
      </c>
      <c r="H303" s="1681">
        <f t="shared" si="23"/>
        <v>0</v>
      </c>
      <c r="I303" s="1681">
        <f t="shared" si="23"/>
        <v>0</v>
      </c>
      <c r="J303" s="1681">
        <f t="shared" si="23"/>
        <v>0</v>
      </c>
      <c r="K303" s="1681">
        <f t="shared" si="23"/>
        <v>57120</v>
      </c>
      <c r="L303" s="1681">
        <f t="shared" si="23"/>
        <v>38500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7" t="s">
        <v>275</v>
      </c>
      <c r="B312" s="2278"/>
      <c r="C312" s="1674">
        <f>SUM(C303)</f>
        <v>0</v>
      </c>
      <c r="D312" s="1674">
        <f>SUM(D303)</f>
        <v>0</v>
      </c>
      <c r="E312" s="1674">
        <f>SUM(E303,E310)</f>
        <v>4804</v>
      </c>
      <c r="F312" s="1674">
        <f>SUM(F303)</f>
        <v>2060</v>
      </c>
      <c r="G312" s="1674">
        <f>SUM(G303)</f>
        <v>50256</v>
      </c>
      <c r="H312" s="1674">
        <f>SUM(H303,H310)</f>
        <v>0</v>
      </c>
      <c r="I312" s="1674">
        <f>SUM(I303)</f>
        <v>0</v>
      </c>
      <c r="J312" s="1674">
        <f>SUM(J303)</f>
        <v>0</v>
      </c>
      <c r="K312" s="1674">
        <f>SUM(K303,K310,K311)</f>
        <v>57120</v>
      </c>
      <c r="L312" s="1674">
        <f>SUM(L303,L310,L311)</f>
        <v>38500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22931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1782</v>
      </c>
      <c r="B320" s="568" t="s">
        <v>280</v>
      </c>
      <c r="C320" s="1574"/>
      <c r="D320" s="1574"/>
      <c r="E320" s="1574">
        <v>24949</v>
      </c>
      <c r="F320" s="1574"/>
      <c r="G320" s="1574"/>
      <c r="H320" s="1574"/>
      <c r="I320" s="1574"/>
      <c r="J320" s="1574"/>
      <c r="K320" s="1672">
        <f t="shared" ref="K320:K327" si="24">SUM(C320:J320)</f>
        <v>24949</v>
      </c>
      <c r="L320" s="1574">
        <v>24948</v>
      </c>
      <c r="M320" s="539"/>
      <c r="N320" s="539"/>
    </row>
    <row r="321" spans="1:14" s="548" customFormat="1" x14ac:dyDescent="0.2">
      <c r="A321" s="1289" t="s">
        <v>297</v>
      </c>
      <c r="B321" s="567" t="s">
        <v>281</v>
      </c>
      <c r="C321" s="1574"/>
      <c r="D321" s="1574"/>
      <c r="E321" s="1574">
        <v>4892</v>
      </c>
      <c r="F321" s="1574"/>
      <c r="G321" s="1574"/>
      <c r="H321" s="1574"/>
      <c r="I321" s="1574"/>
      <c r="J321" s="1574"/>
      <c r="K321" s="1672">
        <f t="shared" si="24"/>
        <v>4892</v>
      </c>
      <c r="L321" s="1574">
        <v>5000</v>
      </c>
      <c r="M321" s="539"/>
      <c r="N321" s="539"/>
    </row>
    <row r="322" spans="1:14" s="548" customFormat="1" x14ac:dyDescent="0.2">
      <c r="A322" s="1289" t="s">
        <v>236</v>
      </c>
      <c r="B322" s="567" t="s">
        <v>282</v>
      </c>
      <c r="C322" s="1574"/>
      <c r="D322" s="1574"/>
      <c r="E322" s="1574">
        <v>63341</v>
      </c>
      <c r="F322" s="1574"/>
      <c r="G322" s="1574"/>
      <c r="H322" s="1574"/>
      <c r="I322" s="1574"/>
      <c r="J322" s="1574"/>
      <c r="K322" s="1672">
        <f t="shared" si="24"/>
        <v>63341</v>
      </c>
      <c r="L322" s="1574">
        <v>62344</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43337</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v>64335</v>
      </c>
      <c r="D325" s="1574"/>
      <c r="E325" s="1574"/>
      <c r="F325" s="1574"/>
      <c r="G325" s="1574"/>
      <c r="H325" s="1574"/>
      <c r="I325" s="1574"/>
      <c r="J325" s="1574"/>
      <c r="K325" s="1672">
        <f t="shared" si="24"/>
        <v>64335</v>
      </c>
      <c r="L325" s="1574">
        <v>66017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50237</v>
      </c>
      <c r="F327" s="1574"/>
      <c r="G327" s="1574"/>
      <c r="H327" s="1574"/>
      <c r="I327" s="1574"/>
      <c r="J327" s="1574"/>
      <c r="K327" s="1672">
        <f t="shared" si="24"/>
        <v>50237</v>
      </c>
      <c r="L327" s="1574">
        <v>4000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64335</v>
      </c>
      <c r="D330" s="1674">
        <f t="shared" ref="D330:J330" si="25">SUM(D319:D329)</f>
        <v>0</v>
      </c>
      <c r="E330" s="1674">
        <f t="shared" si="25"/>
        <v>143419</v>
      </c>
      <c r="F330" s="1674">
        <f t="shared" si="25"/>
        <v>0</v>
      </c>
      <c r="G330" s="1674">
        <f t="shared" si="25"/>
        <v>0</v>
      </c>
      <c r="H330" s="1674">
        <f t="shared" si="25"/>
        <v>0</v>
      </c>
      <c r="I330" s="1674">
        <f t="shared" si="25"/>
        <v>0</v>
      </c>
      <c r="J330" s="1674">
        <f t="shared" si="25"/>
        <v>0</v>
      </c>
      <c r="K330" s="1674">
        <f>SUM(K319:K329)</f>
        <v>207754</v>
      </c>
      <c r="L330" s="1674">
        <f>SUM(L319:L329)</f>
        <v>205646</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64335</v>
      </c>
      <c r="D342" s="1674">
        <f>SUM(D330)</f>
        <v>0</v>
      </c>
      <c r="E342" s="1674">
        <f>SUM(E330)</f>
        <v>143419</v>
      </c>
      <c r="F342" s="1674">
        <f>SUM(F330)</f>
        <v>0</v>
      </c>
      <c r="G342" s="1674">
        <f>SUM(G330)</f>
        <v>0</v>
      </c>
      <c r="H342" s="1674">
        <f>SUM(H330,H334,H340)</f>
        <v>0</v>
      </c>
      <c r="I342" s="1674">
        <f>SUM(I330)</f>
        <v>0</v>
      </c>
      <c r="J342" s="1674">
        <f>SUM(J330)</f>
        <v>0</v>
      </c>
      <c r="K342" s="1674">
        <f>SUM(K330,K334,K340)</f>
        <v>207754</v>
      </c>
      <c r="L342" s="1681">
        <f>SUM(L330,L334,L340,L341)</f>
        <v>205646</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3368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5034</v>
      </c>
      <c r="F348" s="1573">
        <v>0</v>
      </c>
      <c r="G348" s="1573">
        <v>76581</v>
      </c>
      <c r="H348" s="1573">
        <v>0</v>
      </c>
      <c r="I348" s="1574">
        <v>0</v>
      </c>
      <c r="J348" s="1574">
        <v>0</v>
      </c>
      <c r="K348" s="1672">
        <f>SUM(C348:J348)</f>
        <v>81615</v>
      </c>
      <c r="L348" s="1573">
        <v>52000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5034</v>
      </c>
      <c r="F350" s="1674">
        <f t="shared" si="26"/>
        <v>0</v>
      </c>
      <c r="G350" s="1674">
        <f t="shared" si="26"/>
        <v>76581</v>
      </c>
      <c r="H350" s="1674">
        <f t="shared" si="26"/>
        <v>0</v>
      </c>
      <c r="I350" s="1674">
        <f t="shared" si="26"/>
        <v>0</v>
      </c>
      <c r="J350" s="1674">
        <f t="shared" si="26"/>
        <v>0</v>
      </c>
      <c r="K350" s="1674">
        <f t="shared" si="26"/>
        <v>81615</v>
      </c>
      <c r="L350" s="1674">
        <f t="shared" si="26"/>
        <v>52000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5034</v>
      </c>
      <c r="F352" s="1674">
        <f t="shared" si="27"/>
        <v>0</v>
      </c>
      <c r="G352" s="1674">
        <f t="shared" si="27"/>
        <v>76581</v>
      </c>
      <c r="H352" s="1674">
        <f t="shared" si="27"/>
        <v>0</v>
      </c>
      <c r="I352" s="1674">
        <f t="shared" si="27"/>
        <v>0</v>
      </c>
      <c r="J352" s="1674">
        <f t="shared" si="27"/>
        <v>0</v>
      </c>
      <c r="K352" s="1674">
        <f t="shared" si="27"/>
        <v>81615</v>
      </c>
      <c r="L352" s="1674">
        <f t="shared" si="27"/>
        <v>52000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v>0</v>
      </c>
      <c r="I354" s="1716"/>
      <c r="J354" s="1673"/>
      <c r="K354" s="1713">
        <f>H354</f>
        <v>0</v>
      </c>
      <c r="L354" s="1577">
        <v>0</v>
      </c>
    </row>
    <row r="355" spans="1:14" ht="12.75" customHeight="1" x14ac:dyDescent="0.2">
      <c r="A355" s="1283" t="s">
        <v>1822</v>
      </c>
      <c r="B355" s="562" t="s">
        <v>1815</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5034</v>
      </c>
      <c r="F367" s="1674">
        <f t="shared" si="28"/>
        <v>0</v>
      </c>
      <c r="G367" s="1674">
        <f t="shared" si="28"/>
        <v>76581</v>
      </c>
      <c r="H367" s="1674">
        <f t="shared" si="28"/>
        <v>0</v>
      </c>
      <c r="I367" s="1674">
        <f t="shared" si="28"/>
        <v>0</v>
      </c>
      <c r="J367" s="1674">
        <f t="shared" si="28"/>
        <v>0</v>
      </c>
      <c r="K367" s="1674">
        <f t="shared" si="28"/>
        <v>81615</v>
      </c>
      <c r="L367" s="1674">
        <f t="shared" si="28"/>
        <v>52000</v>
      </c>
    </row>
    <row r="368" spans="1:14" ht="13.5" thickTop="1" x14ac:dyDescent="0.2">
      <c r="A368" s="2262" t="s">
        <v>989</v>
      </c>
      <c r="B368" s="2263"/>
      <c r="C368" s="1694"/>
      <c r="D368" s="1694"/>
      <c r="E368" s="1677"/>
      <c r="F368" s="1677"/>
      <c r="G368" s="1677"/>
      <c r="H368" s="1677"/>
      <c r="I368" s="1677"/>
      <c r="J368" s="1676"/>
      <c r="K368" s="1672">
        <f>'Revenues 9-14'!K268-'Expenditures 15-22'!K367</f>
        <v>-53786</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notes to the financial statements are an integral part of this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www.w3.org/XML/1998/namespace"/>
    <ds:schemaRef ds:uri="6ce3111e-7420-4802-b50a-75d4e9a0b980"/>
    <ds:schemaRef ds:uri="http://purl.org/dc/terms/"/>
    <ds:schemaRef ds:uri="http://purl.org/dc/dcmitype/"/>
    <ds:schemaRef ds:uri="http://schemas.microsoft.com/office/infopath/2007/PartnerControls"/>
    <ds:schemaRef ds:uri="http://schemas.openxmlformats.org/package/2006/metadata/core-properties"/>
    <ds:schemaRef ds:uri="http://purl.org/dc/elements/1.1/"/>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2020-11-18T21:18:08Z</cp:lastPrinted>
  <dcterms:created xsi:type="dcterms:W3CDTF">2003-10-29T19:06:34Z</dcterms:created>
  <dcterms:modified xsi:type="dcterms:W3CDTF">2020-12-09T22:41:38Z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DeleteTemporaryFile">
    <vt:lpwstr/>
  </property>
  <property fmtid="{D5CDD505-2E9C-101B-9397-08002B2CF9AE}" pid="5" name="GFRDocument">
    <vt:lpwstr>1</vt:lpwstr>
  </property>
  <property fmtid="{D5CDD505-2E9C-101B-9397-08002B2CF9AE}" pid="6" name="WebDocument">
    <vt:lpwstr>True</vt:lpwstr>
  </property>
</Properties>
</file>