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AAA11F8-F100-44F3-BC63-103935821919}" xr6:coauthVersionLast="45" xr6:coauthVersionMax="45" xr10:uidLastSave="{00000000-0000-0000-0000-000000000000}"/>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SEFA 1" sheetId="187" r:id="rId28"/>
    <sheet name="SEFA1.1" sheetId="185" r:id="rId29"/>
    <sheet name="SEFA1.2" sheetId="186" r:id="rId30"/>
    <sheet name="SEFA NOTES" sheetId="173" r:id="rId31"/>
    <sheet name="SF&amp;QC Sec-1" sheetId="174" r:id="rId32"/>
    <sheet name="SF&amp;QC Sec-2" sheetId="190" r:id="rId33"/>
    <sheet name="SF&amp;QC Sec-2.1" sheetId="188" r:id="rId34"/>
    <sheet name="SF&amp;QC Sec 2.2" sheetId="191" r:id="rId35"/>
    <sheet name="SF&amp;QC Sec-3" sheetId="176" r:id="rId36"/>
    <sheet name="SSPAF" sheetId="192" r:id="rId37"/>
  </sheets>
  <definedNames>
    <definedName name="_xlnm._FilterDatabase" localSheetId="23" hidden="1">'AFR20'!$A$1:$F$7884</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5">#REF!</definedName>
    <definedName name="SCHADDRS" localSheetId="25">#REF!</definedName>
    <definedName name="SCHADDRS" localSheetId="24">#REF!</definedName>
    <definedName name="SCHADDRS">#REF!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5">#REF!</definedName>
    <definedName name="SCHCTY" localSheetId="25">#REF!</definedName>
    <definedName name="SCHCTY" localSheetId="24">#REF!</definedName>
    <definedName name="SCHCTY">#REF!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5">#REF!</definedName>
    <definedName name="SCHNMBR" localSheetId="25">#REF!</definedName>
    <definedName name="SCHNMBR" localSheetId="24">#REF!</definedName>
    <definedName name="SCHNMBR">#REF!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5">#REF!</definedName>
    <definedName name="SCHNME" localSheetId="25">#REF!</definedName>
    <definedName name="SCHNME" localSheetId="24">#REF!</definedName>
    <definedName name="SCHNME">#REF!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5">#REF!</definedName>
    <definedName name="SUPT" localSheetId="25">#REF!</definedName>
    <definedName name="SUPT" localSheetId="24">#REF!</definedName>
    <definedName name="SUPT">#REF!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4" l="1"/>
  <c r="C27" i="3"/>
  <c r="C65" i="5"/>
  <c r="C25" i="3"/>
  <c r="F153" i="5"/>
  <c r="F4" i="3"/>
  <c r="C159" i="5"/>
  <c r="B5196" i="106" s="1"/>
  <c r="C148" i="5"/>
  <c r="C146" i="5"/>
  <c r="C117" i="5"/>
  <c r="C101" i="5"/>
  <c r="C16" i="5"/>
  <c r="C192" i="5"/>
  <c r="C193" i="5"/>
  <c r="C191" i="5"/>
  <c r="C198" i="5" s="1"/>
  <c r="C213" i="5"/>
  <c r="C211" i="5"/>
  <c r="C5" i="3"/>
  <c r="H60" i="29"/>
  <c r="C79" i="4"/>
  <c r="C72" i="4"/>
  <c r="J4" i="3"/>
  <c r="H4" i="3"/>
  <c r="H13" i="3" s="1"/>
  <c r="H39" i="3"/>
  <c r="F23" i="187"/>
  <c r="F27" i="187" s="1"/>
  <c r="F21" i="186" s="1"/>
  <c r="H23" i="187"/>
  <c r="H27" i="187"/>
  <c r="H21" i="186" s="1"/>
  <c r="E20" i="187"/>
  <c r="E23" i="187" s="1"/>
  <c r="E27" i="187" s="1"/>
  <c r="E21" i="186" s="1"/>
  <c r="F20" i="187"/>
  <c r="G20" i="187"/>
  <c r="G23" i="187" s="1"/>
  <c r="G27" i="187" s="1"/>
  <c r="H20" i="187"/>
  <c r="I20" i="187"/>
  <c r="I23" i="187" s="1"/>
  <c r="I27" i="187" s="1"/>
  <c r="L19" i="187"/>
  <c r="G21" i="186"/>
  <c r="L21" i="186" s="1"/>
  <c r="I21" i="186"/>
  <c r="E19" i="186"/>
  <c r="E23" i="186" s="1"/>
  <c r="E24" i="185"/>
  <c r="F24" i="185"/>
  <c r="G24" i="185"/>
  <c r="G29" i="185"/>
  <c r="H24" i="185"/>
  <c r="E17" i="185"/>
  <c r="E29" i="185" s="1"/>
  <c r="F17" i="185"/>
  <c r="F29" i="185" s="1"/>
  <c r="F19" i="186" s="1"/>
  <c r="F23" i="186" s="1"/>
  <c r="D35" i="171" s="1"/>
  <c r="D47" i="171" s="1"/>
  <c r="G17" i="185"/>
  <c r="H17" i="185"/>
  <c r="H29" i="185" s="1"/>
  <c r="H19" i="186" s="1"/>
  <c r="H23" i="186" s="1"/>
  <c r="I17" i="185"/>
  <c r="I24" i="185"/>
  <c r="I29" i="185" s="1"/>
  <c r="I19" i="186"/>
  <c r="I23" i="186" s="1"/>
  <c r="L13" i="185"/>
  <c r="L14" i="185"/>
  <c r="L15" i="185"/>
  <c r="L16" i="185"/>
  <c r="L19" i="185"/>
  <c r="L20" i="185"/>
  <c r="L22" i="185"/>
  <c r="L17" i="187"/>
  <c r="L16" i="187"/>
  <c r="L15" i="187"/>
  <c r="L14" i="187"/>
  <c r="L13" i="187"/>
  <c r="L12" i="187"/>
  <c r="L27" i="186"/>
  <c r="L26" i="186"/>
  <c r="L25" i="186"/>
  <c r="L24" i="186"/>
  <c r="L22" i="186"/>
  <c r="L20" i="186"/>
  <c r="L18" i="186"/>
  <c r="L17" i="186"/>
  <c r="L16" i="186"/>
  <c r="L15" i="186"/>
  <c r="L14" i="186"/>
  <c r="L13" i="186"/>
  <c r="L28" i="185"/>
  <c r="L27" i="185"/>
  <c r="L26" i="185"/>
  <c r="L25" i="185"/>
  <c r="L24" i="185"/>
  <c r="L23" i="185"/>
  <c r="D4" i="3"/>
  <c r="D13" i="3" s="1"/>
  <c r="D39" i="3"/>
  <c r="E39" i="3"/>
  <c r="E4" i="3"/>
  <c r="G39" i="3"/>
  <c r="G4" i="3"/>
  <c r="I39" i="3"/>
  <c r="I4" i="3"/>
  <c r="J39" i="3"/>
  <c r="K39" i="3"/>
  <c r="K4" i="3"/>
  <c r="E16" i="184"/>
  <c r="J7" i="184"/>
  <c r="L53" i="184" s="1"/>
  <c r="J6" i="184"/>
  <c r="L52" i="184"/>
  <c r="M68" i="184"/>
  <c r="L68" i="184"/>
  <c r="G17" i="184" s="1"/>
  <c r="K68" i="184"/>
  <c r="G16" i="184"/>
  <c r="J68" i="184"/>
  <c r="G15" i="184"/>
  <c r="I68" i="184"/>
  <c r="G14" i="184"/>
  <c r="H68" i="184"/>
  <c r="G68" i="184"/>
  <c r="G12" i="184" s="1"/>
  <c r="K19" i="184"/>
  <c r="J19" i="184"/>
  <c r="I19" i="184"/>
  <c r="L18" i="184"/>
  <c r="H18" i="184"/>
  <c r="L17" i="184"/>
  <c r="L16" i="184"/>
  <c r="L15" i="184"/>
  <c r="L14" i="184"/>
  <c r="L13" i="184"/>
  <c r="G13" i="184"/>
  <c r="H13" i="184"/>
  <c r="L12" i="184"/>
  <c r="L19" i="184"/>
  <c r="H16" i="184"/>
  <c r="D12" i="11"/>
  <c r="C264" i="5"/>
  <c r="C200" i="5"/>
  <c r="C203" i="5"/>
  <c r="F5" i="5"/>
  <c r="E5" i="5"/>
  <c r="D5" i="5"/>
  <c r="C5" i="5"/>
  <c r="K5" i="5"/>
  <c r="J5" i="5"/>
  <c r="I5" i="5"/>
  <c r="H103" i="5"/>
  <c r="G8" i="5"/>
  <c r="G5" i="5"/>
  <c r="C7" i="5"/>
  <c r="C6" i="5"/>
  <c r="D215" i="29"/>
  <c r="C5" i="29"/>
  <c r="C4" i="3"/>
  <c r="C13" i="3" s="1"/>
  <c r="G31" i="3"/>
  <c r="C31" i="3"/>
  <c r="C34" i="3" s="1"/>
  <c r="F36" i="183"/>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37" i="183" s="1"/>
  <c r="E18" i="183"/>
  <c r="F18" i="183"/>
  <c r="F37" i="183" s="1"/>
  <c r="E40" i="108" s="1"/>
  <c r="B7820" i="106" s="1"/>
  <c r="D7820" i="106" s="1"/>
  <c r="E17" i="183"/>
  <c r="F17" i="183"/>
  <c r="B7885" i="106"/>
  <c r="D7885" i="106" s="1"/>
  <c r="B7884" i="106"/>
  <c r="B7883" i="106"/>
  <c r="D7883" i="106"/>
  <c r="B7882" i="106"/>
  <c r="D7884" i="106"/>
  <c r="D7882" i="106"/>
  <c r="B11" i="7"/>
  <c r="D7836" i="106"/>
  <c r="J88" i="28"/>
  <c r="J85" i="28"/>
  <c r="J90" i="28" s="1"/>
  <c r="B7819" i="106"/>
  <c r="D7819" i="106"/>
  <c r="B7818" i="106"/>
  <c r="D7818" i="106"/>
  <c r="D37" i="183"/>
  <c r="A15" i="183"/>
  <c r="D82" i="36"/>
  <c r="D81" i="36"/>
  <c r="D80" i="36"/>
  <c r="D79" i="36"/>
  <c r="D79" i="34"/>
  <c r="D179" i="34"/>
  <c r="A46" i="24"/>
  <c r="F2" i="8"/>
  <c r="B2" i="24"/>
  <c r="B1" i="24"/>
  <c r="A1" i="24"/>
  <c r="A2" i="24"/>
  <c r="C8" i="176"/>
  <c r="B45" i="174"/>
  <c r="A4" i="169"/>
  <c r="B4" i="192"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1"/>
  <c r="B4" i="190"/>
  <c r="B4" i="188"/>
  <c r="B4" i="186"/>
  <c r="B4" i="187"/>
  <c r="B4" i="185"/>
  <c r="I7" i="24"/>
  <c r="A3" i="24"/>
  <c r="B7236" i="106"/>
  <c r="B15" i="7"/>
  <c r="D168" i="34"/>
  <c r="D167" i="34"/>
  <c r="C168" i="34"/>
  <c r="C167" i="34"/>
  <c r="F168" i="34"/>
  <c r="F167" i="34"/>
  <c r="B7812" i="106"/>
  <c r="B7811" i="106"/>
  <c r="D7811" i="106" s="1"/>
  <c r="B7810" i="106"/>
  <c r="B7809" i="106"/>
  <c r="B7816" i="106"/>
  <c r="D7816" i="106"/>
  <c r="B7815" i="106"/>
  <c r="D7815" i="106"/>
  <c r="B7814" i="106"/>
  <c r="D7814" i="106"/>
  <c r="B7813" i="106"/>
  <c r="D7813" i="106"/>
  <c r="D7812" i="106"/>
  <c r="D7810" i="106"/>
  <c r="D7809" i="106"/>
  <c r="B7808" i="106"/>
  <c r="D7808" i="106"/>
  <c r="B7807" i="106"/>
  <c r="D7807" i="106"/>
  <c r="B7806" i="106"/>
  <c r="B7805" i="106"/>
  <c r="D7805" i="106" s="1"/>
  <c r="B7804" i="106"/>
  <c r="D7804" i="106" s="1"/>
  <c r="B7803" i="106"/>
  <c r="D7803" i="106" s="1"/>
  <c r="B7802" i="106"/>
  <c r="D7802" i="106" s="1"/>
  <c r="B7801" i="106"/>
  <c r="D7801" i="106" s="1"/>
  <c r="D780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3" i="36" s="1"/>
  <c r="K356" i="29"/>
  <c r="B3673" i="106"/>
  <c r="K355" i="29"/>
  <c r="B7794" i="106"/>
  <c r="K354" i="29"/>
  <c r="H357" i="29"/>
  <c r="B7237" i="106" s="1"/>
  <c r="L334" i="29"/>
  <c r="K333" i="29"/>
  <c r="B7788" i="106"/>
  <c r="K332" i="29"/>
  <c r="H334" i="29"/>
  <c r="B7789" i="106" s="1"/>
  <c r="K282" i="29"/>
  <c r="B7784" i="106" s="1"/>
  <c r="H160" i="29"/>
  <c r="B7053" i="106" s="1"/>
  <c r="K159" i="29"/>
  <c r="B7782" i="106" s="1"/>
  <c r="K158" i="29"/>
  <c r="K157" i="29"/>
  <c r="B7795" i="106"/>
  <c r="K133" i="29"/>
  <c r="B7776" i="106" s="1"/>
  <c r="B7793" i="106"/>
  <c r="B7791" i="106"/>
  <c r="B7787" i="106"/>
  <c r="B7786" i="106"/>
  <c r="B7785" i="106"/>
  <c r="B7783" i="106"/>
  <c r="B7781" i="106"/>
  <c r="B7779" i="106"/>
  <c r="B7778" i="106"/>
  <c r="B7777" i="106"/>
  <c r="B7775" i="106"/>
  <c r="B7774" i="106"/>
  <c r="K334" i="29"/>
  <c r="K357" i="29"/>
  <c r="B3674" i="106" s="1"/>
  <c r="B7792" i="106"/>
  <c r="K15" i="4"/>
  <c r="J15" i="4"/>
  <c r="B7796" i="106" s="1"/>
  <c r="L357" i="29"/>
  <c r="L285" i="29"/>
  <c r="D285" i="29"/>
  <c r="L160" i="29"/>
  <c r="L137" i="29"/>
  <c r="H137" i="29"/>
  <c r="E137" i="29"/>
  <c r="E139" i="29"/>
  <c r="D17" i="171"/>
  <c r="D14" i="171"/>
  <c r="D12" i="171"/>
  <c r="A10" i="169"/>
  <c r="A16" i="169"/>
  <c r="A15" i="169"/>
  <c r="A14" i="169"/>
  <c r="K18" i="169"/>
  <c r="G18" i="169"/>
  <c r="G15" i="169"/>
  <c r="I13" i="169"/>
  <c r="G11" i="169"/>
  <c r="G10" i="169"/>
  <c r="G9" i="169"/>
  <c r="G7" i="169"/>
  <c r="E7" i="169"/>
  <c r="B2" i="192" s="1"/>
  <c r="A7" i="169"/>
  <c r="B1" i="192" s="1"/>
  <c r="B4" i="176"/>
  <c r="G43" i="174"/>
  <c r="D47" i="174" s="1"/>
  <c r="B4" i="174"/>
  <c r="E34" i="173"/>
  <c r="A4" i="173"/>
  <c r="A5" i="171"/>
  <c r="C110" i="170"/>
  <c r="C112" i="170"/>
  <c r="C115" i="170" s="1"/>
  <c r="C117" i="170"/>
  <c r="C119" i="170" s="1"/>
  <c r="C123" i="170" s="1"/>
  <c r="C44" i="170"/>
  <c r="C48" i="170"/>
  <c r="C50" i="170" s="1"/>
  <c r="C52" i="170"/>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c r="C24" i="170" s="1"/>
  <c r="C28" i="170" s="1"/>
  <c r="B2" i="188"/>
  <c r="B2" i="187"/>
  <c r="B2" i="185"/>
  <c r="B1" i="188"/>
  <c r="B1" i="191"/>
  <c r="B1" i="190"/>
  <c r="B1" i="187"/>
  <c r="B1" i="186"/>
  <c r="B1" i="185"/>
  <c r="B2" i="174"/>
  <c r="A1" i="171"/>
  <c r="A1" i="170"/>
  <c r="A1" i="173"/>
  <c r="B1" i="174"/>
  <c r="B1" i="176"/>
  <c r="B7773" i="106"/>
  <c r="B61" i="106"/>
  <c r="B52" i="106"/>
  <c r="B51" i="106"/>
  <c r="B49" i="106"/>
  <c r="B48" i="106"/>
  <c r="B47" i="106"/>
  <c r="B46" i="106"/>
  <c r="B45" i="106"/>
  <c r="B44" i="106"/>
  <c r="B43" i="106"/>
  <c r="B42" i="106"/>
  <c r="B41" i="106"/>
  <c r="B50" i="106"/>
  <c r="F160" i="34"/>
  <c r="B7867" i="106"/>
  <c r="D7867" i="106" s="1"/>
  <c r="B7769" i="106"/>
  <c r="D7769" i="106" s="1"/>
  <c r="B7768" i="106"/>
  <c r="B7766" i="106"/>
  <c r="D7766" i="106"/>
  <c r="B7765" i="106"/>
  <c r="B7764" i="106"/>
  <c r="D7764" i="106" s="1"/>
  <c r="B7758" i="106"/>
  <c r="D7758" i="106" s="1"/>
  <c r="K6" i="29"/>
  <c r="B7763" i="106" s="1"/>
  <c r="D7763" i="106"/>
  <c r="B7762" i="106"/>
  <c r="D7762" i="106"/>
  <c r="K12" i="12"/>
  <c r="K23" i="12"/>
  <c r="B7800" i="106" s="1"/>
  <c r="J12" i="12"/>
  <c r="J21" i="12"/>
  <c r="J23" i="12"/>
  <c r="B7729" i="106"/>
  <c r="D7729" i="106"/>
  <c r="B7734" i="106"/>
  <c r="B7726" i="106"/>
  <c r="D7726" i="106" s="1"/>
  <c r="D76" i="36"/>
  <c r="F159" i="34"/>
  <c r="B30" i="36"/>
  <c r="B33" i="36" s="1"/>
  <c r="B43" i="36" s="1"/>
  <c r="B56" i="36" s="1"/>
  <c r="B66" i="36" s="1"/>
  <c r="B70" i="36" s="1"/>
  <c r="B74" i="36" s="1"/>
  <c r="D73" i="36"/>
  <c r="C188" i="5"/>
  <c r="B4395" i="106" s="1"/>
  <c r="D4395" i="106"/>
  <c r="B5246" i="106"/>
  <c r="D5246" i="106" s="1"/>
  <c r="C204" i="5"/>
  <c r="C209" i="5"/>
  <c r="B4411" i="106"/>
  <c r="D4411" i="106" s="1"/>
  <c r="C217" i="5"/>
  <c r="B5286" i="106" s="1"/>
  <c r="D5286" i="106"/>
  <c r="C221" i="5"/>
  <c r="B5304" i="106"/>
  <c r="D5304" i="106" s="1"/>
  <c r="C252" i="5"/>
  <c r="B7761" i="106"/>
  <c r="D7761" i="106"/>
  <c r="L127" i="29"/>
  <c r="L129" i="29"/>
  <c r="L139" i="29"/>
  <c r="L149" i="29"/>
  <c r="D84" i="36"/>
  <c r="D78" i="36"/>
  <c r="K75" i="29"/>
  <c r="C14" i="4"/>
  <c r="B2558" i="106" s="1"/>
  <c r="D2558" i="106"/>
  <c r="K130" i="29"/>
  <c r="K185" i="29"/>
  <c r="F62" i="34" s="1"/>
  <c r="B7833" i="106" s="1"/>
  <c r="D7833" i="106" s="1"/>
  <c r="K122" i="29"/>
  <c r="F15" i="184" s="1"/>
  <c r="F19" i="184" s="1"/>
  <c r="K67" i="29"/>
  <c r="E17" i="184" s="1"/>
  <c r="G33" i="108"/>
  <c r="K64" i="29"/>
  <c r="D31" i="108"/>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B77" i="106"/>
  <c r="D77" i="106" s="1"/>
  <c r="D78" i="106"/>
  <c r="D79" i="106"/>
  <c r="D80" i="106"/>
  <c r="D81" i="106"/>
  <c r="D82" i="106"/>
  <c r="D83" i="106"/>
  <c r="D84" i="106"/>
  <c r="D85" i="106"/>
  <c r="B86" i="106"/>
  <c r="D86" i="106" s="1"/>
  <c r="D87" i="106"/>
  <c r="B88" i="106"/>
  <c r="D88" i="106"/>
  <c r="D89" i="106"/>
  <c r="D90" i="106"/>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c r="B786" i="106"/>
  <c r="D786" i="106"/>
  <c r="B787" i="106"/>
  <c r="D787" i="106"/>
  <c r="B788" i="106"/>
  <c r="D788" i="106"/>
  <c r="D47" i="29"/>
  <c r="B789" i="106"/>
  <c r="D789" i="106" s="1"/>
  <c r="B790" i="106"/>
  <c r="D790" i="106" s="1"/>
  <c r="B791" i="106"/>
  <c r="D791" i="106" s="1"/>
  <c r="D53" i="29"/>
  <c r="B792" i="106" s="1"/>
  <c r="D792" i="106"/>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D2081" i="106"/>
  <c r="H92" i="29"/>
  <c r="K92" i="29"/>
  <c r="B2089" i="106" s="1"/>
  <c r="D2089" i="106" s="1"/>
  <c r="H100" i="29"/>
  <c r="B7012" i="106"/>
  <c r="D7012" i="106" s="1"/>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c r="D1101" i="106"/>
  <c r="D1102" i="106"/>
  <c r="D1103" i="106"/>
  <c r="K12" i="29"/>
  <c r="B1104" i="106" s="1"/>
  <c r="D1104" i="106" s="1"/>
  <c r="K14" i="29"/>
  <c r="B1106" i="106"/>
  <c r="D1106" i="106" s="1"/>
  <c r="K15" i="29"/>
  <c r="B1107" i="106" s="1"/>
  <c r="D1107" i="106" s="1"/>
  <c r="K36" i="29"/>
  <c r="K37" i="29"/>
  <c r="B1110" i="106" s="1"/>
  <c r="D1110" i="106"/>
  <c r="K38" i="29"/>
  <c r="B1111" i="106"/>
  <c r="D1111" i="106" s="1"/>
  <c r="K39" i="29"/>
  <c r="B1112" i="106" s="1"/>
  <c r="D1112" i="106"/>
  <c r="K40" i="29"/>
  <c r="B1113" i="106"/>
  <c r="D1113" i="106" s="1"/>
  <c r="K41" i="29"/>
  <c r="B1114" i="106" s="1"/>
  <c r="D1114" i="106"/>
  <c r="K46" i="29"/>
  <c r="B1118" i="106"/>
  <c r="D1118" i="106" s="1"/>
  <c r="K49" i="29"/>
  <c r="B1120" i="106" s="1"/>
  <c r="D1120" i="106"/>
  <c r="K55" i="29"/>
  <c r="K60" i="29"/>
  <c r="D27" i="108" s="1"/>
  <c r="K61" i="29"/>
  <c r="B1128" i="106" s="1"/>
  <c r="D1128" i="106"/>
  <c r="K62" i="29"/>
  <c r="B1129" i="106"/>
  <c r="D1129" i="106" s="1"/>
  <c r="K63" i="29"/>
  <c r="B1130" i="106" s="1"/>
  <c r="D1130" i="106"/>
  <c r="D1132" i="106"/>
  <c r="K68" i="29"/>
  <c r="G34" i="108" s="1"/>
  <c r="K69" i="29"/>
  <c r="B1136" i="106" s="1"/>
  <c r="D1136" i="106"/>
  <c r="K70" i="29"/>
  <c r="B1137" i="106"/>
  <c r="D1137" i="106" s="1"/>
  <c r="D1138" i="106"/>
  <c r="K71" i="29"/>
  <c r="B1139" i="106"/>
  <c r="D1139" i="106" s="1"/>
  <c r="D1140" i="106"/>
  <c r="K73" i="29"/>
  <c r="B1142" i="106"/>
  <c r="D1142" i="106" s="1"/>
  <c r="K78" i="29"/>
  <c r="B2973" i="106"/>
  <c r="D2973" i="106" s="1"/>
  <c r="K79" i="29"/>
  <c r="B2974" i="106" s="1"/>
  <c r="D2974" i="106" s="1"/>
  <c r="K80" i="29"/>
  <c r="K81" i="29"/>
  <c r="B2976" i="106" s="1"/>
  <c r="D2976" i="106" s="1"/>
  <c r="K82" i="29"/>
  <c r="B2977" i="106"/>
  <c r="D2977" i="106" s="1"/>
  <c r="K83" i="29"/>
  <c r="B2978" i="106" s="1"/>
  <c r="D2978" i="106" s="1"/>
  <c r="K93" i="29"/>
  <c r="K94" i="29"/>
  <c r="K95" i="29"/>
  <c r="K96" i="29"/>
  <c r="K97" i="29"/>
  <c r="K98" i="29"/>
  <c r="K99" i="29"/>
  <c r="B7010" i="106"/>
  <c r="D7010" i="106" s="1"/>
  <c r="K101" i="29"/>
  <c r="B7015" i="106" s="1"/>
  <c r="D7015" i="106" s="1"/>
  <c r="K105" i="29"/>
  <c r="K106" i="29"/>
  <c r="B1147" i="106" s="1"/>
  <c r="D1147" i="106" s="1"/>
  <c r="D1148" i="106"/>
  <c r="K109" i="29"/>
  <c r="B1149" i="106" s="1"/>
  <c r="D1149" i="106" s="1"/>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s="1"/>
  <c r="D1223" i="106" s="1"/>
  <c r="B1224" i="106"/>
  <c r="D1224" i="106"/>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B2094" i="106" s="1"/>
  <c r="D2094" i="106" s="1"/>
  <c r="K142" i="29"/>
  <c r="K143" i="29"/>
  <c r="B1284" i="106" s="1"/>
  <c r="D1284" i="106" s="1"/>
  <c r="K146" i="29"/>
  <c r="B1285" i="106"/>
  <c r="D1285" i="106" s="1"/>
  <c r="D1286" i="106"/>
  <c r="K144" i="29"/>
  <c r="B2810" i="106"/>
  <c r="D2810" i="106" s="1"/>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K163" i="29"/>
  <c r="B1324" i="106" s="1"/>
  <c r="D1324" i="106" s="1"/>
  <c r="K164" i="29"/>
  <c r="B1325" i="106"/>
  <c r="D1325" i="106" s="1"/>
  <c r="K169" i="29"/>
  <c r="B1326" i="106" s="1"/>
  <c r="D1326" i="106" s="1"/>
  <c r="K167" i="29"/>
  <c r="B1327" i="106"/>
  <c r="D1327" i="106" s="1"/>
  <c r="K165" i="29"/>
  <c r="B2818" i="106" s="1"/>
  <c r="D2818" i="106" s="1"/>
  <c r="K166" i="29"/>
  <c r="K170" i="29"/>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s="1"/>
  <c r="K180" i="29"/>
  <c r="K188" i="29"/>
  <c r="B3007" i="106" s="1"/>
  <c r="D3007" i="106" s="1"/>
  <c r="K189" i="29"/>
  <c r="B3008" i="106"/>
  <c r="D3008" i="106" s="1"/>
  <c r="K190" i="29"/>
  <c r="K191" i="29"/>
  <c r="B3010" i="106"/>
  <c r="D3010" i="106" s="1"/>
  <c r="K192" i="29"/>
  <c r="K193" i="29"/>
  <c r="B3012" i="106"/>
  <c r="D3012" i="106" s="1"/>
  <c r="K195" i="29"/>
  <c r="B2839" i="106" s="1"/>
  <c r="D2839" i="106" s="1"/>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2" i="106"/>
  <c r="D1432" i="106"/>
  <c r="B1433" i="106"/>
  <c r="D1433" i="106"/>
  <c r="B1434" i="106"/>
  <c r="D1434" i="106"/>
  <c r="D1435" i="106"/>
  <c r="D270" i="29"/>
  <c r="B1436" i="106" s="1"/>
  <c r="D1436" i="106" s="1"/>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c r="D1466" i="106" s="1"/>
  <c r="D1467" i="106"/>
  <c r="D1468" i="106"/>
  <c r="D1469" i="106"/>
  <c r="K221" i="29"/>
  <c r="B1470" i="106"/>
  <c r="D1470" i="106" s="1"/>
  <c r="K222" i="29"/>
  <c r="B1471" i="106" s="1"/>
  <c r="D1471" i="106" s="1"/>
  <c r="K223" i="29"/>
  <c r="B1472" i="106"/>
  <c r="D1472" i="106" s="1"/>
  <c r="K224" i="29"/>
  <c r="B1473" i="106" s="1"/>
  <c r="D1473" i="106" s="1"/>
  <c r="K215" i="29"/>
  <c r="B3390" i="106"/>
  <c r="D3390" i="106" s="1"/>
  <c r="K216" i="29"/>
  <c r="K217" i="29"/>
  <c r="B3391" i="106"/>
  <c r="D3391" i="106" s="1"/>
  <c r="K218" i="29"/>
  <c r="K219" i="29"/>
  <c r="B3065" i="106"/>
  <c r="D3065" i="106" s="1"/>
  <c r="K220" i="29"/>
  <c r="K226" i="29"/>
  <c r="B7080" i="106"/>
  <c r="D7080" i="106" s="1"/>
  <c r="K228" i="29"/>
  <c r="K232" i="29"/>
  <c r="K233" i="29"/>
  <c r="B1476" i="106" s="1"/>
  <c r="D1476" i="106" s="1"/>
  <c r="K234" i="29"/>
  <c r="B1477" i="106"/>
  <c r="D1477" i="106" s="1"/>
  <c r="K235" i="29"/>
  <c r="B1478" i="106" s="1"/>
  <c r="D1478" i="106" s="1"/>
  <c r="K236" i="29"/>
  <c r="B1479" i="106"/>
  <c r="D1479" i="106" s="1"/>
  <c r="K237" i="29"/>
  <c r="B1480" i="106" s="1"/>
  <c r="D1480" i="106" s="1"/>
  <c r="K240" i="29"/>
  <c r="B1482" i="106"/>
  <c r="D1482" i="106" s="1"/>
  <c r="K241" i="29"/>
  <c r="B1483" i="106" s="1"/>
  <c r="D1483" i="106" s="1"/>
  <c r="K242" i="29"/>
  <c r="B1484" i="106"/>
  <c r="D1484" i="106" s="1"/>
  <c r="K245" i="29"/>
  <c r="B1486" i="106" s="1"/>
  <c r="D1486" i="106" s="1"/>
  <c r="K246" i="29"/>
  <c r="B1487" i="106"/>
  <c r="D1487" i="106" s="1"/>
  <c r="K247" i="29"/>
  <c r="K248" i="29"/>
  <c r="B7082" i="106"/>
  <c r="D7082" i="106" s="1"/>
  <c r="K249" i="29"/>
  <c r="K250" i="29"/>
  <c r="B7086" i="106"/>
  <c r="D7086" i="106" s="1"/>
  <c r="K251" i="29"/>
  <c r="K252" i="29"/>
  <c r="B7090" i="106"/>
  <c r="D7090" i="106" s="1"/>
  <c r="K253" i="29"/>
  <c r="K254" i="29"/>
  <c r="B7094" i="106"/>
  <c r="D7094" i="106" s="1"/>
  <c r="K255" i="29"/>
  <c r="K256" i="29"/>
  <c r="B7098" i="106"/>
  <c r="D7098" i="106" s="1"/>
  <c r="K259" i="29"/>
  <c r="B1489" i="106" s="1"/>
  <c r="D1489" i="106" s="1"/>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s="1"/>
  <c r="K292" i="29"/>
  <c r="B1514" i="106"/>
  <c r="D1514" i="106" s="1"/>
  <c r="K290" i="29"/>
  <c r="B2845" i="106" s="1"/>
  <c r="D2845" i="106" s="1"/>
  <c r="K291" i="29"/>
  <c r="B2846" i="106"/>
  <c r="D2846" i="106" s="1"/>
  <c r="D1516" i="106"/>
  <c r="K283" i="29"/>
  <c r="K284" i="29"/>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c r="B1549" i="106"/>
  <c r="D1549" i="106"/>
  <c r="D1550" i="106"/>
  <c r="D1551" i="106"/>
  <c r="B1552" i="106"/>
  <c r="D1552" i="106"/>
  <c r="H303" i="29"/>
  <c r="B1553" i="106"/>
  <c r="D1553" i="106" s="1"/>
  <c r="H310" i="29"/>
  <c r="K301" i="29"/>
  <c r="D1556" i="106"/>
  <c r="D1557" i="106"/>
  <c r="K302" i="29"/>
  <c r="B1558" i="106" s="1"/>
  <c r="D1558" i="106"/>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B3689" i="106"/>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c r="D1951" i="106"/>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s="1"/>
  <c r="F8" i="11"/>
  <c r="B2027" i="106"/>
  <c r="D2027" i="106" s="1"/>
  <c r="F10" i="11"/>
  <c r="B2028" i="106" s="1"/>
  <c r="D2028" i="106" s="1"/>
  <c r="F12" i="11"/>
  <c r="B2029" i="106"/>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c r="D2052" i="106" s="1"/>
  <c r="K12" i="11"/>
  <c r="B2053" i="106" s="1"/>
  <c r="D2053" i="106" s="1"/>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c r="D2105" i="106" s="1"/>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F77" i="4" s="1"/>
  <c r="B3255" i="106" s="1"/>
  <c r="D3255" i="106" s="1"/>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c r="D3584" i="106" s="1"/>
  <c r="B3585" i="106"/>
  <c r="D3585" i="106" s="1"/>
  <c r="K52" i="4"/>
  <c r="B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D3623" i="106"/>
  <c r="B3624" i="106"/>
  <c r="D3624" i="106" s="1"/>
  <c r="B3625" i="106"/>
  <c r="D3625" i="106" s="1"/>
  <c r="D350" i="29"/>
  <c r="B3626" i="106" s="1"/>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s="1"/>
  <c r="D3651" i="106"/>
  <c r="B3652" i="106"/>
  <c r="D3652" i="106"/>
  <c r="B3653" i="106"/>
  <c r="D3653" i="106"/>
  <c r="H350" i="29"/>
  <c r="B3654" i="106"/>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c r="K349" i="29"/>
  <c r="B3669" i="106"/>
  <c r="D3669" i="106" s="1"/>
  <c r="K351" i="29"/>
  <c r="B3671" i="106" s="1"/>
  <c r="D3671" i="106"/>
  <c r="D3673" i="106"/>
  <c r="K360" i="29"/>
  <c r="B3675" i="106" s="1"/>
  <c r="D3675" i="106" s="1"/>
  <c r="K361" i="29"/>
  <c r="B7239" i="106"/>
  <c r="D7239" i="106" s="1"/>
  <c r="D3677" i="106"/>
  <c r="K363" i="29"/>
  <c r="B7241" i="106"/>
  <c r="D7241" i="106" s="1"/>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2"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c r="D4101" i="106"/>
  <c r="B4106" i="106"/>
  <c r="D4106" i="106" s="1"/>
  <c r="B4107" i="106"/>
  <c r="D4107" i="106" s="1"/>
  <c r="F17" i="7"/>
  <c r="B4108" i="106" s="1"/>
  <c r="D4108" i="106"/>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c r="D18" i="4"/>
  <c r="B4132" i="106"/>
  <c r="D4132" i="106" s="1"/>
  <c r="F18" i="4"/>
  <c r="B4133" i="106" s="1"/>
  <c r="D4133" i="106"/>
  <c r="H18" i="4"/>
  <c r="B4134" i="106"/>
  <c r="D4134" i="106" s="1"/>
  <c r="K18" i="4"/>
  <c r="B4135" i="106" s="1"/>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s="1"/>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c r="B6873" i="106"/>
  <c r="D6873" i="106"/>
  <c r="B6874" i="106"/>
  <c r="D6874" i="106"/>
  <c r="B6875" i="106"/>
  <c r="D6875" i="106"/>
  <c r="B6876" i="106"/>
  <c r="D6876" i="106"/>
  <c r="K20" i="29"/>
  <c r="B6878" i="106"/>
  <c r="D6878" i="106" s="1"/>
  <c r="K21" i="29"/>
  <c r="B6879" i="106" s="1"/>
  <c r="D6879" i="106" s="1"/>
  <c r="B6880" i="106"/>
  <c r="D6880" i="106"/>
  <c r="K22" i="29"/>
  <c r="B6881" i="106"/>
  <c r="D6881" i="106" s="1"/>
  <c r="B6882" i="106"/>
  <c r="D6882" i="106" s="1"/>
  <c r="K23" i="29"/>
  <c r="B6883" i="106" s="1"/>
  <c r="D6883" i="106" s="1"/>
  <c r="B6884" i="106"/>
  <c r="D6884" i="106"/>
  <c r="K24" i="29"/>
  <c r="B6886" i="106"/>
  <c r="D6886" i="106" s="1"/>
  <c r="K25" i="29"/>
  <c r="B6887" i="106" s="1"/>
  <c r="D6887" i="106" s="1"/>
  <c r="B6888" i="106"/>
  <c r="D6888" i="106"/>
  <c r="K26" i="29"/>
  <c r="B6889" i="106"/>
  <c r="D6889" i="106" s="1"/>
  <c r="B6890" i="106"/>
  <c r="D6890" i="106" s="1"/>
  <c r="K27" i="29"/>
  <c r="B6891" i="106" s="1"/>
  <c r="D6891" i="106" s="1"/>
  <c r="B6892" i="106"/>
  <c r="D6892" i="106"/>
  <c r="K28" i="29"/>
  <c r="B6894" i="106"/>
  <c r="D6894" i="106" s="1"/>
  <c r="K29" i="29"/>
  <c r="B6895" i="106" s="1"/>
  <c r="D6895" i="106" s="1"/>
  <c r="B6896" i="106"/>
  <c r="D6896" i="106"/>
  <c r="K30" i="29"/>
  <c r="B6897" i="106"/>
  <c r="D6897" i="106" s="1"/>
  <c r="B6898" i="106"/>
  <c r="D6898" i="106" s="1"/>
  <c r="K31" i="29"/>
  <c r="B6899" i="106" s="1"/>
  <c r="D6899" i="106" s="1"/>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1" i="106"/>
  <c r="D7011" i="106"/>
  <c r="B7014" i="106"/>
  <c r="D7014" i="106"/>
  <c r="B7016" i="106"/>
  <c r="D7016" i="106"/>
  <c r="K111" i="29"/>
  <c r="B7017" i="106"/>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c r="D7034" i="106" s="1"/>
  <c r="B7035" i="106"/>
  <c r="D7035" i="106" s="1"/>
  <c r="B7036" i="106"/>
  <c r="D7036" i="106" s="1"/>
  <c r="I129" i="29"/>
  <c r="B7037" i="106" s="1"/>
  <c r="D7037" i="106" s="1"/>
  <c r="J129" i="29"/>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9" i="106"/>
  <c r="D7069" i="106" s="1"/>
  <c r="I210" i="29"/>
  <c r="B7071" i="106" s="1"/>
  <c r="D7071" i="106" s="1"/>
  <c r="J210" i="29"/>
  <c r="B7072" i="106"/>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E57" i="184" s="1"/>
  <c r="B7127" i="106"/>
  <c r="D7127" i="106"/>
  <c r="B7128" i="106"/>
  <c r="D7128" i="106"/>
  <c r="B7129" i="106"/>
  <c r="D7129" i="106"/>
  <c r="B7130" i="106"/>
  <c r="D7130" i="106"/>
  <c r="B7131" i="106"/>
  <c r="D7131" i="106"/>
  <c r="B7132" i="106"/>
  <c r="D7132" i="106"/>
  <c r="B7133" i="106"/>
  <c r="D7133" i="106"/>
  <c r="B7134" i="106"/>
  <c r="D7134" i="106"/>
  <c r="K320" i="29"/>
  <c r="E58" i="184" s="1"/>
  <c r="N58" i="184"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c r="B7146" i="106"/>
  <c r="D7146" i="106"/>
  <c r="B7147" i="106"/>
  <c r="D7147" i="106"/>
  <c r="B7148" i="106"/>
  <c r="D7148" i="106"/>
  <c r="B7149" i="106"/>
  <c r="D7149" i="106"/>
  <c r="B7150" i="106"/>
  <c r="D7150" i="106"/>
  <c r="B7151" i="106"/>
  <c r="D7151" i="106"/>
  <c r="B7152" i="106"/>
  <c r="D7152" i="106"/>
  <c r="K322" i="29"/>
  <c r="E60" i="184" s="1"/>
  <c r="N60" i="184" s="1"/>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E61" i="184" s="1"/>
  <c r="N61" i="184" s="1"/>
  <c r="B7163" i="106"/>
  <c r="D7163" i="106"/>
  <c r="B7164" i="106"/>
  <c r="D7164" i="106"/>
  <c r="B7165" i="106"/>
  <c r="D7165" i="106"/>
  <c r="B7166" i="106"/>
  <c r="D7166" i="106"/>
  <c r="B7167" i="106"/>
  <c r="D7167" i="106"/>
  <c r="B7168" i="106"/>
  <c r="D7168" i="106"/>
  <c r="B7169" i="106"/>
  <c r="D7169" i="106"/>
  <c r="B7170" i="106"/>
  <c r="D7170" i="106"/>
  <c r="K324" i="29"/>
  <c r="E62" i="184" s="1"/>
  <c r="N62" i="184"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E63" i="184" s="1"/>
  <c r="N63" i="184" s="1"/>
  <c r="B7181" i="106"/>
  <c r="D7181" i="106"/>
  <c r="B7182" i="106"/>
  <c r="D7182" i="106"/>
  <c r="B7183" i="106"/>
  <c r="D7183" i="106"/>
  <c r="B7184" i="106"/>
  <c r="D7184" i="106"/>
  <c r="B7185" i="106"/>
  <c r="D7185" i="106"/>
  <c r="B7186" i="106"/>
  <c r="D7186" i="106"/>
  <c r="B7187" i="106"/>
  <c r="D7187" i="106"/>
  <c r="B7188" i="106"/>
  <c r="D7188" i="106"/>
  <c r="K326" i="29"/>
  <c r="E64" i="184" s="1"/>
  <c r="N64" i="184" s="1"/>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E65" i="184" s="1"/>
  <c r="N65" i="184" s="1"/>
  <c r="C330" i="29"/>
  <c r="B7199" i="106"/>
  <c r="D7199" i="106" s="1"/>
  <c r="D330" i="29"/>
  <c r="E330" i="29"/>
  <c r="F330" i="29"/>
  <c r="G330" i="29"/>
  <c r="B7203" i="106"/>
  <c r="D7203" i="106" s="1"/>
  <c r="H330" i="29"/>
  <c r="B7204" i="106" s="1"/>
  <c r="D7204" i="106" s="1"/>
  <c r="I330" i="29"/>
  <c r="B7205" i="106"/>
  <c r="D7205" i="106" s="1"/>
  <c r="J330" i="29"/>
  <c r="B7206" i="106" s="1"/>
  <c r="D7206" i="106"/>
  <c r="K328" i="29"/>
  <c r="E66" i="184" s="1"/>
  <c r="N66" i="184" s="1"/>
  <c r="B7696" i="106"/>
  <c r="D7696" i="106" s="1"/>
  <c r="K329" i="29"/>
  <c r="B7208" i="106"/>
  <c r="D7208" i="106"/>
  <c r="K337" i="29"/>
  <c r="B7209" i="106"/>
  <c r="D7209" i="106" s="1"/>
  <c r="B7210" i="106"/>
  <c r="D7210" i="106" s="1"/>
  <c r="K338" i="29"/>
  <c r="B7212" i="106"/>
  <c r="D7212" i="106"/>
  <c r="K339" i="29"/>
  <c r="B7213" i="106"/>
  <c r="D7213" i="106" s="1"/>
  <c r="H340" i="29"/>
  <c r="C342" i="29"/>
  <c r="B7216" i="106" s="1"/>
  <c r="D7216" i="106" s="1"/>
  <c r="B7226" i="106"/>
  <c r="D7226" i="106"/>
  <c r="B7227" i="106"/>
  <c r="D7227" i="106"/>
  <c r="B7228" i="106"/>
  <c r="D7228" i="106"/>
  <c r="B7229" i="106"/>
  <c r="D7229" i="106"/>
  <c r="I350" i="29"/>
  <c r="J350" i="29"/>
  <c r="B7231" i="106" s="1"/>
  <c r="D7231" i="106"/>
  <c r="B7232" i="106"/>
  <c r="D7232" i="106"/>
  <c r="B7233" i="106"/>
  <c r="D7233" i="106"/>
  <c r="D7236" i="106"/>
  <c r="D7237" i="106"/>
  <c r="B7238" i="106"/>
  <c r="D7238" i="106"/>
  <c r="B7240" i="106"/>
  <c r="D7240" i="106"/>
  <c r="A7245" i="106"/>
  <c r="A7246" i="106"/>
  <c r="A7247" i="106" s="1"/>
  <c r="A7248" i="106"/>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s="1"/>
  <c r="B7736" i="106"/>
  <c r="D7736" i="106" s="1"/>
  <c r="B7737" i="106"/>
  <c r="D7737" i="106" s="1"/>
  <c r="B7738" i="106"/>
  <c r="D7738"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s="1"/>
  <c r="B9" i="36"/>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s="1"/>
  <c r="C33" i="34"/>
  <c r="D33" i="34"/>
  <c r="F33" i="34"/>
  <c r="C34" i="34"/>
  <c r="D34" i="34"/>
  <c r="F34" i="34"/>
  <c r="B7826" i="106"/>
  <c r="D7826" i="106" s="1"/>
  <c r="C35" i="34"/>
  <c r="D35" i="34"/>
  <c r="C36" i="34"/>
  <c r="D36" i="34"/>
  <c r="F36" i="34"/>
  <c r="B7828" i="106" s="1"/>
  <c r="D7828" i="106" s="1"/>
  <c r="C37" i="34"/>
  <c r="D37" i="34"/>
  <c r="F37" i="34"/>
  <c r="B7829" i="106"/>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c r="D7831" i="106" s="1"/>
  <c r="C53" i="34"/>
  <c r="D53" i="34"/>
  <c r="C56" i="34"/>
  <c r="F56" i="34"/>
  <c r="B7832" i="106"/>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s="1"/>
  <c r="C103" i="34"/>
  <c r="D103" i="34"/>
  <c r="F103" i="34"/>
  <c r="B7840" i="106" s="1"/>
  <c r="D7840" i="106" s="1"/>
  <c r="C104" i="34"/>
  <c r="D104" i="34"/>
  <c r="F104" i="34"/>
  <c r="B7841" i="106"/>
  <c r="D7841" i="106" s="1"/>
  <c r="C105" i="34"/>
  <c r="D105" i="34"/>
  <c r="F105" i="34"/>
  <c r="D106" i="34"/>
  <c r="D107" i="34"/>
  <c r="D108" i="34"/>
  <c r="C109" i="34"/>
  <c r="D109" i="34"/>
  <c r="F109" i="34"/>
  <c r="C110" i="34"/>
  <c r="D110" i="34"/>
  <c r="F110" i="34"/>
  <c r="B7845" i="106"/>
  <c r="D7845" i="106" s="1"/>
  <c r="C111" i="34"/>
  <c r="D111" i="34"/>
  <c r="F111" i="34"/>
  <c r="B7846" i="106" s="1"/>
  <c r="D7846" i="106"/>
  <c r="D112" i="34"/>
  <c r="C113" i="34"/>
  <c r="D113" i="34"/>
  <c r="F113" i="34"/>
  <c r="C114" i="34"/>
  <c r="D114" i="34"/>
  <c r="F114" i="34"/>
  <c r="B7848" i="106"/>
  <c r="D7848" i="106" s="1"/>
  <c r="C115" i="34"/>
  <c r="D115" i="34"/>
  <c r="F115" i="34"/>
  <c r="B7849" i="106" s="1"/>
  <c r="D7849" i="106"/>
  <c r="C116" i="34"/>
  <c r="D116" i="34"/>
  <c r="F116" i="34"/>
  <c r="B7850" i="106"/>
  <c r="D7850" i="106" s="1"/>
  <c r="C117" i="34"/>
  <c r="D117" i="34"/>
  <c r="F117" i="34"/>
  <c r="B7851" i="106" s="1"/>
  <c r="D7851" i="106"/>
  <c r="C118" i="34"/>
  <c r="D118" i="34"/>
  <c r="F118" i="34"/>
  <c r="B7852" i="106"/>
  <c r="D7852" i="106" s="1"/>
  <c r="C119" i="34"/>
  <c r="D119" i="34"/>
  <c r="F119" i="34"/>
  <c r="B7853" i="106" s="1"/>
  <c r="D7853" i="106"/>
  <c r="C120" i="34"/>
  <c r="D120" i="34"/>
  <c r="F120" i="34"/>
  <c r="B7854" i="106"/>
  <c r="D7854" i="106" s="1"/>
  <c r="C121" i="34"/>
  <c r="D121" i="34"/>
  <c r="F121" i="34"/>
  <c r="C122" i="34"/>
  <c r="F122" i="34"/>
  <c r="B7855" i="106" s="1"/>
  <c r="D7855" i="106"/>
  <c r="C123" i="34"/>
  <c r="D123" i="34"/>
  <c r="F123" i="34"/>
  <c r="D124" i="34"/>
  <c r="D125" i="34"/>
  <c r="D126" i="34"/>
  <c r="D127" i="34"/>
  <c r="D128" i="34"/>
  <c r="C129" i="34"/>
  <c r="D129" i="34"/>
  <c r="F129" i="34"/>
  <c r="B7861" i="106"/>
  <c r="D7861" i="106" s="1"/>
  <c r="C130" i="34"/>
  <c r="D130" i="34"/>
  <c r="F130" i="34"/>
  <c r="B7862" i="106" s="1"/>
  <c r="D7862" i="106"/>
  <c r="C131" i="34"/>
  <c r="D131" i="34"/>
  <c r="F131" i="34"/>
  <c r="B7863" i="106"/>
  <c r="D7863" i="106" s="1"/>
  <c r="C132" i="34"/>
  <c r="D132" i="34"/>
  <c r="F132" i="34"/>
  <c r="B7864" i="106" s="1"/>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c r="D7869" i="106" s="1"/>
  <c r="C163" i="34"/>
  <c r="D163" i="34"/>
  <c r="F163" i="34"/>
  <c r="B7870" i="106" s="1"/>
  <c r="D7870" i="106" s="1"/>
  <c r="C164" i="34"/>
  <c r="D164" i="34"/>
  <c r="F164" i="34"/>
  <c r="B7871" i="106"/>
  <c r="D7871" i="106" s="1"/>
  <c r="C165" i="34"/>
  <c r="D165" i="34"/>
  <c r="F165" i="34"/>
  <c r="B7872" i="106" s="1"/>
  <c r="D7872" i="106" s="1"/>
  <c r="C166" i="34"/>
  <c r="D166" i="34"/>
  <c r="F166" i="34"/>
  <c r="B7873" i="106"/>
  <c r="D7873" i="106" s="1"/>
  <c r="C169" i="34"/>
  <c r="D169" i="34"/>
  <c r="F169" i="34"/>
  <c r="B7874" i="106" s="1"/>
  <c r="D7874" i="106" s="1"/>
  <c r="C170" i="34"/>
  <c r="D170" i="34"/>
  <c r="F170" i="34"/>
  <c r="B7875" i="106"/>
  <c r="D7875" i="106" s="1"/>
  <c r="C171" i="34"/>
  <c r="D171" i="34"/>
  <c r="F171" i="34"/>
  <c r="B7876" i="106" s="1"/>
  <c r="D7876" i="106" s="1"/>
  <c r="F179" i="34"/>
  <c r="F3" i="11"/>
  <c r="B7591" i="106" s="1"/>
  <c r="F5" i="11"/>
  <c r="C16" i="11"/>
  <c r="B2013" i="106"/>
  <c r="D2013" i="106" s="1"/>
  <c r="C49" i="8"/>
  <c r="B7817" i="106" s="1"/>
  <c r="D7817" i="106" s="1"/>
  <c r="B4" i="7"/>
  <c r="B1744" i="106"/>
  <c r="D1744" i="106" s="1"/>
  <c r="B5" i="7"/>
  <c r="B6" i="7"/>
  <c r="D6" i="7"/>
  <c r="B1762" i="106" s="1"/>
  <c r="D1762" i="106"/>
  <c r="B7" i="7"/>
  <c r="B1747" i="106"/>
  <c r="D1747" i="106" s="1"/>
  <c r="B8" i="7"/>
  <c r="B1748" i="106" s="1"/>
  <c r="D1748" i="106"/>
  <c r="B9" i="7"/>
  <c r="B1751" i="106"/>
  <c r="D1751" i="106" s="1"/>
  <c r="B10" i="7"/>
  <c r="B1749" i="106" s="1"/>
  <c r="D1749" i="106"/>
  <c r="B1752" i="106"/>
  <c r="D1752" i="106"/>
  <c r="B12" i="7"/>
  <c r="B1753" i="106"/>
  <c r="D1753" i="106" s="1"/>
  <c r="B13" i="7"/>
  <c r="B3725" i="106" s="1"/>
  <c r="D3725" i="106"/>
  <c r="B14" i="7"/>
  <c r="B1754" i="106"/>
  <c r="D1754" i="106" s="1"/>
  <c r="B1756" i="106"/>
  <c r="D1756" i="106" s="1"/>
  <c r="B16" i="7"/>
  <c r="B3446" i="106" s="1"/>
  <c r="D3446" i="106" s="1"/>
  <c r="B17" i="7"/>
  <c r="B4102" i="106"/>
  <c r="D4102" i="106" s="1"/>
  <c r="B18" i="7"/>
  <c r="B4103" i="106" s="1"/>
  <c r="D4103" i="106" s="1"/>
  <c r="K5" i="29"/>
  <c r="B1093" i="106"/>
  <c r="D1093" i="106" s="1"/>
  <c r="K10" i="29"/>
  <c r="B3062" i="106" s="1"/>
  <c r="D3062" i="106" s="1"/>
  <c r="K13" i="29"/>
  <c r="B1105" i="106"/>
  <c r="D1105" i="106" s="1"/>
  <c r="C33" i="29"/>
  <c r="D33" i="29"/>
  <c r="B778" i="106"/>
  <c r="D778" i="106" s="1"/>
  <c r="F33" i="29"/>
  <c r="B894" i="106" s="1"/>
  <c r="D894" i="106"/>
  <c r="G33" i="29"/>
  <c r="B952" i="106"/>
  <c r="D952" i="106" s="1"/>
  <c r="H33" i="29"/>
  <c r="B1010" i="106" s="1"/>
  <c r="D1010" i="106"/>
  <c r="I33" i="29"/>
  <c r="B6902" i="106"/>
  <c r="D6902" i="106" s="1"/>
  <c r="J33" i="29"/>
  <c r="B6903" i="106" s="1"/>
  <c r="D6903" i="106"/>
  <c r="L33" i="29"/>
  <c r="L42" i="29"/>
  <c r="K44" i="29"/>
  <c r="K45" i="29"/>
  <c r="B1117" i="106" s="1"/>
  <c r="D1117" i="106" s="1"/>
  <c r="C47" i="29"/>
  <c r="L47" i="29"/>
  <c r="K50" i="29"/>
  <c r="E12" i="184" s="1"/>
  <c r="C53" i="29"/>
  <c r="B734" i="106" s="1"/>
  <c r="D734" i="106"/>
  <c r="L53" i="29"/>
  <c r="L57" i="29"/>
  <c r="L65" i="29"/>
  <c r="L72" i="29"/>
  <c r="L84" i="29"/>
  <c r="L92" i="29"/>
  <c r="L100" i="29"/>
  <c r="L110" i="29"/>
  <c r="L112" i="29" s="1"/>
  <c r="L147" i="29"/>
  <c r="L168" i="29"/>
  <c r="L172" i="29"/>
  <c r="L174" i="29" s="1"/>
  <c r="L184" i="29"/>
  <c r="L210" i="29" s="1"/>
  <c r="L194" i="29"/>
  <c r="L196" i="29"/>
  <c r="L204" i="29"/>
  <c r="L208" i="29"/>
  <c r="L229" i="29"/>
  <c r="L238" i="29"/>
  <c r="L243" i="29"/>
  <c r="L257" i="29"/>
  <c r="L261" i="29"/>
  <c r="L270" i="29"/>
  <c r="L277" i="29"/>
  <c r="L293" i="29"/>
  <c r="L303" i="29"/>
  <c r="L310" i="29"/>
  <c r="L312" i="29" s="1"/>
  <c r="L330" i="29"/>
  <c r="L340" i="29"/>
  <c r="L342" i="29" s="1"/>
  <c r="L350" i="29"/>
  <c r="L352" i="29"/>
  <c r="L362" i="29"/>
  <c r="L365" i="29"/>
  <c r="C12" i="5"/>
  <c r="D12" i="5"/>
  <c r="E12" i="5"/>
  <c r="B5513" i="106"/>
  <c r="D5513" i="106" s="1"/>
  <c r="F12" i="5"/>
  <c r="B5557" i="106" s="1"/>
  <c r="D5557" i="106" s="1"/>
  <c r="G12" i="5"/>
  <c r="B5725" i="106"/>
  <c r="D5725" i="106" s="1"/>
  <c r="H12" i="5"/>
  <c r="B5873" i="106" s="1"/>
  <c r="D5873" i="106" s="1"/>
  <c r="I12" i="5"/>
  <c r="B5918" i="106"/>
  <c r="D5918" i="106" s="1"/>
  <c r="J12" i="5"/>
  <c r="B6301" i="106" s="1"/>
  <c r="D6301" i="106" s="1"/>
  <c r="K12" i="5"/>
  <c r="B5987" i="106"/>
  <c r="D5987" i="106" s="1"/>
  <c r="C18" i="5"/>
  <c r="B5071" i="106" s="1"/>
  <c r="D5071" i="106" s="1"/>
  <c r="D18" i="5"/>
  <c r="B5339" i="106"/>
  <c r="D5339" i="106" s="1"/>
  <c r="E18" i="5"/>
  <c r="F18" i="5"/>
  <c r="B5562" i="106"/>
  <c r="D5562" i="106" s="1"/>
  <c r="G18" i="5"/>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c r="D5930" i="106" s="1"/>
  <c r="J108" i="5"/>
  <c r="B6351" i="106" s="1"/>
  <c r="D6351" i="106" s="1"/>
  <c r="K108" i="5"/>
  <c r="B5999" i="106"/>
  <c r="D5999" i="106" s="1"/>
  <c r="C114" i="5"/>
  <c r="B5125" i="106" s="1"/>
  <c r="D5125" i="106" s="1"/>
  <c r="D114" i="5"/>
  <c r="B5360" i="106"/>
  <c r="D5360" i="106" s="1"/>
  <c r="F114" i="5"/>
  <c r="B5592" i="106" s="1"/>
  <c r="D5592" i="106" s="1"/>
  <c r="G114" i="5"/>
  <c r="B5741" i="106"/>
  <c r="D5741" i="106" s="1"/>
  <c r="C122" i="5"/>
  <c r="B5132" i="106" s="1"/>
  <c r="D5132" i="106" s="1"/>
  <c r="D122" i="5"/>
  <c r="B5367" i="106"/>
  <c r="D5367" i="106" s="1"/>
  <c r="E122" i="5"/>
  <c r="B5534" i="106" s="1"/>
  <c r="D5534" i="106" s="1"/>
  <c r="F122" i="5"/>
  <c r="B5599" i="106"/>
  <c r="D5599" i="106" s="1"/>
  <c r="F132" i="5"/>
  <c r="F106" i="34" s="1"/>
  <c r="F155" i="5"/>
  <c r="G122" i="5"/>
  <c r="B5748" i="106" s="1"/>
  <c r="D5748" i="106"/>
  <c r="H122" i="5"/>
  <c r="B5893" i="106"/>
  <c r="D5893" i="106" s="1"/>
  <c r="J122" i="5"/>
  <c r="B6357" i="106" s="1"/>
  <c r="D6357" i="106"/>
  <c r="K122" i="5"/>
  <c r="B6006" i="106"/>
  <c r="D6006" i="106" s="1"/>
  <c r="C132" i="5"/>
  <c r="D132" i="5"/>
  <c r="B5369" i="106"/>
  <c r="D5369" i="106" s="1"/>
  <c r="C141" i="5"/>
  <c r="D141" i="5"/>
  <c r="B5383" i="106"/>
  <c r="D5383" i="106" s="1"/>
  <c r="G141" i="5"/>
  <c r="G145" i="5"/>
  <c r="B5756" i="106"/>
  <c r="D5756" i="106" s="1"/>
  <c r="G155" i="5"/>
  <c r="B4357" i="106" s="1"/>
  <c r="D4357" i="106" s="1"/>
  <c r="C145" i="5"/>
  <c r="B5165" i="106"/>
  <c r="D5165" i="106" s="1"/>
  <c r="C155" i="5"/>
  <c r="B5178" i="106" s="1"/>
  <c r="D5178" i="106" s="1"/>
  <c r="D155" i="5"/>
  <c r="B5394" i="106"/>
  <c r="D5394" i="106" s="1"/>
  <c r="E169" i="5"/>
  <c r="H169" i="5"/>
  <c r="B5899" i="106"/>
  <c r="D5899" i="106" s="1"/>
  <c r="I169" i="5"/>
  <c r="J169" i="5"/>
  <c r="B6396" i="106"/>
  <c r="D6396" i="106" s="1"/>
  <c r="K169" i="5"/>
  <c r="B5000" i="106" s="1"/>
  <c r="D5000" i="106"/>
  <c r="C175" i="5"/>
  <c r="B5225" i="106"/>
  <c r="D5225" i="106" s="1"/>
  <c r="D175" i="5"/>
  <c r="B5423" i="106" s="1"/>
  <c r="D5423" i="106"/>
  <c r="E175" i="5"/>
  <c r="B4372" i="106"/>
  <c r="D4372" i="106" s="1"/>
  <c r="F175" i="5"/>
  <c r="B5655" i="106" s="1"/>
  <c r="D5655" i="106"/>
  <c r="G175" i="5"/>
  <c r="B5780" i="106"/>
  <c r="D5780" i="106" s="1"/>
  <c r="H175" i="5"/>
  <c r="I175" i="5"/>
  <c r="B4373" i="106"/>
  <c r="D4373" i="106" s="1"/>
  <c r="J175" i="5"/>
  <c r="B6400" i="106" s="1"/>
  <c r="D6400" i="106" s="1"/>
  <c r="K175" i="5"/>
  <c r="B4951" i="106"/>
  <c r="D4951" i="106" s="1"/>
  <c r="C181" i="5"/>
  <c r="B5232" i="106" s="1"/>
  <c r="D5232" i="106" s="1"/>
  <c r="D181" i="5"/>
  <c r="B5425" i="106"/>
  <c r="D5425" i="106" s="1"/>
  <c r="F181" i="5"/>
  <c r="B5658" i="106" s="1"/>
  <c r="D5658" i="106" s="1"/>
  <c r="G181" i="5"/>
  <c r="B5784" i="106"/>
  <c r="D5784" i="106" s="1"/>
  <c r="H181" i="5"/>
  <c r="B5908" i="106" s="1"/>
  <c r="D5908" i="106" s="1"/>
  <c r="K181" i="5"/>
  <c r="B6016" i="106"/>
  <c r="D6016" i="106" s="1"/>
  <c r="D188" i="5"/>
  <c r="F188" i="5"/>
  <c r="G188" i="5"/>
  <c r="G266" i="5" s="1"/>
  <c r="G198" i="5"/>
  <c r="B6409" i="106"/>
  <c r="D6409" i="106" s="1"/>
  <c r="B5260" i="106"/>
  <c r="D5260" i="106" s="1"/>
  <c r="D204" i="5"/>
  <c r="F204" i="5"/>
  <c r="B5677" i="106"/>
  <c r="D5677" i="106" s="1"/>
  <c r="G204" i="5"/>
  <c r="B5803" i="106" s="1"/>
  <c r="D5803" i="106" s="1"/>
  <c r="D209" i="5"/>
  <c r="B4412" i="106"/>
  <c r="D4412" i="106" s="1"/>
  <c r="F209" i="5"/>
  <c r="G209" i="5"/>
  <c r="B4414" i="106"/>
  <c r="D4414" i="106" s="1"/>
  <c r="D217" i="5"/>
  <c r="B5470" i="106" s="1"/>
  <c r="D5470" i="106" s="1"/>
  <c r="F217" i="5"/>
  <c r="B5703" i="106"/>
  <c r="D5703" i="106" s="1"/>
  <c r="G217" i="5"/>
  <c r="B5829" i="106" s="1"/>
  <c r="D5829" i="106" s="1"/>
  <c r="D221" i="5"/>
  <c r="B5488" i="106"/>
  <c r="D5488" i="106" s="1"/>
  <c r="G221" i="5"/>
  <c r="B5847" i="106" s="1"/>
  <c r="D5847" i="106" s="1"/>
  <c r="G252" i="5"/>
  <c r="B6837" i="106"/>
  <c r="D6837" i="106" s="1"/>
  <c r="B6833" i="106"/>
  <c r="D6833" i="106" s="1"/>
  <c r="D252" i="5"/>
  <c r="B6834" i="106" s="1"/>
  <c r="D6834" i="106"/>
  <c r="E252" i="5"/>
  <c r="F252" i="5"/>
  <c r="B6836" i="106" s="1"/>
  <c r="D6836" i="106" s="1"/>
  <c r="H252" i="5"/>
  <c r="H266" i="5"/>
  <c r="B4441" i="106" s="1"/>
  <c r="D4441" i="106"/>
  <c r="J252" i="5"/>
  <c r="J266" i="5"/>
  <c r="B7041" i="106" s="1"/>
  <c r="D7041" i="106" s="1"/>
  <c r="K252" i="5"/>
  <c r="K266" i="5"/>
  <c r="B4442" i="106" s="1"/>
  <c r="D4442" i="106"/>
  <c r="G14" i="4"/>
  <c r="B2609" i="106"/>
  <c r="D2609" i="106" s="1"/>
  <c r="D14" i="4"/>
  <c r="B2570" i="106" s="1"/>
  <c r="D2570" i="106"/>
  <c r="D7" i="118"/>
  <c r="D8" i="118"/>
  <c r="D9" i="118"/>
  <c r="H14" i="118"/>
  <c r="H19" i="118"/>
  <c r="H24" i="118"/>
  <c r="H28" i="118"/>
  <c r="H33" i="118"/>
  <c r="D22" i="37"/>
  <c r="L22" i="37"/>
  <c r="D24" i="37"/>
  <c r="B4270" i="106"/>
  <c r="D4270" i="106" s="1"/>
  <c r="B5752" i="106"/>
  <c r="D5752" i="106" s="1"/>
  <c r="B1124" i="106"/>
  <c r="D1124" i="106" s="1"/>
  <c r="E33" i="108"/>
  <c r="B1126" i="106"/>
  <c r="D1126" i="106"/>
  <c r="J22" i="37"/>
  <c r="L367" i="29"/>
  <c r="F19" i="7"/>
  <c r="B1807" i="106" s="1"/>
  <c r="D1807" i="106"/>
  <c r="F46" i="34"/>
  <c r="F38" i="34"/>
  <c r="B7830" i="106" s="1"/>
  <c r="D7830" i="106" s="1"/>
  <c r="E38" i="108"/>
  <c r="E35" i="108"/>
  <c r="G29" i="108"/>
  <c r="F28" i="108"/>
  <c r="F27" i="108"/>
  <c r="E26" i="108"/>
  <c r="D54" i="36"/>
  <c r="H112" i="29"/>
  <c r="B7018" i="106" s="1"/>
  <c r="D7018" i="106"/>
  <c r="J77" i="4"/>
  <c r="B6262" i="106"/>
  <c r="D6262" i="106" s="1"/>
  <c r="B3647" i="106"/>
  <c r="D3647" i="106" s="1"/>
  <c r="K76" i="4"/>
  <c r="B3586" i="106" s="1"/>
  <c r="D3586" i="106" s="1"/>
  <c r="L13" i="11"/>
  <c r="B2060" i="106"/>
  <c r="D2060" i="106" s="1"/>
  <c r="K184" i="29"/>
  <c r="F13" i="4" s="1"/>
  <c r="B2596" i="106" s="1"/>
  <c r="D2596" i="106" s="1"/>
  <c r="G210" i="29"/>
  <c r="B1365" i="106" s="1"/>
  <c r="D1365" i="106" s="1"/>
  <c r="J352" i="29"/>
  <c r="J367" i="29" s="1"/>
  <c r="B7245" i="106" s="1"/>
  <c r="D7245" i="106" s="1"/>
  <c r="J41" i="3"/>
  <c r="D51" i="36" s="1"/>
  <c r="D6103" i="106"/>
  <c r="E29" i="108"/>
  <c r="B1308" i="106"/>
  <c r="D1308" i="106" s="1"/>
  <c r="E174" i="29"/>
  <c r="B1309" i="106" s="1"/>
  <c r="D1309" i="106" s="1"/>
  <c r="D17" i="7"/>
  <c r="B4104" i="106"/>
  <c r="D4104" i="106" s="1"/>
  <c r="D9" i="7"/>
  <c r="B1767" i="106" s="1"/>
  <c r="D1767" i="106" s="1"/>
  <c r="D11" i="37"/>
  <c r="H29" i="118"/>
  <c r="K28" i="118" s="1"/>
  <c r="O27" i="118"/>
  <c r="O29" i="118" s="1"/>
  <c r="N22" i="3"/>
  <c r="B283" i="106" s="1"/>
  <c r="D283" i="106"/>
  <c r="F14" i="4"/>
  <c r="B2597" i="106"/>
  <c r="D2597" i="106" s="1"/>
  <c r="B7727" i="106"/>
  <c r="D7727" i="106" s="1"/>
  <c r="F49" i="34"/>
  <c r="F44" i="34"/>
  <c r="G38" i="108"/>
  <c r="D37" i="108"/>
  <c r="E30" i="108"/>
  <c r="F37" i="108"/>
  <c r="E28" i="108"/>
  <c r="F26" i="108"/>
  <c r="D26" i="108"/>
  <c r="D41" i="108" s="1"/>
  <c r="E43" i="108" s="1"/>
  <c r="D31" i="36"/>
  <c r="B7235" i="106"/>
  <c r="D7235" i="106" s="1"/>
  <c r="B4087" i="106"/>
  <c r="D4087" i="106" s="1"/>
  <c r="K41" i="3"/>
  <c r="B3568" i="106" s="1"/>
  <c r="D3568" i="106" s="1"/>
  <c r="L15" i="11"/>
  <c r="B3459" i="106"/>
  <c r="D3459" i="106" s="1"/>
  <c r="B3254" i="106"/>
  <c r="D3254" i="106" s="1"/>
  <c r="I24" i="12"/>
  <c r="B1996" i="106" s="1"/>
  <c r="D1996" i="106" s="1"/>
  <c r="B3649" i="106"/>
  <c r="D3649" i="106"/>
  <c r="G367" i="29"/>
  <c r="D5" i="4"/>
  <c r="B3406" i="106" s="1"/>
  <c r="D3406" i="106" s="1"/>
  <c r="I342" i="29"/>
  <c r="K350" i="29"/>
  <c r="F21" i="8"/>
  <c r="K24" i="12"/>
  <c r="B3621" i="106"/>
  <c r="D3621" i="106" s="1"/>
  <c r="C367" i="29"/>
  <c r="F41" i="34"/>
  <c r="F35" i="34"/>
  <c r="B7827" i="106" s="1"/>
  <c r="D7827" i="106" s="1"/>
  <c r="D3583" i="106"/>
  <c r="F66" i="34"/>
  <c r="F45" i="34"/>
  <c r="K285" i="29"/>
  <c r="B3724" i="106" s="1"/>
  <c r="B1410" i="106"/>
  <c r="D1410" i="106"/>
  <c r="B1329" i="106"/>
  <c r="D1329" i="106"/>
  <c r="F61" i="34"/>
  <c r="D12" i="7"/>
  <c r="B1769" i="106" s="1"/>
  <c r="D1769" i="106"/>
  <c r="B1746" i="106"/>
  <c r="D1746" i="106"/>
  <c r="D13" i="7"/>
  <c r="B3726" i="106" s="1"/>
  <c r="D3726" i="106" s="1"/>
  <c r="B5096" i="106"/>
  <c r="D5096" i="106" s="1"/>
  <c r="D4" i="7"/>
  <c r="B1760" i="106" s="1"/>
  <c r="D1760" i="106" s="1"/>
  <c r="G5" i="4"/>
  <c r="B3409" i="106" s="1"/>
  <c r="D3409" i="106"/>
  <c r="C109" i="5"/>
  <c r="B5121" i="106" s="1"/>
  <c r="D5121" i="106" s="1"/>
  <c r="I267" i="5"/>
  <c r="B5066" i="106"/>
  <c r="D5066" i="106" s="1"/>
  <c r="F112" i="34"/>
  <c r="B7847" i="106" s="1"/>
  <c r="D7847" i="106" s="1"/>
  <c r="F124" i="34"/>
  <c r="B7856" i="106" s="1"/>
  <c r="D7856" i="106" s="1"/>
  <c r="K170" i="5"/>
  <c r="K6" i="4" s="1"/>
  <c r="B3570" i="106"/>
  <c r="D3570" i="106" s="1"/>
  <c r="D15" i="7"/>
  <c r="B1772" i="106"/>
  <c r="D1772" i="106" s="1"/>
  <c r="K267" i="5"/>
  <c r="B6022" i="106" s="1"/>
  <c r="D6022" i="106"/>
  <c r="H170" i="5"/>
  <c r="B5906" i="106" s="1"/>
  <c r="D5906" i="106" s="1"/>
  <c r="D11" i="7"/>
  <c r="B1768" i="106"/>
  <c r="D1768" i="106" s="1"/>
  <c r="D7" i="7"/>
  <c r="B1763" i="106"/>
  <c r="D1763" i="106" s="1"/>
  <c r="F133" i="34"/>
  <c r="B7865" i="106" s="1"/>
  <c r="D7865" i="106" s="1"/>
  <c r="C41" i="3"/>
  <c r="B93" i="106" s="1"/>
  <c r="D93" i="106"/>
  <c r="H295" i="29"/>
  <c r="B1454" i="106"/>
  <c r="D1454" i="106" s="1"/>
  <c r="B4156" i="106"/>
  <c r="D4156" i="106" s="1"/>
  <c r="H172" i="29"/>
  <c r="H174" i="29" s="1"/>
  <c r="B1318" i="106" s="1"/>
  <c r="D1318" i="106" s="1"/>
  <c r="B2823" i="106"/>
  <c r="D2823" i="106" s="1"/>
  <c r="H352" i="29"/>
  <c r="B3656" i="106" s="1"/>
  <c r="D3656" i="106"/>
  <c r="D3724" i="106"/>
  <c r="K168" i="29"/>
  <c r="K172" i="29"/>
  <c r="E102" i="29"/>
  <c r="B2790" i="106"/>
  <c r="D2790" i="106" s="1"/>
  <c r="J342" i="29"/>
  <c r="B7223" i="106" s="1"/>
  <c r="D7223" i="106"/>
  <c r="G342" i="29"/>
  <c r="F75" i="34" s="1"/>
  <c r="B7886" i="106" s="1"/>
  <c r="D7886" i="106" s="1"/>
  <c r="B7220" i="106"/>
  <c r="D7220" i="106" s="1"/>
  <c r="K137" i="29"/>
  <c r="K84" i="29"/>
  <c r="B2088" i="106"/>
  <c r="D2088" i="106" s="1"/>
  <c r="B79" i="36"/>
  <c r="B77" i="36"/>
  <c r="D18" i="7"/>
  <c r="B4105" i="106" s="1"/>
  <c r="D4105" i="106" s="1"/>
  <c r="F108" i="34"/>
  <c r="B7844" i="106" s="1"/>
  <c r="D7844" i="106" s="1"/>
  <c r="J109" i="5"/>
  <c r="J4" i="4" s="1"/>
  <c r="J170" i="5"/>
  <c r="F96" i="34"/>
  <c r="B7838" i="106" s="1"/>
  <c r="D7838" i="106" s="1"/>
  <c r="F126" i="34"/>
  <c r="B7858" i="106"/>
  <c r="D7858" i="106" s="1"/>
  <c r="D14" i="7"/>
  <c r="B1770" i="106" s="1"/>
  <c r="D1770" i="106" s="1"/>
  <c r="N23" i="3"/>
  <c r="B284" i="106"/>
  <c r="D284" i="106" s="1"/>
  <c r="F5" i="4"/>
  <c r="B3408" i="106" s="1"/>
  <c r="D3408" i="106" s="1"/>
  <c r="B6840" i="106"/>
  <c r="D6840" i="106" s="1"/>
  <c r="B6839" i="106"/>
  <c r="D6839" i="106" s="1"/>
  <c r="B6838" i="106"/>
  <c r="D6838" i="106" s="1"/>
  <c r="D169" i="5"/>
  <c r="B5412" i="106" s="1"/>
  <c r="D5412" i="106" s="1"/>
  <c r="B5618" i="106"/>
  <c r="D5618" i="106"/>
  <c r="F16" i="11"/>
  <c r="B2031" i="106" s="1"/>
  <c r="D2031" i="106" s="1"/>
  <c r="F48" i="34"/>
  <c r="F40" i="34"/>
  <c r="B7200" i="106"/>
  <c r="D7200" i="106"/>
  <c r="D342" i="29"/>
  <c r="B7217" i="106"/>
  <c r="D7217" i="106" s="1"/>
  <c r="B7144" i="106"/>
  <c r="D7144" i="106" s="1"/>
  <c r="K330" i="29"/>
  <c r="B7207" i="106" s="1"/>
  <c r="D7207" i="106" s="1"/>
  <c r="B6901" i="106"/>
  <c r="D6901" i="106"/>
  <c r="F51" i="34"/>
  <c r="B6885" i="106"/>
  <c r="D6885" i="106" s="1"/>
  <c r="F43" i="34"/>
  <c r="B7211" i="106"/>
  <c r="D7211" i="106"/>
  <c r="K340" i="29"/>
  <c r="K342" i="29"/>
  <c r="F13" i="34" s="1"/>
  <c r="B6893" i="106"/>
  <c r="D6893" i="106" s="1"/>
  <c r="F47" i="34"/>
  <c r="B6877" i="106"/>
  <c r="D6877" i="106"/>
  <c r="F39" i="34"/>
  <c r="B6216" i="106"/>
  <c r="D6216" i="106" s="1"/>
  <c r="B3703" i="106"/>
  <c r="D3703" i="106" s="1"/>
  <c r="K362" i="29"/>
  <c r="B3676" i="106" s="1"/>
  <c r="D3676" i="106" s="1"/>
  <c r="B3650" i="106"/>
  <c r="D3650" i="106"/>
  <c r="D352" i="29"/>
  <c r="D367" i="29"/>
  <c r="I76" i="4"/>
  <c r="L41" i="3"/>
  <c r="I41" i="3"/>
  <c r="K16" i="11"/>
  <c r="B2055" i="106" s="1"/>
  <c r="D2055" i="106" s="1"/>
  <c r="H312" i="29"/>
  <c r="B1554" i="106"/>
  <c r="D1554" i="106" s="1"/>
  <c r="E312" i="29"/>
  <c r="B1536" i="106" s="1"/>
  <c r="D1536" i="106" s="1"/>
  <c r="D312" i="29"/>
  <c r="B1530" i="106"/>
  <c r="D1530" i="106" s="1"/>
  <c r="B1512" i="106"/>
  <c r="D1512" i="106" s="1"/>
  <c r="K293" i="29"/>
  <c r="B1515" i="106" s="1"/>
  <c r="D1515" i="106" s="1"/>
  <c r="K229" i="29"/>
  <c r="B1352" i="106"/>
  <c r="D1352" i="106" s="1"/>
  <c r="E210" i="29"/>
  <c r="B1353" i="106" s="1"/>
  <c r="D1353" i="106" s="1"/>
  <c r="B1264" i="106"/>
  <c r="D1264" i="106"/>
  <c r="H129" i="29"/>
  <c r="B1239" i="106"/>
  <c r="D1239" i="106" s="1"/>
  <c r="E129" i="29"/>
  <c r="B1146" i="106"/>
  <c r="D1146" i="106"/>
  <c r="K110" i="29"/>
  <c r="B122" i="106"/>
  <c r="D122" i="106" s="1"/>
  <c r="D41" i="3"/>
  <c r="B1134" i="106"/>
  <c r="D1134" i="106"/>
  <c r="B7759" i="106"/>
  <c r="D7759" i="106"/>
  <c r="B1339" i="106"/>
  <c r="D1339" i="106"/>
  <c r="C210" i="29"/>
  <c r="B1340" i="106"/>
  <c r="D1340" i="106" s="1"/>
  <c r="B169" i="106"/>
  <c r="D169" i="106"/>
  <c r="F41" i="3"/>
  <c r="B1131" i="106"/>
  <c r="D1131" i="106" s="1"/>
  <c r="L3" i="11"/>
  <c r="B7596" i="106" s="1"/>
  <c r="L9" i="11"/>
  <c r="B7614" i="106" s="1"/>
  <c r="L10" i="11"/>
  <c r="B2058" i="106" s="1"/>
  <c r="D2058" i="106" s="1"/>
  <c r="D10" i="7"/>
  <c r="B1765" i="106"/>
  <c r="D1765" i="106" s="1"/>
  <c r="D16" i="7"/>
  <c r="B3447" i="106" s="1"/>
  <c r="D3447" i="106" s="1"/>
  <c r="B19" i="7"/>
  <c r="B1759" i="106"/>
  <c r="D1759" i="106" s="1"/>
  <c r="D8" i="7"/>
  <c r="B1764" i="106" s="1"/>
  <c r="D1764" i="106" s="1"/>
  <c r="B4435" i="106"/>
  <c r="D4435" i="106"/>
  <c r="I7" i="4"/>
  <c r="B4444" i="106"/>
  <c r="D4444" i="106" s="1"/>
  <c r="F266" i="5"/>
  <c r="B5713" i="106" s="1"/>
  <c r="D5713" i="106" s="1"/>
  <c r="B4397" i="106"/>
  <c r="D4397" i="106"/>
  <c r="B4950" i="106"/>
  <c r="D4950" i="106"/>
  <c r="L102" i="29"/>
  <c r="B1121" i="106"/>
  <c r="D1121" i="106"/>
  <c r="K53" i="29"/>
  <c r="B731" i="106"/>
  <c r="D731" i="106" s="1"/>
  <c r="C74" i="29"/>
  <c r="B755" i="106" s="1"/>
  <c r="D755" i="106" s="1"/>
  <c r="B1116" i="106"/>
  <c r="D1116" i="106"/>
  <c r="K47" i="29"/>
  <c r="F158" i="34"/>
  <c r="B7866" i="106" s="1"/>
  <c r="D7866" i="106" s="1"/>
  <c r="B7600" i="106"/>
  <c r="L6" i="11"/>
  <c r="B7605" i="106" s="1"/>
  <c r="A7250" i="106"/>
  <c r="A7251" i="106" s="1"/>
  <c r="D7249" i="106"/>
  <c r="D44" i="36"/>
  <c r="E266" i="5"/>
  <c r="B6835" i="106"/>
  <c r="D6835" i="106"/>
  <c r="B4398" i="106"/>
  <c r="D4398" i="106" s="1"/>
  <c r="B5537" i="106"/>
  <c r="D5537" i="106" s="1"/>
  <c r="E170" i="5"/>
  <c r="B5544" i="106" s="1"/>
  <c r="D5544" i="106" s="1"/>
  <c r="L279" i="29"/>
  <c r="L295" i="29" s="1"/>
  <c r="L74" i="29"/>
  <c r="L114" i="29" s="1"/>
  <c r="K33" i="29"/>
  <c r="C12" i="4" s="1"/>
  <c r="B720" i="106"/>
  <c r="D720" i="106"/>
  <c r="B7618" i="106"/>
  <c r="L14" i="11"/>
  <c r="B7623" i="106" s="1"/>
  <c r="B7230" i="106"/>
  <c r="D7230" i="106" s="1"/>
  <c r="I352" i="29"/>
  <c r="I367" i="29" s="1"/>
  <c r="B7215" i="106"/>
  <c r="D7215" i="106" s="1"/>
  <c r="J16" i="4"/>
  <c r="B6226" i="106" s="1"/>
  <c r="D6226" i="106" s="1"/>
  <c r="B7202" i="106"/>
  <c r="D7202" i="106"/>
  <c r="F342" i="29"/>
  <c r="B7219" i="106"/>
  <c r="D7219" i="106" s="1"/>
  <c r="B7214" i="106"/>
  <c r="D7214" i="106" s="1"/>
  <c r="B7201" i="106"/>
  <c r="D7201" i="106" s="1"/>
  <c r="E342" i="29"/>
  <c r="B7218" i="106" s="1"/>
  <c r="D7218" i="106" s="1"/>
  <c r="B6917" i="106"/>
  <c r="D6917" i="106"/>
  <c r="J74" i="29"/>
  <c r="D266" i="5"/>
  <c r="B5501" i="106" s="1"/>
  <c r="D5501" i="106" s="1"/>
  <c r="D7248" i="106"/>
  <c r="D7247" i="106"/>
  <c r="D7246" i="106"/>
  <c r="J312" i="29"/>
  <c r="B7117" i="106" s="1"/>
  <c r="D7117" i="106" s="1"/>
  <c r="I312" i="29"/>
  <c r="B7116" i="106"/>
  <c r="D7116" i="106" s="1"/>
  <c r="J151" i="29"/>
  <c r="B7052" i="106" s="1"/>
  <c r="D7052" i="106" s="1"/>
  <c r="I151" i="29"/>
  <c r="F59" i="34"/>
  <c r="B6916" i="106"/>
  <c r="D6916" i="106"/>
  <c r="I74" i="29"/>
  <c r="I49" i="8"/>
  <c r="B3633" i="106"/>
  <c r="D3633" i="106"/>
  <c r="E352" i="29"/>
  <c r="B3629" i="106"/>
  <c r="D3629" i="106" s="1"/>
  <c r="E44" i="4"/>
  <c r="B3274" i="106" s="1"/>
  <c r="D3274" i="106" s="1"/>
  <c r="B3235" i="106"/>
  <c r="D3235" i="106"/>
  <c r="D77" i="4"/>
  <c r="B3238" i="106"/>
  <c r="D3238" i="106" s="1"/>
  <c r="B3229" i="106"/>
  <c r="D3229" i="106" s="1"/>
  <c r="C77" i="4"/>
  <c r="B3232" i="106" s="1"/>
  <c r="D3232" i="106" s="1"/>
  <c r="B1977" i="106"/>
  <c r="D1977" i="106"/>
  <c r="H24" i="12"/>
  <c r="B1867" i="106"/>
  <c r="D1867" i="106" s="1"/>
  <c r="F15" i="8"/>
  <c r="B1875" i="106" s="1"/>
  <c r="D1875" i="106" s="1"/>
  <c r="K310" i="29"/>
  <c r="B4099" i="106"/>
  <c r="D4099" i="106" s="1"/>
  <c r="B1555" i="106"/>
  <c r="D1555" i="106" s="1"/>
  <c r="K303" i="29"/>
  <c r="K312" i="29" s="1"/>
  <c r="B1560" i="106" s="1"/>
  <c r="D1560" i="106" s="1"/>
  <c r="G312" i="29"/>
  <c r="B1548" i="106"/>
  <c r="D1548" i="106" s="1"/>
  <c r="F312" i="29"/>
  <c r="B1542" i="106" s="1"/>
  <c r="D1542" i="106" s="1"/>
  <c r="B1523" i="106"/>
  <c r="D1523" i="106"/>
  <c r="C312" i="29"/>
  <c r="B1524" i="106"/>
  <c r="D1524" i="106" s="1"/>
  <c r="K277" i="29"/>
  <c r="B1508" i="106" s="1"/>
  <c r="D1508" i="106" s="1"/>
  <c r="K261" i="29"/>
  <c r="B1491" i="106"/>
  <c r="D1491" i="106" s="1"/>
  <c r="K243" i="29"/>
  <c r="B1485" i="106" s="1"/>
  <c r="D1485" i="106" s="1"/>
  <c r="B1475" i="106"/>
  <c r="D1475" i="106"/>
  <c r="K238" i="29"/>
  <c r="K204" i="29"/>
  <c r="B4157" i="106" s="1"/>
  <c r="D4157" i="106" s="1"/>
  <c r="B2842" i="106"/>
  <c r="D2842" i="106"/>
  <c r="B1127" i="106"/>
  <c r="D1127" i="106"/>
  <c r="K65" i="29"/>
  <c r="B1133" i="106"/>
  <c r="D1133" i="106" s="1"/>
  <c r="B1123" i="106"/>
  <c r="D1123" i="106" s="1"/>
  <c r="K57" i="29"/>
  <c r="B1125" i="106" s="1"/>
  <c r="D1125" i="106" s="1"/>
  <c r="B3640" i="106"/>
  <c r="D3640" i="106" s="1"/>
  <c r="F352" i="29"/>
  <c r="F367" i="29" s="1"/>
  <c r="B3643" i="106" s="1"/>
  <c r="D3643" i="106" s="1"/>
  <c r="B3622" i="106"/>
  <c r="D3622" i="106" s="1"/>
  <c r="K77" i="4"/>
  <c r="B3587" i="106" s="1"/>
  <c r="D3587" i="106" s="1"/>
  <c r="B3296" i="106"/>
  <c r="D3296" i="106"/>
  <c r="H77" i="4"/>
  <c r="B3299" i="106"/>
  <c r="D3299" i="106" s="1"/>
  <c r="G77" i="4"/>
  <c r="B3261" i="106" s="1"/>
  <c r="D3261" i="106" s="1"/>
  <c r="L12" i="11"/>
  <c r="B2059" i="106"/>
  <c r="D2059" i="106" s="1"/>
  <c r="L8" i="11"/>
  <c r="B2057" i="106" s="1"/>
  <c r="D2057" i="106" s="1"/>
  <c r="G24" i="12"/>
  <c r="B1492" i="106"/>
  <c r="D1492" i="106" s="1"/>
  <c r="K270" i="29"/>
  <c r="B1500" i="106" s="1"/>
  <c r="D1500" i="106" s="1"/>
  <c r="K257" i="29"/>
  <c r="B1488" i="106"/>
  <c r="D1488" i="106" s="1"/>
  <c r="B1417" i="106"/>
  <c r="D1417" i="106" s="1"/>
  <c r="D279" i="29"/>
  <c r="D295" i="29" s="1"/>
  <c r="B1448" i="106" s="1"/>
  <c r="D1448" i="106" s="1"/>
  <c r="H196" i="29"/>
  <c r="B2830" i="106" s="1"/>
  <c r="D2830" i="106" s="1"/>
  <c r="B2828" i="106"/>
  <c r="D2828" i="106"/>
  <c r="B1328" i="106"/>
  <c r="D1328" i="106"/>
  <c r="B2986" i="106"/>
  <c r="D2986" i="106"/>
  <c r="B1256" i="106"/>
  <c r="D1256" i="106"/>
  <c r="G129" i="29"/>
  <c r="K100" i="29"/>
  <c r="B7013" i="106" s="1"/>
  <c r="D7013" i="106" s="1"/>
  <c r="B1135" i="106"/>
  <c r="D1135" i="106"/>
  <c r="K72" i="29"/>
  <c r="B1141" i="106"/>
  <c r="D1141" i="106" s="1"/>
  <c r="B1021" i="106"/>
  <c r="D1021" i="106" s="1"/>
  <c r="H74" i="29"/>
  <c r="B1045" i="106" s="1"/>
  <c r="D1045" i="106" s="1"/>
  <c r="B847" i="106"/>
  <c r="D847" i="106"/>
  <c r="E74" i="29"/>
  <c r="E39" i="108"/>
  <c r="B1144" i="106"/>
  <c r="D1144" i="106"/>
  <c r="K194" i="29"/>
  <c r="B1358" i="106"/>
  <c r="D1358" i="106" s="1"/>
  <c r="F210" i="29"/>
  <c r="B1359" i="106" s="1"/>
  <c r="D1359" i="106" s="1"/>
  <c r="B1345" i="106"/>
  <c r="D1345" i="106"/>
  <c r="D210" i="29"/>
  <c r="B1346" i="106"/>
  <c r="D1346" i="106" s="1"/>
  <c r="B1283" i="106"/>
  <c r="D1283" i="106" s="1"/>
  <c r="K147" i="29"/>
  <c r="B7048" i="106" s="1"/>
  <c r="D7048" i="106" s="1"/>
  <c r="B1275" i="106"/>
  <c r="D1275" i="106"/>
  <c r="K127" i="29"/>
  <c r="B1279" i="106"/>
  <c r="D1279" i="106" s="1"/>
  <c r="B1266" i="106"/>
  <c r="D1266" i="106" s="1"/>
  <c r="H151" i="29"/>
  <c r="B1273" i="106" s="1"/>
  <c r="D1273" i="106" s="1"/>
  <c r="B1247" i="106"/>
  <c r="D1247" i="106"/>
  <c r="F129" i="29"/>
  <c r="B1231" i="106"/>
  <c r="D1231" i="106" s="1"/>
  <c r="D129" i="29"/>
  <c r="B1233" i="106" s="1"/>
  <c r="D1233" i="106" s="1"/>
  <c r="B1109" i="106"/>
  <c r="D1109" i="106"/>
  <c r="K42" i="29"/>
  <c r="H102" i="29"/>
  <c r="B1047" i="106" s="1"/>
  <c r="D1047" i="106" s="1"/>
  <c r="G74" i="29"/>
  <c r="B905" i="106"/>
  <c r="D905" i="106" s="1"/>
  <c r="F74" i="29"/>
  <c r="B929" i="106" s="1"/>
  <c r="D929" i="106" s="1"/>
  <c r="D74" i="29"/>
  <c r="B211" i="106"/>
  <c r="D211" i="106" s="1"/>
  <c r="H41" i="3"/>
  <c r="B188" i="106"/>
  <c r="D188" i="106"/>
  <c r="G41" i="3"/>
  <c r="B139" i="106"/>
  <c r="D139" i="106" s="1"/>
  <c r="E41" i="3"/>
  <c r="L151" i="29"/>
  <c r="C266" i="5"/>
  <c r="J24" i="12"/>
  <c r="B7730" i="106"/>
  <c r="D7730" i="106" s="1"/>
  <c r="E367" i="29"/>
  <c r="B3636" i="106" s="1"/>
  <c r="D3636" i="106" s="1"/>
  <c r="B3635" i="106"/>
  <c r="F41" i="108"/>
  <c r="G43" i="108" s="1"/>
  <c r="L16" i="11"/>
  <c r="B2061" i="106" s="1"/>
  <c r="D2061" i="106" s="1"/>
  <c r="D7250" i="106"/>
  <c r="C114" i="29"/>
  <c r="B757" i="106" s="1"/>
  <c r="D757" i="106" s="1"/>
  <c r="I26" i="12"/>
  <c r="B7741" i="106" s="1"/>
  <c r="D7741" i="106" s="1"/>
  <c r="B7733" i="106"/>
  <c r="D7733" i="106" s="1"/>
  <c r="K26" i="12"/>
  <c r="B7743" i="106" s="1"/>
  <c r="D7743" i="106" s="1"/>
  <c r="B1879" i="106"/>
  <c r="D1879" i="106"/>
  <c r="H22" i="37"/>
  <c r="B3628" i="106"/>
  <c r="D3628" i="106" s="1"/>
  <c r="F73" i="34"/>
  <c r="G15" i="4"/>
  <c r="B6032" i="106"/>
  <c r="D6032" i="106" s="1"/>
  <c r="B3670" i="106"/>
  <c r="D3670" i="106" s="1"/>
  <c r="K352" i="29"/>
  <c r="K7" i="4"/>
  <c r="B3718" i="106" s="1"/>
  <c r="D3718" i="106" s="1"/>
  <c r="B6014" i="106"/>
  <c r="D6014" i="106"/>
  <c r="B7760" i="106"/>
  <c r="D7760" i="106"/>
  <c r="D24" i="36"/>
  <c r="K102" i="29"/>
  <c r="F53" i="34" s="1"/>
  <c r="B171" i="106"/>
  <c r="D171" i="106" s="1"/>
  <c r="D47" i="36"/>
  <c r="B2913" i="106"/>
  <c r="D2913" i="106" s="1"/>
  <c r="D50" i="36"/>
  <c r="B3318" i="106"/>
  <c r="D3318" i="106"/>
  <c r="I77" i="4"/>
  <c r="B3319" i="106"/>
  <c r="D3319" i="106" s="1"/>
  <c r="D3674" i="106"/>
  <c r="B3573" i="106"/>
  <c r="D3573" i="106"/>
  <c r="D170" i="5"/>
  <c r="B124" i="106"/>
  <c r="D124" i="106" s="1"/>
  <c r="D45" i="36"/>
  <c r="B1151" i="106"/>
  <c r="D1151" i="106"/>
  <c r="K112" i="29"/>
  <c r="B1241" i="106"/>
  <c r="D1241" i="106" s="1"/>
  <c r="E151" i="29"/>
  <c r="B1242" i="106" s="1"/>
  <c r="D1242" i="106" s="1"/>
  <c r="B1474" i="106"/>
  <c r="D1474" i="106"/>
  <c r="G12" i="4"/>
  <c r="B2607" i="106"/>
  <c r="D2607" i="106" s="1"/>
  <c r="B2917" i="106"/>
  <c r="D2917" i="106" s="1"/>
  <c r="D53" i="36"/>
  <c r="B6397" i="106"/>
  <c r="D6397" i="106" s="1"/>
  <c r="J6" i="4"/>
  <c r="B6221" i="106" s="1"/>
  <c r="D6221" i="106" s="1"/>
  <c r="B6352" i="106"/>
  <c r="D6352" i="106" s="1"/>
  <c r="B5320" i="106"/>
  <c r="D5320" i="106" s="1"/>
  <c r="C267" i="5"/>
  <c r="B5326" i="106" s="1"/>
  <c r="D5326" i="106" s="1"/>
  <c r="B987" i="106"/>
  <c r="D987" i="106" s="1"/>
  <c r="G114" i="29"/>
  <c r="B989" i="106" s="1"/>
  <c r="D989" i="106" s="1"/>
  <c r="B1115" i="106"/>
  <c r="D1115" i="106"/>
  <c r="G21" i="108"/>
  <c r="K74" i="29"/>
  <c r="E21" i="108"/>
  <c r="D151" i="29"/>
  <c r="B1234" i="106" s="1"/>
  <c r="D1234" i="106" s="1"/>
  <c r="F151" i="29"/>
  <c r="B1250" i="106"/>
  <c r="D1250" i="106" s="1"/>
  <c r="B1249" i="106"/>
  <c r="D1249" i="106" s="1"/>
  <c r="K149" i="29"/>
  <c r="B1287" i="106" s="1"/>
  <c r="D1287" i="106" s="1"/>
  <c r="K196" i="29"/>
  <c r="B2837" i="106"/>
  <c r="D2837" i="106" s="1"/>
  <c r="B1145" i="106"/>
  <c r="D1145" i="106" s="1"/>
  <c r="G151" i="29"/>
  <c r="F58" i="34" s="1"/>
  <c r="B1258" i="106"/>
  <c r="D1258" i="106" s="1"/>
  <c r="B1331" i="106"/>
  <c r="D1331" i="106" s="1"/>
  <c r="E16" i="4"/>
  <c r="E24" i="108"/>
  <c r="K129" i="29"/>
  <c r="K208" i="29"/>
  <c r="K210" i="29" s="1"/>
  <c r="B1559" i="106"/>
  <c r="D1559" i="106" s="1"/>
  <c r="H13" i="4"/>
  <c r="B2659" i="106" s="1"/>
  <c r="D2659" i="106" s="1"/>
  <c r="B1983" i="106"/>
  <c r="D1983" i="106" s="1"/>
  <c r="H26" i="12"/>
  <c r="B7740" i="106" s="1"/>
  <c r="D7740" i="106" s="1"/>
  <c r="B6977" i="106"/>
  <c r="D6977" i="106" s="1"/>
  <c r="I114" i="29"/>
  <c r="B7020" i="106" s="1"/>
  <c r="D7020" i="106" s="1"/>
  <c r="B7051" i="106"/>
  <c r="D7051" i="106"/>
  <c r="B7747" i="106"/>
  <c r="D7747" i="106" s="1"/>
  <c r="E267" i="5"/>
  <c r="B1122" i="106"/>
  <c r="D1122" i="106" s="1"/>
  <c r="G23" i="108"/>
  <c r="B7732" i="106"/>
  <c r="D7732" i="106"/>
  <c r="J26" i="12"/>
  <c r="B7742" i="106"/>
  <c r="D7742" i="106" s="1"/>
  <c r="B141" i="106"/>
  <c r="D141" i="106" s="1"/>
  <c r="D46" i="36"/>
  <c r="B190" i="106"/>
  <c r="D190" i="106"/>
  <c r="D48" i="36"/>
  <c r="B213" i="106"/>
  <c r="D213" i="106" s="1"/>
  <c r="D49" i="36"/>
  <c r="B813" i="106"/>
  <c r="D813" i="106"/>
  <c r="D114" i="29"/>
  <c r="B815" i="106"/>
  <c r="D815" i="106" s="1"/>
  <c r="E114" i="29"/>
  <c r="B873" i="106" s="1"/>
  <c r="D873" i="106" s="1"/>
  <c r="B871" i="106"/>
  <c r="D871" i="106"/>
  <c r="K139" i="29"/>
  <c r="F57" i="34" s="1"/>
  <c r="B2093" i="106"/>
  <c r="D2093" i="106" s="1"/>
  <c r="H210" i="29"/>
  <c r="B1376" i="106" s="1"/>
  <c r="D1376" i="106" s="1"/>
  <c r="B1958" i="106"/>
  <c r="D1958" i="106"/>
  <c r="G26" i="12"/>
  <c r="B7739" i="106"/>
  <c r="D7739" i="106" s="1"/>
  <c r="B3642" i="106"/>
  <c r="D3642" i="106" s="1"/>
  <c r="B1481" i="106"/>
  <c r="D1481" i="106" s="1"/>
  <c r="B2102" i="106"/>
  <c r="D2102" i="106" s="1"/>
  <c r="H15" i="4"/>
  <c r="B2660" i="106" s="1"/>
  <c r="D2660" i="106" s="1"/>
  <c r="D3635" i="106"/>
  <c r="B4171" i="106"/>
  <c r="D4171" i="106" s="1"/>
  <c r="N36" i="3"/>
  <c r="B285" i="106" s="1"/>
  <c r="D285" i="106" s="1"/>
  <c r="J114" i="29"/>
  <c r="B7021" i="106"/>
  <c r="D7021" i="106" s="1"/>
  <c r="B6978" i="106"/>
  <c r="D6978" i="106" s="1"/>
  <c r="B7224" i="106"/>
  <c r="D7224" i="106" s="1"/>
  <c r="B7234" i="106"/>
  <c r="D7234" i="106" s="1"/>
  <c r="B1108" i="106"/>
  <c r="D1108" i="106" s="1"/>
  <c r="E19" i="108"/>
  <c r="G19" i="108"/>
  <c r="G22" i="108"/>
  <c r="B1119" i="106"/>
  <c r="D1119" i="106"/>
  <c r="E22" i="108"/>
  <c r="K13" i="4"/>
  <c r="B3572" i="106" s="1"/>
  <c r="D3572" i="106" s="1"/>
  <c r="K114" i="29"/>
  <c r="B1152" i="106" s="1"/>
  <c r="D1152" i="106" s="1"/>
  <c r="B7019" i="106"/>
  <c r="D7019" i="106"/>
  <c r="C16" i="4"/>
  <c r="B2560" i="106"/>
  <c r="D2560" i="106" s="1"/>
  <c r="B5421" i="106"/>
  <c r="D5421" i="106" s="1"/>
  <c r="D6" i="4"/>
  <c r="B2566" i="106" s="1"/>
  <c r="D2566" i="106" s="1"/>
  <c r="B4434" i="106"/>
  <c r="D4434" i="106" s="1"/>
  <c r="E7" i="4"/>
  <c r="B4443" i="106" s="1"/>
  <c r="D4443" i="106" s="1"/>
  <c r="K151" i="29"/>
  <c r="B1281" i="106"/>
  <c r="D1281" i="106"/>
  <c r="D13" i="4"/>
  <c r="B2634" i="106"/>
  <c r="D2634" i="106" s="1"/>
  <c r="H37" i="37"/>
  <c r="B1387" i="106"/>
  <c r="D1387" i="106" s="1"/>
  <c r="F16" i="4"/>
  <c r="B2599" i="106" s="1"/>
  <c r="D2599" i="106" s="1"/>
  <c r="B1382" i="106"/>
  <c r="D1382" i="106"/>
  <c r="F63" i="34"/>
  <c r="F15" i="4"/>
  <c r="B2598" i="106" s="1"/>
  <c r="D2598" i="106" s="1"/>
  <c r="B1143" i="106"/>
  <c r="D1143" i="106" s="1"/>
  <c r="C13" i="4"/>
  <c r="B2557" i="106" s="1"/>
  <c r="D2557" i="106" s="1"/>
  <c r="F9" i="34"/>
  <c r="B4997" i="106"/>
  <c r="D4997" i="106" s="1"/>
  <c r="H32" i="118"/>
  <c r="K32" i="118" s="1"/>
  <c r="O31" i="118" s="1"/>
  <c r="O33" i="118" s="1"/>
  <c r="B2569" i="106"/>
  <c r="D2569" i="106"/>
  <c r="B1288" i="106"/>
  <c r="D1288"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A2" i="171" l="1"/>
  <c r="B2" i="176"/>
  <c r="A2" i="173"/>
  <c r="A2" i="170"/>
  <c r="B2" i="186"/>
  <c r="B2" i="191"/>
  <c r="B2" i="190"/>
  <c r="B7244" i="106"/>
  <c r="D7244" i="106" s="1"/>
  <c r="F17" i="11"/>
  <c r="B2556" i="106"/>
  <c r="D2556" i="106" s="1"/>
  <c r="B6220" i="106"/>
  <c r="D6220" i="106" s="1"/>
  <c r="B1388" i="106"/>
  <c r="D1388" i="106" s="1"/>
  <c r="F11" i="34"/>
  <c r="A7252" i="106"/>
  <c r="D7251" i="106"/>
  <c r="E45" i="108"/>
  <c r="G267" i="5"/>
  <c r="B5863" i="106"/>
  <c r="D5863" i="106" s="1"/>
  <c r="B7842" i="106"/>
  <c r="D7842" i="106" s="1"/>
  <c r="F17" i="4"/>
  <c r="F8" i="34"/>
  <c r="D16" i="4"/>
  <c r="B2572" i="106" s="1"/>
  <c r="D2572" i="106" s="1"/>
  <c r="H17" i="4"/>
  <c r="F55" i="34"/>
  <c r="D15" i="4"/>
  <c r="B1282" i="106"/>
  <c r="D1282" i="106" s="1"/>
  <c r="N37" i="3"/>
  <c r="C7" i="4"/>
  <c r="F54" i="34"/>
  <c r="B1259" i="106"/>
  <c r="D1259" i="106" s="1"/>
  <c r="C15" i="4"/>
  <c r="B2559" i="106" s="1"/>
  <c r="D2559" i="106" s="1"/>
  <c r="B3672" i="106"/>
  <c r="D3672" i="106" s="1"/>
  <c r="E6" i="4"/>
  <c r="B2631" i="106" s="1"/>
  <c r="D2631" i="106" s="1"/>
  <c r="K279" i="29"/>
  <c r="H114" i="29"/>
  <c r="B1054" i="106" s="1"/>
  <c r="D1054" i="106" s="1"/>
  <c r="E23" i="108"/>
  <c r="E41" i="108" s="1"/>
  <c r="E44" i="108" s="1"/>
  <c r="E77" i="4"/>
  <c r="B3277" i="106" s="1"/>
  <c r="D3277" i="106" s="1"/>
  <c r="F22" i="37"/>
  <c r="F24" i="37" s="1"/>
  <c r="G24" i="108"/>
  <c r="G41" i="108" s="1"/>
  <c r="G44" i="108" s="1"/>
  <c r="G45" i="108" s="1"/>
  <c r="B1446" i="106"/>
  <c r="D1446" i="106" s="1"/>
  <c r="F114" i="29"/>
  <c r="B931" i="106" s="1"/>
  <c r="D931" i="106" s="1"/>
  <c r="J13" i="4"/>
  <c r="G16" i="4"/>
  <c r="B2611" i="106" s="1"/>
  <c r="D2611" i="106" s="1"/>
  <c r="H6" i="4"/>
  <c r="B2656" i="106" s="1"/>
  <c r="D2656" i="106" s="1"/>
  <c r="D267" i="5"/>
  <c r="F267" i="5"/>
  <c r="C4" i="4"/>
  <c r="D52" i="36"/>
  <c r="B1317" i="106"/>
  <c r="D1317" i="106" s="1"/>
  <c r="F65" i="34"/>
  <c r="K365" i="29"/>
  <c r="B1381" i="106"/>
  <c r="D1381" i="106" s="1"/>
  <c r="I109" i="5"/>
  <c r="H267" i="5"/>
  <c r="K109" i="5"/>
  <c r="C5" i="4"/>
  <c r="B3405" i="106" s="1"/>
  <c r="D3405" i="106" s="1"/>
  <c r="F109" i="5"/>
  <c r="H109" i="5"/>
  <c r="J267" i="5"/>
  <c r="B4363" i="106"/>
  <c r="D4363" i="106" s="1"/>
  <c r="I170" i="5"/>
  <c r="G169" i="5"/>
  <c r="B5161" i="106"/>
  <c r="D5161" i="106" s="1"/>
  <c r="F107" i="34"/>
  <c r="B7843" i="106" s="1"/>
  <c r="D7843" i="106" s="1"/>
  <c r="B5147" i="106"/>
  <c r="D5147" i="106" s="1"/>
  <c r="C169" i="5"/>
  <c r="E67" i="184"/>
  <c r="N67" i="184" s="1"/>
  <c r="B7705" i="106"/>
  <c r="D7705" i="106" s="1"/>
  <c r="F76" i="34"/>
  <c r="B7887" i="106" s="1"/>
  <c r="D7887" i="106" s="1"/>
  <c r="B7222" i="106"/>
  <c r="D7222" i="106" s="1"/>
  <c r="B4413" i="106"/>
  <c r="D4413" i="106" s="1"/>
  <c r="F128" i="34"/>
  <c r="B7860" i="106" s="1"/>
  <c r="D7860" i="106" s="1"/>
  <c r="B5444" i="106"/>
  <c r="D5444" i="106" s="1"/>
  <c r="F127" i="34"/>
  <c r="B7859" i="106" s="1"/>
  <c r="D7859" i="106" s="1"/>
  <c r="F125" i="34"/>
  <c r="B7857" i="106" s="1"/>
  <c r="D7857" i="106" s="1"/>
  <c r="B4396" i="106"/>
  <c r="D4396" i="106" s="1"/>
  <c r="B5614" i="106"/>
  <c r="D5614" i="106" s="1"/>
  <c r="F169" i="5"/>
  <c r="B5730" i="106"/>
  <c r="D5730" i="106" s="1"/>
  <c r="G109" i="5"/>
  <c r="B5518" i="106"/>
  <c r="D5518" i="106" s="1"/>
  <c r="E109" i="5"/>
  <c r="B5334" i="106"/>
  <c r="D5334" i="106" s="1"/>
  <c r="D109" i="5"/>
  <c r="B1745" i="106"/>
  <c r="D1745" i="106" s="1"/>
  <c r="D5" i="7"/>
  <c r="B1761" i="106" s="1"/>
  <c r="D1761" i="106" s="1"/>
  <c r="B2026" i="106"/>
  <c r="D2026" i="106" s="1"/>
  <c r="L5" i="11"/>
  <c r="B2056" i="106" s="1"/>
  <c r="D2056" i="106" s="1"/>
  <c r="E19" i="184"/>
  <c r="H12" i="184"/>
  <c r="F50" i="34"/>
  <c r="H342" i="29"/>
  <c r="B7221" i="106" s="1"/>
  <c r="D7221" i="106" s="1"/>
  <c r="B7198" i="106"/>
  <c r="D7198" i="106" s="1"/>
  <c r="B7180" i="106"/>
  <c r="D7180" i="106" s="1"/>
  <c r="B7162" i="106"/>
  <c r="D7162" i="106" s="1"/>
  <c r="B7126" i="106"/>
  <c r="D7126" i="106" s="1"/>
  <c r="E68" i="184"/>
  <c r="N57" i="184"/>
  <c r="N68" i="184" s="1"/>
  <c r="H365" i="29"/>
  <c r="C129" i="29"/>
  <c r="G40" i="108"/>
  <c r="B7821" i="106" s="1"/>
  <c r="D7821" i="106" s="1"/>
  <c r="F74" i="34"/>
  <c r="B7790" i="106"/>
  <c r="D7790" i="106" s="1"/>
  <c r="B7780" i="106"/>
  <c r="D7780" i="106" s="1"/>
  <c r="K160" i="29"/>
  <c r="G19" i="184"/>
  <c r="H15" i="184"/>
  <c r="H19" i="184" s="1"/>
  <c r="L20" i="184" s="1"/>
  <c r="H17" i="184"/>
  <c r="G19" i="186"/>
  <c r="L29" i="185"/>
  <c r="G23" i="186" l="1"/>
  <c r="L23" i="186" s="1"/>
  <c r="L19" i="186"/>
  <c r="F60" i="34"/>
  <c r="E15" i="4"/>
  <c r="B1323" i="106"/>
  <c r="D1323" i="106" s="1"/>
  <c r="K174" i="29"/>
  <c r="B1225" i="106"/>
  <c r="D1225" i="106" s="1"/>
  <c r="C151" i="29"/>
  <c r="B1226" i="106" s="1"/>
  <c r="D1226" i="106" s="1"/>
  <c r="D268" i="5"/>
  <c r="B5356" i="106"/>
  <c r="D5356" i="106" s="1"/>
  <c r="D4" i="4"/>
  <c r="E4" i="4"/>
  <c r="B5527" i="106"/>
  <c r="D5527" i="106" s="1"/>
  <c r="E268" i="5"/>
  <c r="B6024" i="106"/>
  <c r="D6024" i="106" s="1"/>
  <c r="G4" i="4"/>
  <c r="B5644" i="106"/>
  <c r="D5644" i="106" s="1"/>
  <c r="F170" i="5"/>
  <c r="B5214" i="106"/>
  <c r="D5214" i="106" s="1"/>
  <c r="C170" i="5"/>
  <c r="B5770" i="106"/>
  <c r="D5770" i="106" s="1"/>
  <c r="G170" i="5"/>
  <c r="H268" i="5"/>
  <c r="B6025" i="106"/>
  <c r="D6025" i="106" s="1"/>
  <c r="H4" i="4"/>
  <c r="H7" i="4"/>
  <c r="B2657" i="106" s="1"/>
  <c r="D2657" i="106" s="1"/>
  <c r="B5914" i="106"/>
  <c r="D5914" i="106" s="1"/>
  <c r="F7" i="4"/>
  <c r="B2594" i="106" s="1"/>
  <c r="D2594" i="106" s="1"/>
  <c r="B5719" i="106"/>
  <c r="D5719" i="106" s="1"/>
  <c r="D19" i="7"/>
  <c r="B1775" i="106" s="1"/>
  <c r="D1775" i="106" s="1"/>
  <c r="N41" i="3"/>
  <c r="B287" i="106"/>
  <c r="D287" i="106" s="1"/>
  <c r="D17" i="4"/>
  <c r="B2571" i="106"/>
  <c r="D2571" i="106" s="1"/>
  <c r="H19" i="4"/>
  <c r="B4141" i="106" s="1"/>
  <c r="D4141" i="106" s="1"/>
  <c r="B2661" i="106"/>
  <c r="D2661" i="106" s="1"/>
  <c r="F175" i="34"/>
  <c r="B7877" i="106" s="1"/>
  <c r="D7877" i="106" s="1"/>
  <c r="C17" i="4"/>
  <c r="B7242" i="106"/>
  <c r="D7242" i="106" s="1"/>
  <c r="H367" i="29"/>
  <c r="B3660" i="106" s="1"/>
  <c r="D3660" i="106" s="1"/>
  <c r="F77" i="34"/>
  <c r="B7834" i="106" s="1"/>
  <c r="D7834" i="106" s="1"/>
  <c r="B4216" i="106"/>
  <c r="D4216" i="106" s="1"/>
  <c r="I6" i="4"/>
  <c r="B5011" i="106" s="1"/>
  <c r="D5011" i="106" s="1"/>
  <c r="B7054" i="106"/>
  <c r="D7054" i="106" s="1"/>
  <c r="J268" i="5"/>
  <c r="J7" i="4"/>
  <c r="B5588" i="106"/>
  <c r="D5588" i="106" s="1"/>
  <c r="F4" i="4"/>
  <c r="F268" i="5"/>
  <c r="K4" i="4"/>
  <c r="K268" i="5"/>
  <c r="B6028" i="106"/>
  <c r="D6028" i="106" s="1"/>
  <c r="B6026" i="106"/>
  <c r="D6026" i="106" s="1"/>
  <c r="I4" i="4"/>
  <c r="I268" i="5"/>
  <c r="B5946" i="106" s="1"/>
  <c r="D5946" i="106" s="1"/>
  <c r="B7243" i="106"/>
  <c r="D7243" i="106" s="1"/>
  <c r="K16" i="4"/>
  <c r="B2551" i="106"/>
  <c r="D2551" i="106" s="1"/>
  <c r="D7" i="4"/>
  <c r="B2567" i="106" s="1"/>
  <c r="D2567" i="106" s="1"/>
  <c r="B5507" i="106"/>
  <c r="D5507" i="106" s="1"/>
  <c r="J17" i="4"/>
  <c r="B7042" i="106"/>
  <c r="D7042" i="106" s="1"/>
  <c r="B1510" i="106"/>
  <c r="D1510" i="106" s="1"/>
  <c r="K295" i="29"/>
  <c r="G13" i="4"/>
  <c r="B2554" i="106"/>
  <c r="D2554" i="106" s="1"/>
  <c r="B2600" i="106"/>
  <c r="D2600" i="106" s="1"/>
  <c r="D9" i="146"/>
  <c r="F19" i="4"/>
  <c r="B4139" i="106" s="1"/>
  <c r="D4139" i="106" s="1"/>
  <c r="G7" i="4"/>
  <c r="B2605" i="106" s="1"/>
  <c r="D2605" i="106" s="1"/>
  <c r="B5869" i="106"/>
  <c r="D5869" i="106" s="1"/>
  <c r="A7253" i="106"/>
  <c r="D7252" i="106"/>
  <c r="I17" i="11"/>
  <c r="B7624" i="106"/>
  <c r="K367" i="29"/>
  <c r="B3678" i="106" s="1"/>
  <c r="D3678" i="106" s="1"/>
  <c r="I18" i="11" l="1"/>
  <c r="B7625" i="106"/>
  <c r="A7254" i="106"/>
  <c r="D7253" i="106"/>
  <c r="B2608" i="106"/>
  <c r="D2608" i="106" s="1"/>
  <c r="G17" i="4"/>
  <c r="J19" i="4"/>
  <c r="B6229" i="106" s="1"/>
  <c r="D6229" i="106" s="1"/>
  <c r="B6227" i="106"/>
  <c r="D6227" i="106" s="1"/>
  <c r="B3225" i="106"/>
  <c r="D3225" i="106" s="1"/>
  <c r="I8" i="4"/>
  <c r="B3569" i="106"/>
  <c r="D3569" i="106" s="1"/>
  <c r="K8" i="4"/>
  <c r="B2591" i="106"/>
  <c r="D2591" i="106" s="1"/>
  <c r="B6222" i="106"/>
  <c r="D6222" i="106" s="1"/>
  <c r="J8" i="4"/>
  <c r="F16" i="37"/>
  <c r="B2561" i="106"/>
  <c r="D2561" i="106" s="1"/>
  <c r="H17" i="118"/>
  <c r="C19" i="4"/>
  <c r="B4136" i="106" s="1"/>
  <c r="D4136" i="106" s="1"/>
  <c r="B9" i="146"/>
  <c r="B2573" i="106"/>
  <c r="D2573" i="106" s="1"/>
  <c r="D19" i="4"/>
  <c r="B4137" i="106" s="1"/>
  <c r="D4137" i="106" s="1"/>
  <c r="C9" i="146"/>
  <c r="B288" i="106"/>
  <c r="D288" i="106" s="1"/>
  <c r="D55" i="36"/>
  <c r="B2655" i="106"/>
  <c r="D2655" i="106" s="1"/>
  <c r="H8" i="4"/>
  <c r="B5915" i="106"/>
  <c r="D5915" i="106" s="1"/>
  <c r="K313" i="29"/>
  <c r="B1561" i="106" s="1"/>
  <c r="D1561" i="106" s="1"/>
  <c r="B2603" i="106"/>
  <c r="D2603" i="106" s="1"/>
  <c r="B5552" i="106"/>
  <c r="D5552" i="106" s="1"/>
  <c r="K175" i="29"/>
  <c r="B1333" i="106" s="1"/>
  <c r="D1333" i="106" s="1"/>
  <c r="B2630" i="106"/>
  <c r="D2630" i="106" s="1"/>
  <c r="E8" i="4"/>
  <c r="F10" i="34"/>
  <c r="B1332" i="106"/>
  <c r="D1332" i="106" s="1"/>
  <c r="B2633" i="106"/>
  <c r="D2633" i="106" s="1"/>
  <c r="E17" i="4"/>
  <c r="D10" i="171"/>
  <c r="D19" i="171" s="1"/>
  <c r="D32" i="171" s="1"/>
  <c r="D49" i="171" s="1"/>
  <c r="F12" i="34"/>
  <c r="B1517" i="106"/>
  <c r="D1517" i="106" s="1"/>
  <c r="B3574" i="106"/>
  <c r="D3574" i="106" s="1"/>
  <c r="K17" i="4"/>
  <c r="B6023" i="106"/>
  <c r="D6023" i="106" s="1"/>
  <c r="K368" i="29"/>
  <c r="B3681" i="106" s="1"/>
  <c r="D3681" i="106" s="1"/>
  <c r="B5720" i="106"/>
  <c r="D5720" i="106" s="1"/>
  <c r="K211" i="29"/>
  <c r="B1389" i="106" s="1"/>
  <c r="D1389" i="106" s="1"/>
  <c r="B7055" i="106"/>
  <c r="D7055" i="106" s="1"/>
  <c r="K343" i="29"/>
  <c r="B7225" i="106" s="1"/>
  <c r="D7225" i="106" s="1"/>
  <c r="B5778" i="106"/>
  <c r="D5778" i="106" s="1"/>
  <c r="G6" i="4"/>
  <c r="B2604" i="106" s="1"/>
  <c r="D2604" i="106" s="1"/>
  <c r="B5223" i="106"/>
  <c r="D5223" i="106" s="1"/>
  <c r="C6" i="4"/>
  <c r="C268" i="5"/>
  <c r="B5653" i="106"/>
  <c r="D5653" i="106" s="1"/>
  <c r="F6" i="4"/>
  <c r="B2593" i="106" s="1"/>
  <c r="D2593" i="106" s="1"/>
  <c r="G268" i="5"/>
  <c r="D8" i="4"/>
  <c r="B2564" i="106"/>
  <c r="D2564" i="106" s="1"/>
  <c r="B5508" i="106"/>
  <c r="D5508" i="106" s="1"/>
  <c r="K152" i="29"/>
  <c r="B1289" i="106" s="1"/>
  <c r="D1289" i="106" s="1"/>
  <c r="B5870" i="106" l="1"/>
  <c r="D5870" i="106" s="1"/>
  <c r="K296" i="29"/>
  <c r="B1518" i="106" s="1"/>
  <c r="D1518" i="106" s="1"/>
  <c r="B2553" i="106"/>
  <c r="D2553" i="106" s="1"/>
  <c r="C8" i="4"/>
  <c r="B3575" i="106"/>
  <c r="D3575" i="106" s="1"/>
  <c r="K19" i="4"/>
  <c r="B4144" i="106" s="1"/>
  <c r="D4144" i="106" s="1"/>
  <c r="B2635" i="106"/>
  <c r="D2635" i="106" s="1"/>
  <c r="E19" i="4"/>
  <c r="B4138" i="106" s="1"/>
  <c r="D4138" i="106" s="1"/>
  <c r="B2632" i="106"/>
  <c r="D2632" i="106" s="1"/>
  <c r="E20" i="4"/>
  <c r="E10" i="4"/>
  <c r="B4124" i="106" s="1"/>
  <c r="D4124" i="106" s="1"/>
  <c r="G8" i="4"/>
  <c r="B2658" i="106"/>
  <c r="D2658" i="106" s="1"/>
  <c r="H20" i="4"/>
  <c r="H10" i="4"/>
  <c r="B4127" i="106" s="1"/>
  <c r="D4127" i="106" s="1"/>
  <c r="J20" i="4"/>
  <c r="J10" i="4"/>
  <c r="B6225" i="106" s="1"/>
  <c r="D6225" i="106" s="1"/>
  <c r="B6223" i="106"/>
  <c r="D6223" i="106" s="1"/>
  <c r="B3571" i="106"/>
  <c r="D3571" i="106" s="1"/>
  <c r="K10" i="4"/>
  <c r="B4130" i="106" s="1"/>
  <c r="D4130" i="106" s="1"/>
  <c r="K20" i="4"/>
  <c r="I10" i="4"/>
  <c r="B4128" i="106" s="1"/>
  <c r="D4128" i="106" s="1"/>
  <c r="B3226" i="106"/>
  <c r="D3226" i="106" s="1"/>
  <c r="E8" i="146"/>
  <c r="E10" i="146" s="1"/>
  <c r="I20" i="4"/>
  <c r="G19" i="4"/>
  <c r="B4140" i="106" s="1"/>
  <c r="D4140" i="106" s="1"/>
  <c r="B2612" i="106"/>
  <c r="D2612" i="106" s="1"/>
  <c r="B2568" i="106"/>
  <c r="D2568" i="106" s="1"/>
  <c r="C8" i="146"/>
  <c r="C10" i="146" s="1"/>
  <c r="D10" i="4"/>
  <c r="B4123" i="106" s="1"/>
  <c r="D4123" i="106" s="1"/>
  <c r="D20" i="4"/>
  <c r="B5327" i="106"/>
  <c r="D5327" i="106" s="1"/>
  <c r="K115" i="29"/>
  <c r="B1153" i="106" s="1"/>
  <c r="D1153" i="106" s="1"/>
  <c r="F14" i="34"/>
  <c r="F9" i="146"/>
  <c r="H25" i="118"/>
  <c r="K24" i="118" s="1"/>
  <c r="O23" i="118" s="1"/>
  <c r="O25" i="118" s="1"/>
  <c r="F8" i="4"/>
  <c r="A7255" i="106"/>
  <c r="D7254" i="106"/>
  <c r="B7631" i="106"/>
  <c r="F177" i="34"/>
  <c r="A7256" i="106" l="1"/>
  <c r="D7255" i="106"/>
  <c r="B2574" i="106"/>
  <c r="D2574" i="106" s="1"/>
  <c r="D78" i="4"/>
  <c r="B6230" i="106"/>
  <c r="D6230" i="106" s="1"/>
  <c r="J78" i="4"/>
  <c r="H78" i="4"/>
  <c r="B2662" i="106"/>
  <c r="D2662" i="106" s="1"/>
  <c r="G20" i="4"/>
  <c r="G10" i="4"/>
  <c r="B4126" i="106" s="1"/>
  <c r="D4126" i="106" s="1"/>
  <c r="B2606" i="106"/>
  <c r="D2606" i="106" s="1"/>
  <c r="E78" i="4"/>
  <c r="B2636" i="106"/>
  <c r="D2636" i="106" s="1"/>
  <c r="H18" i="118"/>
  <c r="K17" i="118" s="1"/>
  <c r="B8" i="146"/>
  <c r="B2555" i="106"/>
  <c r="D2555" i="106" s="1"/>
  <c r="C20" i="4"/>
  <c r="H13" i="118"/>
  <c r="C10" i="4"/>
  <c r="B4122" i="106" s="1"/>
  <c r="D4122" i="106" s="1"/>
  <c r="D16" i="37"/>
  <c r="H16" i="37" s="1"/>
  <c r="B2595" i="106"/>
  <c r="D2595" i="106" s="1"/>
  <c r="F10" i="4"/>
  <c r="B4125" i="106" s="1"/>
  <c r="D4125" i="106" s="1"/>
  <c r="D8" i="146"/>
  <c r="D10" i="146" s="1"/>
  <c r="F20" i="4"/>
  <c r="F78" i="34"/>
  <c r="B7822" i="106"/>
  <c r="B3227" i="106"/>
  <c r="D3227" i="106" s="1"/>
  <c r="I78" i="4"/>
  <c r="B3576" i="106"/>
  <c r="D3576" i="106" s="1"/>
  <c r="K78" i="4"/>
  <c r="F176" i="34" l="1"/>
  <c r="F80" i="34"/>
  <c r="B7837" i="106" s="1"/>
  <c r="D7837" i="106" s="1"/>
  <c r="B7835" i="106"/>
  <c r="D7835" i="106" s="1"/>
  <c r="B2562" i="106"/>
  <c r="D2562" i="106" s="1"/>
  <c r="C78" i="4"/>
  <c r="F8" i="146"/>
  <c r="F10" i="146" s="1"/>
  <c r="B10" i="146"/>
  <c r="B2613" i="106"/>
  <c r="D2613" i="106" s="1"/>
  <c r="G78" i="4"/>
  <c r="B3300" i="106"/>
  <c r="D3300" i="106" s="1"/>
  <c r="H81" i="4"/>
  <c r="A7257" i="106"/>
  <c r="D7256" i="106"/>
  <c r="B3588" i="106"/>
  <c r="D3588" i="106" s="1"/>
  <c r="K81" i="4"/>
  <c r="B3320" i="106"/>
  <c r="D3320" i="106" s="1"/>
  <c r="I81" i="4"/>
  <c r="F78" i="4"/>
  <c r="B2601" i="106"/>
  <c r="D2601" i="106" s="1"/>
  <c r="O16" i="118"/>
  <c r="E81" i="4"/>
  <c r="B3278" i="106"/>
  <c r="D3278" i="106" s="1"/>
  <c r="B6263" i="106"/>
  <c r="D6263" i="106" s="1"/>
  <c r="J81" i="4"/>
  <c r="B3239" i="106"/>
  <c r="D3239" i="106" s="1"/>
  <c r="D81" i="4"/>
  <c r="D82" i="4" l="1"/>
  <c r="C11" i="146"/>
  <c r="B1644" i="106"/>
  <c r="D1644" i="106" s="1"/>
  <c r="D58" i="36"/>
  <c r="J82" i="4"/>
  <c r="D64" i="36"/>
  <c r="B6266" i="106"/>
  <c r="D6266" i="106" s="1"/>
  <c r="B3256" i="106"/>
  <c r="D3256" i="106" s="1"/>
  <c r="F81" i="4"/>
  <c r="A7258" i="106"/>
  <c r="D7257" i="106"/>
  <c r="E82" i="4"/>
  <c r="B1658" i="106"/>
  <c r="D1658" i="106" s="1"/>
  <c r="D59" i="36"/>
  <c r="D63" i="36"/>
  <c r="B3323" i="106"/>
  <c r="D3323" i="106" s="1"/>
  <c r="I82" i="4"/>
  <c r="E11" i="146"/>
  <c r="K82" i="4"/>
  <c r="B3591" i="106"/>
  <c r="D3591" i="106" s="1"/>
  <c r="D65" i="36"/>
  <c r="D62" i="36"/>
  <c r="B1700" i="106"/>
  <c r="D1700" i="106" s="1"/>
  <c r="H82" i="4"/>
  <c r="B3262" i="106"/>
  <c r="D3262" i="106" s="1"/>
  <c r="G81" i="4"/>
  <c r="B3233" i="106"/>
  <c r="D3233" i="106" s="1"/>
  <c r="C81" i="4"/>
  <c r="F178" i="34"/>
  <c r="B7878" i="106"/>
  <c r="D7878" i="106" s="1"/>
  <c r="J16" i="37" l="1"/>
  <c r="B4269" i="106" s="1"/>
  <c r="D4269" i="106" s="1"/>
  <c r="C82" i="4"/>
  <c r="B1630" i="106"/>
  <c r="D1630" i="106" s="1"/>
  <c r="H12" i="118"/>
  <c r="K12" i="118" s="1"/>
  <c r="B11" i="146"/>
  <c r="D57" i="36"/>
  <c r="D61" i="36"/>
  <c r="G82" i="4"/>
  <c r="B1686" i="106"/>
  <c r="D1686" i="106" s="1"/>
  <c r="H83" i="4"/>
  <c r="B6281" i="106" s="1"/>
  <c r="D6281" i="106" s="1"/>
  <c r="B6272" i="106"/>
  <c r="D6272" i="106" s="1"/>
  <c r="B6269" i="106"/>
  <c r="D6269" i="106" s="1"/>
  <c r="E83" i="4"/>
  <c r="B6278" i="106" s="1"/>
  <c r="D6278" i="106" s="1"/>
  <c r="D7258" i="106"/>
  <c r="A7259" i="106"/>
  <c r="F180" i="34"/>
  <c r="B7880" i="106" s="1"/>
  <c r="D7880" i="106" s="1"/>
  <c r="B7879" i="106"/>
  <c r="D7879" i="106" s="1"/>
  <c r="B6275" i="106"/>
  <c r="D6275" i="106" s="1"/>
  <c r="K83" i="4"/>
  <c r="B6284" i="106" s="1"/>
  <c r="D6284" i="106" s="1"/>
  <c r="B6273" i="106"/>
  <c r="D6273" i="106" s="1"/>
  <c r="I83" i="4"/>
  <c r="B6282" i="106" s="1"/>
  <c r="D6282" i="106" s="1"/>
  <c r="B1672" i="106"/>
  <c r="D1672" i="106" s="1"/>
  <c r="D11" i="146"/>
  <c r="F82" i="4"/>
  <c r="D60" i="36"/>
  <c r="B6274" i="106"/>
  <c r="D6274" i="106" s="1"/>
  <c r="J83" i="4"/>
  <c r="B6283" i="106" s="1"/>
  <c r="D6283" i="106" s="1"/>
  <c r="B6268" i="106"/>
  <c r="D6268" i="106" s="1"/>
  <c r="D83" i="4"/>
  <c r="B6277" i="106" s="1"/>
  <c r="D6277" i="106" s="1"/>
  <c r="B6270" i="106" l="1"/>
  <c r="D6270" i="106" s="1"/>
  <c r="F83" i="4"/>
  <c r="B6279" i="106" s="1"/>
  <c r="D6279" i="106" s="1"/>
  <c r="B6271" i="106"/>
  <c r="D6271" i="106" s="1"/>
  <c r="G83" i="4"/>
  <c r="B6280" i="106" s="1"/>
  <c r="D6280" i="106" s="1"/>
  <c r="O11" i="118"/>
  <c r="O13" i="118" s="1"/>
  <c r="J20" i="118"/>
  <c r="C83" i="4"/>
  <c r="B6276" i="106" s="1"/>
  <c r="D6276" i="106" s="1"/>
  <c r="B6267" i="106"/>
  <c r="D6267" i="106" s="1"/>
  <c r="A7260" i="106"/>
  <c r="D7259" i="106"/>
  <c r="F11" i="146"/>
  <c r="D29" i="36" l="1"/>
  <c r="J24" i="24" s="1"/>
  <c r="C12" i="146"/>
  <c r="D7260" i="106"/>
  <c r="A7261" i="106"/>
  <c r="K20" i="118"/>
  <c r="O17" i="118"/>
  <c r="O20" i="118" s="1"/>
  <c r="O35" i="118" s="1"/>
  <c r="O37" i="118" s="1"/>
  <c r="D7261" i="106" l="1"/>
  <c r="A7262" i="106"/>
  <c r="D7262" i="106" l="1"/>
  <c r="A7263" i="106"/>
  <c r="D7263" i="106" l="1"/>
  <c r="A7264" i="106"/>
  <c r="D7264" i="106" l="1"/>
  <c r="A7265" i="106"/>
  <c r="D7265" i="106" l="1"/>
  <c r="A7266" i="106"/>
  <c r="A7267" i="106" l="1"/>
  <c r="D7266" i="106"/>
  <c r="D7267" i="106" l="1"/>
  <c r="A7268"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D7590" i="106" l="1"/>
  <c r="A7591" i="106"/>
  <c r="A7592" i="106" l="1"/>
  <c r="D7591" i="106"/>
  <c r="D7592" i="106" l="1"/>
  <c r="A7593" i="106"/>
  <c r="A7594" i="106" l="1"/>
  <c r="D7593" i="106"/>
  <c r="A7595" i="106" l="1"/>
  <c r="D7594" i="106"/>
  <c r="D7595" i="106" l="1"/>
  <c r="A7596" i="106"/>
  <c r="A7597" i="106" l="1"/>
  <c r="D7596" i="106"/>
  <c r="A7598" i="106" l="1"/>
  <c r="D7597" i="106"/>
  <c r="D7598" i="106" l="1"/>
  <c r="A7599" i="106"/>
  <c r="A7600" i="106" l="1"/>
  <c r="D7599" i="106"/>
  <c r="A7601" i="106" l="1"/>
  <c r="D7600" i="106"/>
  <c r="A7602" i="106" l="1"/>
  <c r="D7601" i="106"/>
  <c r="D7602" i="106" l="1"/>
  <c r="A7603" i="106"/>
  <c r="A7604" i="106" l="1"/>
  <c r="D7603" i="106"/>
  <c r="D7604" i="106" l="1"/>
  <c r="A7605" i="106"/>
  <c r="A7606" i="106" l="1"/>
  <c r="D7605" i="106"/>
  <c r="A7607" i="106" l="1"/>
  <c r="D7606" i="106"/>
  <c r="D7607" i="106" l="1"/>
  <c r="A7608" i="106"/>
  <c r="A7609" i="106" l="1"/>
  <c r="D7608" i="106"/>
  <c r="A7610" i="106" l="1"/>
  <c r="D7609" i="106"/>
  <c r="D7610" i="106" l="1"/>
  <c r="A7611" i="106"/>
  <c r="A7612" i="106" l="1"/>
  <c r="D7611" i="106"/>
  <c r="D7612" i="106" l="1"/>
  <c r="A7613" i="106"/>
  <c r="A7614" i="106" l="1"/>
  <c r="D7613" i="106"/>
  <c r="A7615" i="106" l="1"/>
  <c r="D7614" i="106"/>
  <c r="A7616" i="106" l="1"/>
  <c r="D7615" i="106"/>
  <c r="D7616" i="106" l="1"/>
  <c r="A7617" i="106"/>
  <c r="A7618" i="106" l="1"/>
  <c r="D7617" i="106"/>
  <c r="A7619" i="106" l="1"/>
  <c r="D7618" i="106"/>
  <c r="D7619" i="106" l="1"/>
  <c r="A7620"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D7636" i="106" l="1"/>
  <c r="A7637" i="106"/>
  <c r="A7638" i="106" l="1"/>
  <c r="D7637" i="106"/>
  <c r="D7638" i="106" l="1"/>
  <c r="A7639"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<sst xmlns="http://schemas.openxmlformats.org/spreadsheetml/2006/main" count="5435" uniqueCount="2147">
  <si>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</si>
  <si>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</si>
  <si>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</si>
  <si>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</si>
  <si>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</si>
  <si>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</si>
  <si>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</si>
  <si>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</si>
  <si>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</si>
  <si>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</si>
  <si>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</si>
  <si>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</si>
  <si>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</si>
  <si>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</si>
  <si>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</si>
  <si>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</si>
  <si>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</si>
  <si>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</si>
  <si>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</si>
  <si>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</si>
  <si>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</si>
  <si>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</si>
  <si>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</si>
  <si>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</si>
  <si>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</si>
  <si>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</si>
  <si>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</si>
  <si>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</si>
  <si>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</si>
  <si>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</si>
  <si>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</si>
  <si>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</si>
  <si>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</si>
  <si>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</si>
  <si>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</si>
  <si>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</si>
  <si>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</si>
  <si>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</si>
  <si>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</si>
  <si>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</si>
  <si>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</si>
  <si>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</si>
  <si>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</si>
  <si>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</si>
  <si>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</si>
  <si>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</si>
  <si>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</si>
  <si>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</si>
  <si>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</si>
  <si>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</si>
  <si>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</si>
  <si>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</si>
  <si>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</si>
  <si>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</si>
  <si>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</si>
  <si>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</si>
  <si>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</si>
  <si>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</si>
  <si>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</si>
  <si>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</si>
  <si>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</si>
  <si>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</si>
  <si>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</si>
  <si>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</si>
  <si>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</si>
  <si>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</si>
  <si>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</si>
  <si>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</si>
  <si>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</si>
  <si>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</si>
  <si>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</si>
  <si>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</si>
  <si>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</si>
  <si>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</si>
  <si>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</si>
  <si>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</si>
  <si>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</si>
  <si>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</si>
  <si>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</si>
  <si>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</si>
  <si>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</si>
  <si>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</si>
  <si>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</si>
  <si>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</si>
  <si>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</si>
  <si>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</si>
  <si>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</si>
  <si>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</si>
  <si>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</si>
  <si>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</si>
  <si>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</si>
  <si>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</si>
  <si>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</si>
  <si>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</si>
  <si>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</si>
  <si>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</si>
  <si>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</si>
  <si>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</si>
  <si>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</si>
  <si>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</si>
  <si>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</si>
  <si>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</si>
  <si>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</si>
  <si>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</si>
  <si>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</si>
  <si>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</si>
  <si>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</si>
  <si>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</si>
  <si>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</si>
  <si>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</si>
  <si>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</si>
  <si>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</si>
  <si>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</si>
  <si>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</si>
  <si>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</si>
  <si>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</si>
  <si>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</si>
  <si>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</si>
  <si>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</si>
  <si>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</si>
  <si>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</si>
  <si>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</si>
  <si>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</si>
  <si>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</si>
  <si>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</si>
  <si>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</si>
  <si>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</si>
  <si>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</si>
  <si>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</si>
  <si>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</si>
  <si>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</si>
  <si>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</si>
  <si>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</si>
  <si>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</si>
  <si>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</si>
  <si>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</si>
  <si>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</si>
  <si>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</si>
  <si>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</si>
  <si>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</si>
  <si>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</si>
  <si>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</si>
  <si>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</si>
  <si>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</si>
  <si>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</si>
  <si>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</si>
  <si>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</si>
  <si>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</si>
  <si>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</si>
  <si>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</si>
  <si>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</si>
  <si>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</si>
  <si>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</si>
  <si>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</si>
  <si>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</si>
  <si>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</si>
  <si>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</si>
  <si>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</si>
  <si>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</si>
  <si>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</si>
  <si>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</si>
  <si>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</si>
  <si>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</si>
  <si>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</si>
  <si>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</si>
  <si>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</si>
  <si>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</si>
  <si>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</si>
  <si>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</si>
  <si>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</si>
  <si>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</si>
  <si>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</si>
  <si>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</si>
  <si>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</si>
  <si>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</si>
  <si>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</si>
  <si>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</si>
  <si>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</si>
  <si>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</si>
  <si>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</si>
  <si>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</si>
  <si>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</si>
  <si>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</si>
  <si>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</si>
  <si>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</si>
  <si>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</si>
  <si>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</si>
  <si>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</si>
  <si>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</si>
  <si>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</si>
  <si>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</si>
  <si>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</si>
  <si>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</si>
  <si>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</si>
  <si>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</si>
  <si>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</si>
  <si>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</si>
  <si>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</si>
  <si>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</si>
  <si>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</si>
  <si>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</si>
  <si>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</si>
  <si>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</si>
  <si>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</si>
  <si>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</si>
  <si>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</si>
  <si>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</si>
  <si>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</si>
  <si>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</si>
  <si>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</si>
  <si>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</si>
  <si>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</si>
  <si>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</si>
  <si>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</si>
  <si>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</si>
  <si>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</si>
  <si>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</si>
  <si>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</si>
  <si>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</si>
  <si>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</si>
  <si>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</si>
  <si>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</si>
  <si>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</si>
  <si>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</si>
  <si>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</si>
  <si>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</si>
  <si>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</si>
  <si>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</si>
  <si>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</si>
  <si>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</si>
  <si>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</si>
  <si>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</si>
  <si>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</si>
  <si>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</si>
  <si>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</si>
  <si>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</si>
  <si>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</si>
  <si>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</si>
  <si>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</si>
  <si>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</si>
  <si>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</si>
  <si>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</si>
  <si>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</si>
  <si>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</si>
  <si>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</si>
  <si>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</si>
  <si>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</si>
  <si>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</si>
  <si>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</si>
  <si>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</si>
  <si>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</si>
  <si>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</si>
  <si>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</si>
  <si>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</si>
  <si>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</si>
  <si>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</si>
  <si>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</si>
  <si>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</si>
  <si>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</si>
  <si>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</si>
  <si>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</si>
  <si>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</si>
  <si>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</si>
  <si>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</si>
  <si>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</si>
  <si>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</si>
  <si>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</si>
  <si>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</si>
  <si>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</si>
  <si>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</si>
  <si>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</si>
  <si>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</si>
  <si>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</si>
  <si>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</si>
  <si>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</si>
  <si>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</si>
  <si>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</si>
  <si>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</si>
  <si>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</si>
  <si>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</si>
  <si>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</si>
  <si>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</si>
  <si>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</si>
  <si>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</si>
  <si>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</si>
  <si>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</si>
  <si>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</si>
  <si>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</si>
  <si>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</si>
  <si>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</si>
  <si>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</si>
  <si>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</si>
  <si>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</si>
  <si>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</si>
  <si>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</si>
  <si>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</si>
  <si>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</si>
  <si>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</si>
  <si>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</si>
  <si>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</si>
  <si>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</si>
  <si>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</si>
  <si>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</si>
  <si>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</si>
  <si>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</si>
  <si>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</si>
  <si>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</si>
  <si>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</si>
  <si>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</si>
  <si>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</si>
  <si>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</si>
  <si>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</si>
  <si>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</si>
  <si>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</si>
  <si>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</si>
  <si>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</si>
  <si>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</si>
  <si>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</si>
  <si>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</si>
  <si>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</si>
  <si>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</si>
  <si>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</si>
  <si>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</si>
  <si>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</si>
  <si>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</si>
  <si>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</si>
  <si>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</si>
  <si>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</si>
  <si>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</si>
  <si>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</si>
  <si>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</si>
  <si>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</si>
  <si>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</si>
  <si>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</si>
  <si>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</si>
  <si>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</si>
  <si>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</si>
  <si>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</si>
  <si>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</si>
  <si>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</si>
  <si>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</si>
  <si>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</si>
  <si>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</si>
  <si>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</si>
  <si>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</si>
  <si>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</si>
  <si>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</si>
  <si>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</si>
  <si>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</si>
  <si>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</si>
  <si>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</si>
  <si>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</si>
  <si>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</si>
  <si>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</si>
  <si>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</si>
  <si>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</si>
  <si>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</si>
  <si>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</si>
  <si>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</si>
  <si>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</si>
  <si>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</si>
  <si>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</si>
  <si>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</si>
  <si>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</si>
  <si>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</si>
  <si>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</si>
  <si>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</si>
  <si>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</si>
  <si>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</si>
  <si>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</si>
  <si>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</si>
  <si>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</si>
  <si>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</si>
  <si>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</si>
  <si>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</si>
  <si>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</si>
  <si>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</si>
  <si>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</si>
  <si>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</si>
  <si>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</si>
  <si>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</si>
  <si>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</si>
  <si>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</si>
  <si>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</si>
  <si>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</si>
  <si>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</si>
  <si>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</si>
  <si>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</si>
  <si>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</si>
  <si>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</si>
  <si>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</si>
  <si>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</si>
  <si>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</si>
  <si>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</si>
  <si>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</si>
  <si>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</si>
  <si>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</si>
  <si>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</si>
  <si>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</si>
  <si>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</si>
  <si>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</si>
  <si>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</si>
  <si>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</si>
  <si>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</si>
  <si>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</si>
  <si>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</si>
  <si>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</si>
  <si>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</si>
  <si>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</si>
  <si>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</si>
  <si>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</si>
  <si>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</si>
  <si>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</si>
  <si>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</si>
  <si>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</si>
  <si>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</si>
  <si>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</si>
  <si>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</si>
  <si>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</si>
  <si>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</si>
  <si>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</si>
  <si>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</si>
  <si>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</si>
  <si>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</si>
  <si>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</si>
  <si>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</si>
  <si>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</si>
  <si>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</si>
  <si>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</si>
  <si>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</si>
  <si>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</si>
  <si>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</si>
  <si>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</si>
  <si>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</si>
  <si>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</si>
  <si>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</si>
  <si>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</si>
  <si>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</si>
  <si>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</si>
  <si>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</si>
  <si>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</si>
  <si>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</si>
  <si>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</si>
  <si>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</si>
  <si>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</si>
  <si>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</si>
  <si>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</si>
  <si>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</si>
  <si>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</si>
  <si>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</si>
  <si>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</si>
  <si>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</si>
  <si>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</si>
  <si>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</si>
  <si>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</si>
  <si>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</si>
  <si>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</si>
  <si>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</si>
  <si>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</si>
  <si>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</si>
  <si>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</si>
  <si>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</si>
  <si>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</si>
  <si>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</si>
  <si>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</si>
  <si>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</si>
  <si>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</si>
  <si>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</si>
  <si>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</si>
  <si>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</si>
  <si>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</si>
  <si>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</si>
  <si>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</si>
  <si>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</si>
  <si>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</si>
  <si>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</si>
  <si>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</si>
  <si>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</si>
  <si>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</si>
  <si>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</si>
  <si>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</si>
  <si>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</si>
  <si>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</si>
  <si>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</si>
  <si>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</si>
  <si>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</si>
  <si>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</si>
  <si>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</si>
  <si>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</si>
  <si>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</si>
  <si>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</si>
  <si>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</si>
  <si>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</si>
  <si>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</si>
  <si>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</si>
  <si>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</si>
  <si>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</si>
  <si>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</si>
  <si>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</si>
  <si>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</si>
  <si>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</si>
  <si>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</si>
  <si>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</si>
  <si>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</si>
  <si>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</si>
  <si>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</si>
  <si>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</si>
  <si>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</si>
  <si>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</si>
  <si>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</si>
  <si>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</si>
  <si>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</si>
  <si>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</si>
  <si>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</si>
  <si>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</si>
  <si>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</si>
  <si>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</si>
  <si>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</si>
  <si>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</si>
  <si>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</si>
  <si>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</si>
  <si>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</si>
  <si>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</si>
  <si>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</si>
  <si>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</si>
  <si>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</si>
  <si>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</si>
  <si>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</si>
  <si>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</si>
  <si>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</si>
  <si>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</si>
  <si>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</si>
  <si>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</si>
  <si>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</si>
  <si>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</si>
  <si>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</si>
  <si>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</si>
  <si>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</si>
  <si>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</si>
  <si>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</si>
  <si>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</si>
  <si>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</si>
  <si>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</si>
  <si>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</si>
  <si>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</si>
  <si>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</si>
  <si>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</si>
  <si>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</si>
  <si>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</si>
  <si>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</si>
  <si>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</si>
  <si>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</si>
  <si>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</si>
  <si>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</si>
  <si>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</si>
  <si>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</si>
  <si>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</si>
  <si>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</si>
  <si>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</si>
  <si>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</si>
  <si>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</si>
  <si>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</si>
  <si>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</si>
  <si>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</si>
  <si>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</si>
  <si>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</si>
  <si>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</si>
  <si>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</si>
  <si>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</si>
  <si>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</si>
  <si>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</si>
  <si>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</si>
  <si>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</si>
  <si>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</si>
  <si>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</si>
  <si>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</si>
  <si>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</si>
  <si>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</si>
  <si>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</si>
  <si>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</si>
  <si>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</si>
  <si>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</si>
  <si>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</si>
  <si>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</si>
  <si>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</si>
  <si>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</si>
  <si>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</si>
  <si>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</si>
  <si>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</si>
  <si>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</si>
  <si>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</si>
  <si>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</si>
  <si>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</si>
  <si>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</si>
  <si>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</si>
  <si>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</si>
  <si>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</si>
  <si>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</si>
  <si>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</si>
  <si>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</si>
  <si>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</si>
  <si>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</si>
  <si>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</si>
  <si>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</si>
  <si>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</si>
  <si>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</si>
  <si>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</si>
  <si>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</si>
  <si>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</si>
  <si>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</si>
  <si>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</si>
  <si>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</si>
  <si>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</si>
  <si>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</si>
  <si>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</si>
  <si>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</si>
  <si>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</si>
  <si>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</si>
  <si>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</si>
  <si>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</si>
  <si>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</si>
  <si>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</si>
  <si>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</si>
  <si>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</si>
  <si>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</si>
  <si>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</si>
  <si>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</si>
  <si>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</si>
  <si>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</si>
  <si>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</si>
  <si>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</si>
  <si>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</si>
  <si>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</si>
  <si>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</si>
  <si>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</si>
  <si>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</si>
  <si>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</si>
  <si>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</si>
  <si>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</si>
  <si>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</si>
  <si>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</si>
  <si>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</si>
  <si>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</si>
  <si>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</si>
  <si>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</si>
  <si>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</si>
  <si>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</si>
  <si>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</si>
  <si>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</si>
  <si>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</si>
  <si>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</si>
  <si>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</si>
  <si>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</si>
  <si>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</si>
  <si>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</si>
  <si>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</si>
  <si>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</si>
  <si>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</si>
  <si>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</si>
  <si>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</si>
  <si>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</si>
  <si>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</si>
  <si>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</si>
  <si>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</si>
  <si>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</si>
  <si>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</si>
  <si>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</si>
  <si>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</si>
  <si>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</si>
  <si>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</si>
  <si>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</si>
  <si>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</si>
  <si>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</si>
  <si>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</si>
  <si>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</si>
  <si>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</si>
  <si>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</si>
  <si>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</si>
  <si>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</si>
  <si>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</si>
  <si>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</si>
  <si>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</si>
  <si>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</si>
  <si>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</si>
  <si>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</si>
  <si>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</si>
  <si>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</si>
  <si>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</si>
  <si>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</si>
  <si>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</si>
  <si>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</si>
  <si>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</si>
  <si>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</si>
  <si>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</si>
  <si>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</si>
  <si>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</si>
  <si>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</si>
  <si>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</si>
  <si>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</si>
  <si>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</si>
  <si>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</si>
  <si>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</si>
  <si>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</si>
  <si>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</si>
  <si>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</si>
  <si>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</si>
  <si>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</si>
  <si>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</si>
  <si>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</si>
  <si>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</si>
  <si>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</si>
  <si>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</si>
  <si>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</si>
  <si>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</si>
  <si>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</si>
  <si>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</si>
  <si>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</si>
  <si>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</si>
  <si>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</si>
  <si>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</si>
  <si>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</si>
  <si>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</si>
  <si>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</si>
  <si>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</si>
  <si>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</si>
  <si>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</si>
  <si>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</si>
  <si>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</si>
  <si>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</si>
  <si>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</si>
  <si>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</si>
  <si>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</si>
  <si>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</si>
  <si>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</si>
  <si>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</si>
  <si>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</si>
  <si>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</si>
  <si>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</si>
  <si>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</si>
  <si>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</si>
  <si>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</si>
  <si>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</si>
  <si>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</si>
  <si>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</si>
  <si>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</si>
  <si>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</si>
  <si>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</si>
  <si>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</si>
  <si>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</si>
  <si>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</si>
  <si>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</si>
  <si>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</si>
  <si>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</si>
  <si>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</si>
  <si>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</si>
  <si>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</si>
  <si>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</si>
  <si>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</si>
  <si>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</si>
  <si>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</si>
  <si>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</si>
  <si>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</si>
  <si>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</si>
  <si>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</si>
  <si>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</si>
  <si>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</si>
  <si>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</si>
  <si>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</si>
  <si>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</si>
  <si>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</si>
  <si>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</si>
  <si>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</si>
  <si>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</si>
  <si>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</si>
  <si>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</si>
  <si>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</si>
  <si>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</si>
  <si>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</si>
  <si>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</si>
  <si>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</si>
  <si>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</si>
  <si>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</si>
  <si>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</si>
  <si>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</si>
  <si>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</si>
  <si>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</si>
  <si>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</si>
  <si>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</si>
  <si>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</si>
  <si>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</si>
  <si>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</si>
  <si>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</si>
  <si>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</si>
  <si>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</si>
  <si>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</si>
  <si>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</si>
  <si>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</si>
  <si>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</si>
  <si>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</si>
  <si>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</si>
  <si>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</si>
  <si>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</si>
  <si>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</si>
  <si>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</si>
  <si>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</si>
  <si>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</si>
  <si>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</si>
  <si>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</si>
  <si>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</si>
  <si>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</si>
  <si>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</si>
  <si>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</si>
  <si>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</si>
  <si>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</si>
  <si>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</si>
  <si>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</si>
  <si>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</si>
  <si>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</si>
  <si>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</si>
  <si>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</si>
  <si>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</si>
  <si>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</si>
  <si>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</si>
  <si>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</si>
  <si>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</si>
  <si>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</si>
  <si>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</si>
  <si>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</si>
  <si>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</si>
  <si>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</si>
  <si>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</si>
  <si>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</si>
  <si>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</si>
  <si>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</si>
  <si>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</si>
  <si>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</si>
  <si>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</si>
  <si>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</si>
  <si>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</si>
  <si>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</si>
  <si>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</si>
  <si>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</si>
  <si>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</si>
  <si>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</si>
  <si>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</si>
  <si>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</si>
  <si>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</si>
  <si>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</si>
  <si>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</si>
  <si>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</si>
  <si>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</si>
  <si>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</si>
  <si>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</si>
  <si>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</si>
  <si>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</si>
  <si>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</si>
  <si>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</si>
  <si>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</si>
  <si>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</si>
  <si>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</si>
  <si>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</si>
  <si>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</si>
  <si>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</si>
  <si>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</si>
  <si>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</si>
  <si>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</si>
  <si>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</si>
  <si>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</si>
  <si>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</si>
  <si>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</si>
  <si>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</si>
  <si>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</si>
  <si>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</si>
  <si>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</si>
  <si>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</si>
  <si>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</si>
  <si>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</si>
  <si>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</si>
  <si>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</si>
  <si>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</si>
  <si>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</si>
  <si>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</si>
  <si>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</si>
  <si>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</si>
  <si>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</si>
  <si>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</si>
  <si>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</si>
  <si>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</si>
  <si>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</si>
  <si>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</si>
  <si>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</si>
  <si>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</si>
  <si>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</si>
  <si>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</si>
  <si>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</si>
  <si>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</si>
  <si>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</si>
  <si>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</si>
  <si>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</si>
  <si>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</si>
  <si>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</si>
  <si>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</si>
  <si>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</si>
  <si>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</si>
  <si>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</si>
  <si>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</si>
  <si>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</si>
  <si>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</si>
  <si>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</si>
  <si>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</si>
  <si>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</si>
  <si>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</si>
  <si>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</si>
  <si>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</si>
  <si>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</si>
  <si>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</si>
  <si>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</si>
  <si>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</si>
  <si>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</si>
  <si>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</si>
  <si>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</si>
  <si>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</si>
  <si>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</si>
  <si>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</si>
  <si>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</si>
  <si>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</si>
  <si>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</si>
  <si>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</si>
  <si>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</si>
  <si>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</si>
  <si>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</si>
  <si>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</si>
  <si>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</si>
  <si>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</si>
  <si>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</si>
  <si>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</si>
  <si>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</si>
  <si>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</si>
  <si>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</si>
  <si>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</si>
  <si>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</si>
  <si>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</si>
  <si>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</si>
  <si>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</si>
  <si>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</si>
  <si>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</si>
  <si>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</si>
  <si>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</si>
  <si>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</si>
  <si>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</si>
  <si>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</si>
  <si>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</si>
  <si>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</si>
  <si>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</si>
  <si>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</si>
  <si>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</si>
  <si>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</si>
  <si>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</si>
  <si>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</si>
  <si>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</si>
  <si>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</si>
  <si>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</si>
  <si>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</si>
  <si>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</si>
  <si>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</si>
  <si>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</si>
  <si>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</si>
  <si>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</si>
  <si>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</si>
  <si>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</si>
  <si>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</si>
  <si>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</si>
  <si>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</si>
  <si>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</si>
  <si>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</si>
  <si>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</si>
  <si>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</si>
  <si>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</si>
  <si>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</si>
  <si>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</si>
  <si>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</si>
  <si>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</si>
  <si>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</si>
  <si>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</si>
  <si>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</si>
  <si>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</si>
  <si>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</si>
  <si>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</si>
  <si>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</si>
  <si>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</si>
  <si>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</si>
  <si>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</si>
  <si>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</si>
  <si>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</si>
  <si>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</si>
  <si>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</si>
  <si>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</si>
  <si>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</si>
  <si>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</si>
  <si>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</si>
  <si>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</si>
  <si>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</si>
  <si>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</si>
  <si>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</si>
  <si>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</si>
  <si>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</si>
  <si>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</si>
  <si>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</si>
  <si>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</si>
  <si>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</si>
  <si>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</si>
  <si>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</si>
  <si>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</si>
  <si>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</si>
  <si>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</si>
  <si>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</si>
  <si>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</si>
  <si>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</si>
  <si>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</si>
  <si>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</si>
  <si>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</si>
  <si>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</si>
  <si>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</si>
  <si>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</si>
  <si>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</si>
  <si>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</si>
  <si>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</si>
  <si>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</si>
  <si>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</si>
  <si>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</si>
  <si>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</si>
  <si>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</si>
  <si>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</si>
  <si>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</si>
  <si>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</si>
  <si>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</si>
  <si>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</si>
  <si>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</si>
  <si>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</si>
  <si>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</si>
  <si>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</si>
  <si>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</si>
  <si>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</si>
  <si>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</si>
  <si>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</si>
  <si>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</si>
  <si>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</si>
  <si>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</si>
  <si>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</si>
  <si>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</si>
  <si>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</si>
  <si>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</si>
  <si>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</si>
  <si>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</si>
  <si>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</si>
  <si>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</si>
  <si>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</si>
  <si>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</si>
  <si>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</si>
  <si>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</si>
  <si>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</si>
  <si>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</si>
  <si>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</si>
  <si>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</si>
  <si>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</si>
  <si>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</si>
  <si>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</si>
  <si>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</si>
  <si>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</si>
  <si>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</si>
  <si>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</si>
  <si>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</si>
  <si>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</si>
  <si>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</si>
  <si>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</si>
  <si>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</si>
  <si>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</si>
  <si>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</si>
  <si>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</si>
  <si>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</si>
  <si>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</si>
  <si>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</si>
  <si>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</si>
  <si>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</si>
  <si>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</si>
  <si>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</si>
  <si>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</si>
  <si>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</si>
  <si>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</si>
  <si>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</si>
  <si>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</si>
  <si>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</si>
  <si>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</si>
  <si>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</si>
  <si>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</si>
  <si>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</si>
  <si>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</si>
  <si>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</si>
  <si>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</si>
  <si>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</si>
  <si>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</si>
  <si>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</si>
  <si>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</si>
  <si>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</si>
  <si>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</si>
  <si>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</si>
  <si>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</si>
  <si>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</si>
  <si>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</si>
  <si>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</si>
  <si>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</si>
  <si>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</si>
  <si>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</si>
  <si>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</si>
  <si>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</si>
  <si>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</si>
  <si>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</si>
  <si>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</si>
  <si>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</si>
  <si>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</si>
  <si>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</si>
  <si>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</si>
  <si>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</si>
  <si>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</si>
  <si>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</si>
  <si>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</si>
  <si>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</si>
  <si>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</si>
  <si>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</si>
  <si>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</si>
  <si>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</si>
  <si>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</si>
  <si>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</si>
  <si>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</si>
  <si>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</si>
  <si>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</si>
  <si>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</si>
  <si>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</si>
  <si>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</si>
  <si>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</si>
  <si>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</si>
  <si>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</si>
  <si>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</si>
  <si>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</si>
  <si>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</si>
  <si>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</si>
  <si>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</si>
  <si>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</si>
  <si>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</si>
  <si>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</si>
  <si>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</si>
  <si>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</si>
  <si>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</si>
  <si>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</si>
  <si>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</si>
  <si>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</si>
  <si>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</si>
  <si>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</si>
  <si>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</si>
  <si>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</si>
  <si>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</si>
  <si>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</si>
  <si>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</si>
  <si>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</si>
  <si>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</si>
  <si>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</si>
  <si>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</si>
  <si>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</si>
  <si>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</si>
  <si>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</si>
  <si>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</si>
  <si>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</si>
  <si>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</si>
  <si>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</si>
  <si>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</si>
  <si>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</si>
  <si>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</si>
  <si>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</si>
  <si>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</si>
  <si>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</si>
  <si>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</si>
  <si>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</si>
  <si>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</si>
  <si>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</si>
  <si>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</si>
  <si>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</si>
  <si>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</si>
  <si>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</si>
  <si>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</si>
  <si>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</si>
  <si>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</si>
  <si>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</si>
  <si>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</si>
  <si>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</si>
  <si>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</si>
  <si>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</si>
  <si>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</si>
  <si>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</si>
  <si>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</si>
  <si>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</si>
  <si>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</si>
  <si>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</si>
  <si>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</si>
  <si>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</si>
  <si>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</si>
  <si>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</si>
  <si>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</si>
  <si>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</si>
  <si>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</si>
  <si>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</si>
  <si>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</si>
  <si>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</si>
  <si>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</si>
  <si>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</si>
  <si>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</si>
  <si>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</si>
  <si>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</si>
  <si>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</si>
  <si>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</si>
  <si>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</si>
  <si>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</si>
  <si>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</si>
  <si>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</si>
  <si>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</si>
  <si>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</si>
  <si>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</si>
  <si>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</si>
  <si>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</si>
  <si>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</si>
  <si>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</si>
  <si>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</si>
  <si>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</si>
  <si>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</si>
  <si>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</si>
  <si>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</si>
  <si>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</si>
  <si>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</si>
  <si>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</si>
  <si>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</si>
  <si>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</si>
  <si>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</si>
  <si>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</si>
  <si>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</si>
  <si>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</si>
  <si>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</si>
  <si>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</si>
  <si>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</si>
  <si>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</si>
  <si>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</si>
  <si>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</si>
  <si>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</si>
  <si>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</si>
  <si>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</si>
  <si>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</si>
  <si>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</si>
  <si>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</si>
  <si>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</si>
  <si>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</si>
  <si>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</si>
  <si>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</si>
  <si>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</si>
  <si>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</si>
  <si>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</si>
  <si>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</si>
  <si>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</si>
  <si>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</si>
  <si>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</si>
  <si>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</si>
  <si>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</si>
  <si>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</si>
  <si>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</si>
  <si>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</si>
  <si>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</si>
  <si>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</si>
  <si>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</si>
  <si>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</si>
  <si>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</si>
  <si>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</si>
  <si>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</si>
  <si>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</si>
  <si>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</si>
  <si>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</si>
  <si>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</si>
  <si>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</si>
  <si>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</si>
  <si>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</si>
  <si>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</si>
  <si>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</si>
  <si>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</si>
  <si>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</si>
  <si>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</si>
  <si>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</si>
  <si>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</si>
  <si>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</si>
  <si>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</si>
  <si>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</si>
  <si>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</si>
  <si>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</si>
  <si>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</si>
  <si>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</si>
  <si>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</si>
  <si>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</si>
  <si>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</si>
  <si>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</si>
  <si>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</si>
  <si>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</si>
  <si>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</si>
  <si>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</si>
  <si>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</si>
  <si>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</si>
  <si>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</si>
  <si>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</si>
  <si>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</si>
  <si>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</si>
  <si>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</si>
  <si>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</si>
  <si>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</si>
  <si>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</si>
  <si>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</si>
  <si>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</si>
  <si>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</si>
  <si>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</si>
  <si>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</si>
  <si>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</si>
  <si>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</si>
  <si>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</si>
  <si>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</si>
  <si>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</si>
  <si>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</si>
  <si>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</si>
  <si>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</si>
  <si>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</si>
  <si>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</si>
  <si>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</si>
  <si>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</si>
  <si>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</si>
  <si>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</si>
  <si>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</si>
  <si>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</si>
  <si>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</si>
  <si>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</si>
  <si>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</si>
  <si>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</si>
  <si>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</si>
  <si>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</si>
  <si>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</si>
  <si>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</si>
  <si>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</si>
  <si>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</si>
  <si>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</si>
  <si>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</si>
  <si>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</si>
  <si>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</si>
  <si>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</si>
  <si>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</si>
  <si>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</si>
  <si>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</si>
  <si>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</si>
  <si>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</si>
  <si>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</si>
  <si>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</si>
  <si>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</si>
  <si>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</si>
  <si>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</si>
  <si>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</si>
  <si>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</si>
  <si>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</si>
  <si>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</si>
  <si>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</si>
  <si>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</si>
  <si>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</si>
  <si>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</si>
  <si>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</si>
  <si>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</si>
  <si>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</si>
  <si>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</si>
  <si>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</si>
  <si>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</si>
  <si>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</si>
  <si>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</si>
  <si>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</si>
  <si>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</si>
  <si>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</si>
  <si>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</si>
  <si>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</si>
  <si>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</si>
  <si>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</si>
  <si>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</si>
  <si>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</si>
  <si>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</si>
  <si>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</si>
  <si>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</si>
  <si>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</si>
  <si>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</si>
  <si>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</si>
  <si>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</si>
  <si>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</si>
  <si>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</si>
  <si>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</si>
  <si>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</si>
  <si>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</si>
  <si>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</si>
  <si>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</si>
  <si>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</si>
  <si>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</si>
  <si>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</si>
  <si>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</si>
  <si>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</si>
  <si>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</si>
  <si>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</si>
  <si>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</si>
  <si>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</si>
  <si>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</si>
  <si>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</si>
  <si>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</si>
  <si>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</si>
  <si>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</si>
  <si>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</si>
  <si>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</si>
  <si>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</si>
  <si>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</si>
  <si>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</si>
  <si>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</si>
  <si>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</si>
  <si>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</si>
  <si>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</si>
  <si>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</si>
  <si>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</si>
  <si>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</si>
  <si>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</si>
  <si>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</si>
  <si>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</si>
  <si>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</si>
  <si>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</si>
  <si>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</si>
  <si>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</si>
  <si>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</si>
  <si>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</si>
  <si>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</si>
  <si>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</si>
  <si>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</si>
  <si>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</si>
  <si>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</si>
  <si>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</si>
  <si>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</si>
  <si>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</si>
  <si>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</si>
  <si>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</si>
  <si>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</si>
  <si>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</si>
  <si>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</si>
  <si>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</si>
  <si>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</si>
  <si>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</si>
  <si>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</si>
  <si>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</si>
  <si>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</si>
  <si>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</si>
  <si>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</si>
  <si>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</si>
  <si>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</si>
  <si>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</si>
  <si>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</si>
  <si>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</si>
  <si>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</si>
  <si>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</si>
  <si>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</si>
  <si>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</si>
  <si>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</si>
  <si>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</si>
  <si>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</si>
  <si>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</si>
  <si>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</si>
  <si>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</si>
  <si>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</si>
  <si>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</si>
  <si>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</si>
  <si>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</si>
  <si>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</si>
  <si>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</si>
  <si>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</si>
  <si>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</si>
  <si>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</si>
  <si>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</si>
  <si>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</si>
  <si>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</si>
  <si>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</si>
  <si>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</si>
  <si>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</si>
  <si>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</si>
  <si>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</si>
  <si>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</si>
  <si>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</si>
  <si>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</si>
  <si>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</si>
  <si>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</si>
  <si>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</si>
  <si>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</si>
  <si>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</si>
  <si>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</si>
  <si>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</si>
  <si>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</si>
  <si>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</si>
  <si>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</si>
  <si>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</si>
  <si>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</si>
  <si>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</si>
  <si>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</si>
  <si>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</si>
  <si>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</si>
  <si>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</si>
  <si>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</si>
  <si>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</si>
  <si>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</si>
  <si>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</si>
  <si>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</si>
  <si>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</si>
  <si>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</si>
  <si>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</si>
  <si>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</si>
  <si>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</si>
  <si>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</si>
  <si>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</si>
  <si>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</si>
  <si>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</si>
  <si>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</si>
  <si>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</si>
  <si>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</si>
  <si>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</si>
  <si>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</si>
  <si>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</si>
  <si>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</si>
  <si>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</si>
  <si>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</si>
  <si>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</si>
  <si>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</si>
  <si>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</si>
  <si>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</si>
  <si>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</si>
  <si>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</si>
  <si>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</si>
  <si>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</si>
  <si>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</si>
  <si>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</si>
  <si>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</si>
  <si>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</si>
  <si>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</si>
  <si>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</si>
  <si>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</si>
  <si>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</si>
  <si>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</si>
  <si>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</si>
  <si>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</si>
  <si>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</si>
  <si>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</si>
  <si>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</si>
  <si>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</si>
  <si>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</si>
  <si>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</si>
  <si>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</si>
  <si>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</si>
  <si>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</si>
  <si>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</si>
  <si>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</si>
  <si>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</si>
  <si>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</si>
  <si>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</si>
  <si>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</si>
  <si>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</si>
  <si>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</si>
  <si>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</si>
  <si>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</si>
  <si>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</si>
  <si>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</si>
  <si>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</si>
  <si>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</si>
  <si>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</si>
  <si>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</si>
  <si>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</si>
  <si>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</si>
  <si>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</si>
  <si>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</si>
  <si>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</si>
  <si>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</si>
  <si>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</si>
  <si>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</si>
  <si>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</si>
  <si>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</si>
  <si>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</si>
  <si>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</si>
  <si>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</si>
  <si>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</si>
  <si>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</si>
  <si>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</si>
  <si>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</si>
  <si>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</si>
  <si>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</si>
  <si>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</si>
  <si>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</si>
  <si>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</si>
  <si>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</si>
  <si>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</si>
  <si>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</si>
  <si>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</si>
  <si>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</si>
  <si>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</si>
  <si>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</si>
  <si>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</si>
  <si>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</si>
  <si>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</si>
  <si>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</si>
  <si>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</si>
  <si>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</si>
  <si>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</si>
  <si>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</si>
  <si>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</si>
  <si>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</si>
  <si>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</si>
  <si>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</si>
  <si>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</si>
  <si>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</si>
  <si>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</si>
  <si>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</si>
  <si>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</si>
  <si>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</si>
  <si>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</si>
  <si>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</si>
  <si>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</si>
  <si>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</si>
  <si>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</si>
  <si>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</si>
  <si>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</si>
  <si>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</si>
  <si>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</si>
  <si>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</si>
  <si>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</si>
  <si>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</si>
  <si>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</si>
  <si>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</si>
  <si>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</si>
  <si>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</si>
  <si>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</si>
  <si>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</si>
  <si>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</si>
  <si>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</si>
  <si>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</si>
  <si>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</si>
  <si>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</si>
  <si>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</si>
  <si>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</si>
  <si>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</si>
  <si>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</si>
  <si>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</si>
  <si>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</si>
  <si>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</si>
  <si>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</si>
  <si>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</si>
  <si>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</si>
  <si>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</si>
  <si>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</si>
  <si>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</si>
  <si>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</si>
  <si>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</si>
  <si>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</si>
  <si>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</si>
  <si>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</si>
  <si>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</si>
  <si>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</si>
  <si>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</si>
  <si>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</si>
  <si>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</si>
  <si>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</si>
  <si>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</si>
  <si>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</si>
  <si>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</si>
  <si>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</si>
  <si>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</si>
  <si>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</si>
  <si>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</si>
  <si>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</si>
  <si>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</si>
  <si>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</si>
  <si>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</si>
  <si>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</si>
  <si>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</si>
  <si>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</si>
  <si>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</si>
  <si>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</si>
  <si>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</si>
  <si>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</si>
  <si>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</si>
  <si>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</si>
  <si>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</si>
  <si>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</si>
  <si>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</si>
  <si>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</si>
  <si>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</si>
  <si>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</si>
  <si>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</si>
  <si>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</si>
  <si>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</si>
  <si>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</si>
  <si>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</si>
  <si>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</si>
  <si>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</si>
  <si>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</si>
  <si>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</si>
  <si>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</si>
  <si>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</si>
  <si>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Note 2:  Indirect Facilities &amp; Administration costs</t>
    </r>
    <r>
      <rPr>
        <b/>
        <vertAlign val="superscript"/>
        <sz val="9"/>
        <rFont val="Calibri"/>
        <family val="2"/>
      </rPr>
      <t>6</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</si>
  <si>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</si>
  <si>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</si>
  <si>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</si>
  <si>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</si>
  <si>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</si>
  <si>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</si>
  <si>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</si>
  <si>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</si>
  <si>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</si>
  <si>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</si>
  <si>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</si>
  <si>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</si>
  <si>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</si>
  <si>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</si>
  <si>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</si>
  <si>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</si>
  <si>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</si>
  <si>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</si>
  <si>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</si>
  <si>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</si>
  <si>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</si>
  <si>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</si>
  <si>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</si>
  <si>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</si>
  <si>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</si>
  <si>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</si>
  <si>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</si>
  <si>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</si>
  <si>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</si>
  <si>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</si>
  <si>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</si>
  <si>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</si>
  <si>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</si>
  <si>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</si>
  <si>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</si>
  <si>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</si>
  <si>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</si>
  <si>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</si>
  <si>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</si>
  <si>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</si>
  <si>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</si>
  <si>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</si>
  <si>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</si>
  <si>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</si>
  <si>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</si>
  <si>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</si>
  <si>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</si>
  <si>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</si>
  <si>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</si>
  <si>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</si>
  <si>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</si>
  <si>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</si>
  <si>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</si>
  <si>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</si>
  <si>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</si>
  <si>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</si>
  <si>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</si>
  <si>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</si>
  <si>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</si>
  <si>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</si>
  <si>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</si>
  <si>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</si>
  <si>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</si>
  <si>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</si>
  <si>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</si>
  <si>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</si>
  <si>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</si>
  <si>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</si>
  <si>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</si>
  <si>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</si>
  <si>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</si>
  <si>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</si>
  <si>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</si>
  <si>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</si>
  <si>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</si>
  <si>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</si>
  <si>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</si>
  <si>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</si>
  <si>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</si>
  <si>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</si>
  <si>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</si>
  <si>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</si>
  <si>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</si>
  <si>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</si>
  <si>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</si>
  <si>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</si>
  <si>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</si>
  <si>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</si>
  <si>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</si>
  <si>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</si>
  <si>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</si>
  <si>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</si>
  <si>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</si>
  <si>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</si>
  <si>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</si>
  <si>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</si>
  <si>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</si>
  <si>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</si>
  <si>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</si>
  <si>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</si>
  <si>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</si>
  <si>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</si>
  <si>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</si>
  <si>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</si>
  <si>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</si>
  <si>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</si>
  <si>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</si>
  <si>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</si>
  <si>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</si>
  <si>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</si>
  <si>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</si>
  <si>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</si>
  <si>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</si>
  <si>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</si>
  <si>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</si>
  <si>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</si>
  <si>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</si>
  <si>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</si>
  <si>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</si>
  <si>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</si>
  <si>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</si>
  <si>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</si>
  <si>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</si>
  <si>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</si>
  <si>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</si>
  <si>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</si>
  <si>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</si>
  <si>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</si>
  <si>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</si>
  <si>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</si>
  <si>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</si>
  <si>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</si>
  <si>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</si>
  <si>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</si>
  <si>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</si>
  <si>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</si>
  <si>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</si>
  <si>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</si>
  <si>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</si>
  <si>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</si>
  <si>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</si>
  <si>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</si>
  <si>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</si>
  <si>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</si>
  <si>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</si>
  <si>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</si>
  <si>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</si>
  <si>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</si>
  <si>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</si>
  <si>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</si>
  <si>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</si>
  <si>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</si>
  <si>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</si>
  <si>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</si>
  <si>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</si>
  <si>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</si>
  <si>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</si>
  <si>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</si>
  <si>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</si>
  <si>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</si>
  <si>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</si>
  <si>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</si>
  <si>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</si>
  <si>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</si>
  <si>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</si>
  <si>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</si>
  <si>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</si>
  <si>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</si>
  <si>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</si>
  <si>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</si>
  <si>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</si>
  <si>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</si>
  <si>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</si>
  <si>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</si>
  <si>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</si>
  <si>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</si>
  <si>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</si>
  <si>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</si>
  <si>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</si>
  <si>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</si>
  <si>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</si>
  <si>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</si>
  <si>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</si>
  <si>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</si>
  <si>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</si>
  <si>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</si>
  <si>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</si>
  <si>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</si>
  <si>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</si>
  <si>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</si>
  <si>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</si>
  <si>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</si>
  <si>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</si>
  <si>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</si>
  <si>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</si>
  <si>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</si>
  <si>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</si>
  <si>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</si>
  <si>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</si>
  <si>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</si>
  <si>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</si>
  <si>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</si>
  <si>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</si>
  <si>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</si>
  <si>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</si>
  <si>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</si>
  <si>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</si>
  <si>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</si>
  <si>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</si>
  <si>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</si>
  <si>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</si>
  <si>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</si>
  <si>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</si>
  <si>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</si>
  <si>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</si>
  <si>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</si>
  <si>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</si>
  <si>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</si>
  <si>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</si>
  <si>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</si>
  <si>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</si>
  <si>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</si>
  <si>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</si>
  <si>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</si>
  <si>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</si>
  <si>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</si>
  <si>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</si>
  <si>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</si>
  <si>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</si>
  <si>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</si>
  <si>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</si>
  <si>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</si>
  <si>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</si>
  <si>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</si>
  <si>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</si>
  <si>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</si>
  <si>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</si>
  <si>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</si>
  <si>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</si>
  <si>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</si>
  <si>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</si>
  <si>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</si>
  <si>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</si>
  <si>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</si>
  <si>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</si>
  <si>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</si>
  <si>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</si>
  <si>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</si>
  <si>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</si>
  <si>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</si>
  <si>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</si>
  <si>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</si>
  <si>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</si>
  <si>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</si>
  <si>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</si>
  <si>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</si>
  <si>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</si>
  <si>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</si>
  <si>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</si>
  <si>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</si>
  <si>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</si>
  <si>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</si>
  <si>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</si>
  <si>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</si>
  <si>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</si>
  <si>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</si>
  <si>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</si>
  <si>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</si>
  <si>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</si>
  <si>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</si>
  <si>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</si>
  <si>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</si>
  <si>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</si>
  <si>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</si>
  <si>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</si>
  <si>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</si>
  <si>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</si>
  <si>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</si>
  <si>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</si>
  <si>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</si>
  <si>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</si>
  <si>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</si>
  <si>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</si>
  <si>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</si>
  <si>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</si>
  <si>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</si>
  <si>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</si>
  <si>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</si>
  <si>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</si>
  <si>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</si>
  <si>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</si>
  <si>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</si>
  <si>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</si>
  <si>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</si>
  <si>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</si>
  <si>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</si>
  <si>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</si>
  <si>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</si>
  <si>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</si>
  <si>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</si>
  <si>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</si>
  <si>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</si>
  <si>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</si>
  <si>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</si>
  <si>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</si>
  <si>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</si>
  <si>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</si>
  <si>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</si>
  <si>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</si>
  <si>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</si>
  <si>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</si>
  <si>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</si>
  <si>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</si>
  <si>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</si>
  <si>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</si>
  <si>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</si>
  <si>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</si>
  <si>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Woodford</t>
  </si>
  <si>
    <t>97 West Fifth Street</t>
  </si>
  <si>
    <t>El Paso</t>
  </si>
  <si>
    <t>Brian.Kurz@unit11.org</t>
  </si>
  <si>
    <t>General Obligation School Bond Series 2015</t>
  </si>
  <si>
    <t>3,4</t>
  </si>
  <si>
    <t>General Obligation School Bond Series 2016A</t>
  </si>
  <si>
    <t>General Obligation School Bond Series 2016B</t>
  </si>
  <si>
    <t>1,4</t>
  </si>
  <si>
    <t>NO CONTRACTS</t>
  </si>
  <si>
    <t>Heartland Community College</t>
  </si>
  <si>
    <t>Regional Office of Superintendent</t>
  </si>
  <si>
    <t>Tri-County SPEA</t>
  </si>
  <si>
    <t>Bloomington CUSD #87</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</si>
  <si>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</si>
  <si>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</si>
  <si>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</si>
  <si>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</si>
  <si>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</si>
  <si>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</si>
  <si>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</si>
  <si>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</si>
  <si>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</si>
  <si>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</si>
  <si>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</si>
  <si>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</si>
  <si>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</si>
  <si>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</si>
  <si>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</si>
  <si>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</si>
  <si>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</si>
  <si>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</si>
  <si>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</si>
  <si>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</si>
  <si>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</si>
  <si>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</si>
  <si>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</si>
  <si>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</si>
  <si>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</si>
  <si>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</si>
  <si>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</si>
  <si>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</si>
  <si>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</si>
  <si>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</si>
  <si>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</si>
  <si>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</si>
  <si>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</si>
  <si>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</si>
  <si>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</si>
  <si>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</si>
  <si>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</si>
  <si>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7/1/18-6/30/19</t>
  </si>
  <si>
    <t>7/1/19-6/30/20</t>
  </si>
  <si>
    <t>N/A</t>
  </si>
  <si>
    <t>19-4210-00</t>
  </si>
  <si>
    <t>20-4210-00</t>
  </si>
  <si>
    <t>19-4215-00</t>
  </si>
  <si>
    <t>20-4215-00</t>
  </si>
  <si>
    <t>19-4220-00</t>
  </si>
  <si>
    <t>20-4220-00</t>
  </si>
  <si>
    <t>19-4300-00</t>
  </si>
  <si>
    <t>20-4300-00</t>
  </si>
  <si>
    <t>20-4331-20</t>
  </si>
  <si>
    <t>19-4331-19</t>
  </si>
  <si>
    <t>20-4600-00</t>
  </si>
  <si>
    <t>19-4932-00</t>
  </si>
  <si>
    <t>Title I - School Improvement &amp; Accountability</t>
  </si>
  <si>
    <t>20-4932-00</t>
  </si>
  <si>
    <t>20-4620-00</t>
  </si>
  <si>
    <t>U.S Department of Agriculture - Passed  through the Illinois State Board of Education</t>
  </si>
  <si>
    <t>U.S. Department of Education - Passed through the Illlinois State Board of Education</t>
  </si>
  <si>
    <t>Special Eduation Pre-School Flow Through  (M)</t>
  </si>
  <si>
    <t>Special Ed IDEA - Flow Through (M)</t>
  </si>
  <si>
    <t xml:space="preserve">   TRIO Cluster Total  (M)</t>
  </si>
  <si>
    <t xml:space="preserve">   Title I Total</t>
  </si>
  <si>
    <t>SEFA 1 Page Total</t>
  </si>
  <si>
    <t xml:space="preserve">     TOTAL FEDERAL EXPENDITURES</t>
  </si>
  <si>
    <t>84.010A</t>
  </si>
  <si>
    <t>84.173A</t>
  </si>
  <si>
    <t>84.027A</t>
  </si>
  <si>
    <t>84.367A</t>
  </si>
  <si>
    <t>Passed through Tri-County Special Education Association</t>
  </si>
  <si>
    <t xml:space="preserve">   SEFA 1 Page Total</t>
  </si>
  <si>
    <t>Value of Non-Cash Foods</t>
  </si>
  <si>
    <t xml:space="preserve">  Total USDA School Nutrition Program</t>
  </si>
  <si>
    <t>U.S. Dept of Defense - Fresh Fruits and Vegatables</t>
  </si>
  <si>
    <t xml:space="preserve">  Total School Nutrition Program</t>
  </si>
  <si>
    <t>53102011026A1</t>
  </si>
  <si>
    <t xml:space="preserve">   SEFA 1.2 Page Total</t>
  </si>
  <si>
    <t>The accompanying Schedule of Expenditures of Federal Awards includes the federal grant activity of El Paso-Gridley CUSD #11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</si>
  <si>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</si>
  <si>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t>
    </r>
    <r>
      <rPr>
        <b/>
        <sz val="9"/>
        <rFont val="Calibri"/>
        <family val="2"/>
      </rPr>
      <t>El Paso-Gridley CUSD #11</t>
    </r>
    <r>
      <rPr>
        <sz val="9"/>
        <rFont val="Calibri"/>
        <family val="2"/>
      </rPr>
      <t xml:space="preserve"> and is</t>
    </r>
    <r>
      <rPr>
        <sz val="9"/>
        <rFont val="Calibri"/>
        <family val="2"/>
      </rPr>
      <t xml:space="preserve"> included in the Schedule of Expenditures of Federal Awards:</t>
    </r>
  </si>
  <si>
    <t>Fresh Fruits and Vegetables</t>
  </si>
  <si>
    <t>Unmodified</t>
  </si>
  <si>
    <t>SEFA 1.1 Page Total</t>
  </si>
  <si>
    <t>84.173A,84.027A</t>
  </si>
  <si>
    <t>IDEA CLUSTER</t>
  </si>
  <si>
    <t>2020-</t>
  </si>
  <si>
    <t>We recommend the District provide training for personnel that will enable the proper completion of reconciliations on an regular recurring basis.  The District should also consider contracting for the services until personnel are properly trained to complete the  functions internally.</t>
  </si>
  <si>
    <t>Revenue and receipts should be recorded in the proper funds and accounts.</t>
  </si>
  <si>
    <t>Several errors occurred in recording revenue to the proper funds and accounts of the District.</t>
  </si>
  <si>
    <t xml:space="preserve">Property taxes, replacement taxes, program grants and aid received during the year were not properly classified by fund and revenue type. </t>
  </si>
  <si>
    <t>Management could not place reliance on the accounting records when reviewing the results of operations during the year.</t>
  </si>
  <si>
    <t xml:space="preserve">Personnel responsible for entering transactions in the accounting records were not properly trained and did not have the experience regarding school district accounting to properly identify the correct record of accounts. </t>
  </si>
  <si>
    <t>We recommend the District provide training for personnel that will enable the proper recording of transactions in the accounting records.</t>
  </si>
  <si>
    <t>Bank reconciliations prepared on the main accounts of the District were not properly reconciled and adjusted on a monthly basis.</t>
  </si>
  <si>
    <t>Bank accounts on the District's general ledger were not in balance with reconciliations during and at the end of the year and the District was unable to determine the cause.</t>
  </si>
  <si>
    <t>Personnel responsible for preparing monthly reconciliations did not have appropriate training and experience with the accounting system used by the District to enable them to identify transactions and make adjustments necessary to reconcile the District records with bank statements.</t>
  </si>
  <si>
    <t>Segregation of duties is a basic, key internal control used to ensure that errors or irregularities are prevented or detected on a timely basis by employees in the normal course of business. Management should assign responsibilities to ensure a crosscheck of duties whenever possible.</t>
  </si>
  <si>
    <t xml:space="preserve">We noted a general lack of segregation of incompatible duties because one person is responsible for various accounting duties.  </t>
  </si>
  <si>
    <t>Several errors in recording transactions resulted in misclassification of revenues and funds held on deposit in banks could not be reconciled with the District's records.</t>
  </si>
  <si>
    <t xml:space="preserve">Personnel responsible for entering transactions in the accounting records and reconciling bank accounts were not properly trained and did not have the experience regarding school district accounting to properly identify the correct record of accounts. </t>
  </si>
  <si>
    <t>2019-001</t>
  </si>
  <si>
    <t xml:space="preserve">Management has now reached full staffing, will provide training and professional development to staff, and will reconcile all accounts on a monthly basis. </t>
  </si>
  <si>
    <t>Of the federal expenditures presented in the schedule,El Paso-Gridley CUSD #11 provided federal awards to subrecipients as follows:</t>
  </si>
  <si>
    <t>Management reviewed the controls in place over separation of incompatible duties and determined it would require additional personnel to make any further separation. based on the size of the organization, and adding more controls would not be cost beneficial. We review the adequacy of the procedures for improvement on an ongoing basis.</t>
  </si>
  <si>
    <t xml:space="preserve"> Management reviewed the controls in place over separation of incompatible duties and determined it would require additional personnel to make any further separation. based on the size of the organization, and adding more controls would not be cost beneficial.We review the adequacy of the procedures for improvement on an ongoing basis.</t>
  </si>
  <si>
    <t>Reconciling the Distrct general ledger records with bank statements is necesssary to ensure that all receipts and disbursements are properly recorded, which is an essential process in ensuring complete and accurate financial statements. Accounts should be reconciled on a regular and recurring basis, usually monthly, and all unreconciled items should be investigated and adjusted, as applicable.</t>
  </si>
  <si>
    <t>Bank accounts were not properly reconciled on a monthly basis.</t>
  </si>
  <si>
    <t xml:space="preserve">   El Paso-Gridley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</si>
</sst>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5"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1.5"/>
      <color theme="1"/>
      <name val="Calibri"/>
      <family val="2"/>
      <scheme val="minor"/>
    </font>
    <font>
      <b/>
      <u/>
      <sz val="10"/>
      <color theme="1"/>
      <name val="Calibri"/>
      <family val="2"/>
      <scheme val="minor"/>
    </font>
    <font>
      <sz val="8"/>
      <color indexed="8"/>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sz val="8.5"/>
      <color theme="1"/>
      <name val="Calibri"/>
      <family val="2"/>
      <scheme val="minor"/>
    </font>
    <font>
      <b/>
      <sz val="20"/>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22"/>
      </top>
      <bottom style="thin">
        <color indexed="22"/>
      </bottom>
      <diagonal/>
    </border>
    <border>
      <left style="medium">
        <color indexed="64"/>
      </left>
      <right/>
      <top/>
      <bottom style="thin">
        <color indexed="64"/>
      </bottom>
      <diagonal/>
    </border>
    <border>
      <left/>
      <right style="medium">
        <color indexed="64"/>
      </right>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000000"/>
      </left>
      <right style="thin">
        <color rgb="FF000000"/>
      </right>
      <top style="thin">
        <color rgb="FF000000"/>
      </top>
      <bottom style="thin">
        <color rgb="FF000000"/>
      </bottom>
      <diagonal/>
    </border>
    <border>
      <left style="thin">
        <color theme="0" tint="-0.24994659260841701"/>
      </left>
      <right/>
      <top/>
      <bottom style="thin">
        <color indexed="22"/>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tint="-0.34998626667073579"/>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medium">
        <color indexed="64"/>
      </left>
      <right style="thin">
        <color rgb="FFC0C0C0"/>
      </right>
      <top style="thin">
        <color indexed="64"/>
      </top>
      <bottom style="thin">
        <color rgb="FFC0C0C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6"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643">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8"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131" xfId="19" applyFont="1" applyBorder="1" applyAlignment="1" applyProtection="1">
      <alignment vertical="center"/>
    </xf>
    <xf numFmtId="0" fontId="3" fillId="0" borderId="8" xfId="19" applyFont="1" applyBorder="1" applyAlignment="1" applyProtection="1">
      <alignment horizontal="left" vertical="center"/>
    </xf>
    <xf numFmtId="0" fontId="89" fillId="0" borderId="12" xfId="0" applyFont="1" applyFill="1" applyBorder="1" applyAlignment="1">
      <alignment horizontal="left" vertical="center"/>
    </xf>
    <xf numFmtId="0" fontId="90" fillId="0" borderId="0" xfId="0" applyFont="1" applyBorder="1"/>
    <xf numFmtId="0" fontId="90" fillId="0" borderId="12" xfId="0" applyFont="1" applyBorder="1" applyAlignment="1">
      <alignment horizontal="centerContinuous" vertical="center"/>
    </xf>
    <xf numFmtId="0" fontId="90" fillId="0" borderId="13" xfId="0" applyFont="1" applyBorder="1"/>
    <xf numFmtId="0" fontId="89" fillId="0" borderId="13" xfId="0" applyFont="1" applyBorder="1" applyAlignment="1">
      <alignment horizontal="left" vertical="center"/>
    </xf>
    <xf numFmtId="0" fontId="89" fillId="0" borderId="13" xfId="0" applyFont="1" applyBorder="1" applyAlignment="1">
      <alignment horizontal="center" vertical="center" wrapText="1"/>
    </xf>
    <xf numFmtId="0" fontId="90" fillId="0" borderId="0" xfId="0" applyFont="1" applyBorder="1" applyAlignment="1">
      <alignment horizontal="left"/>
    </xf>
    <xf numFmtId="0" fontId="89" fillId="0" borderId="0" xfId="0" applyFont="1" applyBorder="1"/>
    <xf numFmtId="49" fontId="90" fillId="0" borderId="0" xfId="0" applyNumberFormat="1" applyFont="1" applyBorder="1" applyAlignment="1">
      <alignment horizontal="left"/>
    </xf>
    <xf numFmtId="49" fontId="91" fillId="0" borderId="0" xfId="2" applyNumberFormat="1" applyFont="1" applyBorder="1" applyAlignment="1" applyProtection="1">
      <alignment horizontal="center"/>
    </xf>
    <xf numFmtId="49" fontId="90" fillId="0" borderId="0" xfId="0" applyNumberFormat="1" applyFont="1" applyBorder="1" applyAlignment="1">
      <alignment horizontal="center"/>
    </xf>
    <xf numFmtId="0" fontId="90" fillId="0" borderId="0" xfId="0" applyFont="1" applyBorder="1" applyAlignment="1">
      <alignment horizontal="left" indent="1"/>
    </xf>
    <xf numFmtId="0" fontId="89" fillId="0" borderId="0" xfId="0" applyFont="1" applyBorder="1" applyAlignment="1">
      <alignment horizontal="left"/>
    </xf>
    <xf numFmtId="0" fontId="90" fillId="0" borderId="0" xfId="0" applyFont="1" applyBorder="1" applyAlignment="1">
      <alignment horizontal="centerContinuous" vertical="center"/>
    </xf>
    <xf numFmtId="0" fontId="90" fillId="0" borderId="0" xfId="0" applyFont="1" applyBorder="1" applyAlignment="1">
      <alignment vertical="center"/>
    </xf>
    <xf numFmtId="0" fontId="92" fillId="0" borderId="0" xfId="2" applyFont="1" applyBorder="1" applyAlignment="1" applyProtection="1">
      <alignment horizontal="left" indent="2"/>
    </xf>
    <xf numFmtId="0" fontId="93" fillId="0" borderId="0" xfId="0" applyFont="1" applyBorder="1"/>
    <xf numFmtId="0" fontId="94" fillId="0" borderId="0" xfId="0" applyFont="1" applyBorder="1"/>
    <xf numFmtId="164" fontId="95" fillId="0" borderId="0" xfId="0" applyNumberFormat="1" applyFont="1" applyBorder="1" applyAlignment="1" applyProtection="1">
      <alignment vertical="center"/>
    </xf>
    <xf numFmtId="0" fontId="96" fillId="0" borderId="0" xfId="0" applyFont="1" applyBorder="1"/>
    <xf numFmtId="0" fontId="96" fillId="0" borderId="0" xfId="0" applyFont="1" applyBorder="1" applyAlignment="1" applyProtection="1">
      <alignment vertical="center"/>
    </xf>
    <xf numFmtId="0" fontId="90" fillId="0" borderId="0" xfId="0" applyFont="1" applyBorder="1" applyAlignment="1" applyProtection="1">
      <alignment horizontal="left" vertical="top"/>
      <protection locked="0"/>
    </xf>
    <xf numFmtId="0" fontId="90" fillId="0" borderId="0" xfId="0" applyFont="1" applyFill="1" applyBorder="1"/>
    <xf numFmtId="0" fontId="94" fillId="0" borderId="0" xfId="0" applyFont="1" applyBorder="1" applyAlignment="1">
      <alignment vertical="center"/>
    </xf>
    <xf numFmtId="49" fontId="90" fillId="0" borderId="0" xfId="0" applyNumberFormat="1" applyFont="1" applyBorder="1" applyAlignment="1">
      <alignment horizontal="center" vertical="center"/>
    </xf>
    <xf numFmtId="49" fontId="90" fillId="0" borderId="0" xfId="0" applyNumberFormat="1" applyFont="1" applyBorder="1" applyAlignment="1">
      <alignment vertical="center"/>
    </xf>
    <xf numFmtId="49" fontId="97" fillId="0" borderId="0" xfId="0" applyNumberFormat="1" applyFont="1" applyBorder="1" applyAlignment="1">
      <alignment horizontal="left" vertical="center"/>
    </xf>
    <xf numFmtId="49" fontId="90" fillId="0" borderId="0" xfId="0" applyNumberFormat="1" applyFont="1" applyBorder="1" applyAlignment="1">
      <alignment horizontal="left" indent="2"/>
    </xf>
    <xf numFmtId="49" fontId="90" fillId="0" borderId="0" xfId="0" applyNumberFormat="1" applyFont="1" applyBorder="1"/>
    <xf numFmtId="49" fontId="90" fillId="0" borderId="0" xfId="0" applyNumberFormat="1" applyFont="1" applyBorder="1" applyAlignment="1">
      <alignment horizontal="left" indent="1"/>
    </xf>
    <xf numFmtId="49" fontId="92" fillId="0" borderId="0" xfId="2" applyNumberFormat="1" applyFont="1" applyBorder="1" applyAlignment="1" applyProtection="1">
      <alignment horizontal="left" indent="1"/>
    </xf>
    <xf numFmtId="49" fontId="90" fillId="0" borderId="0" xfId="0" applyNumberFormat="1" applyFont="1" applyFill="1" applyBorder="1" applyAlignment="1">
      <alignment horizontal="left" indent="1"/>
    </xf>
    <xf numFmtId="49" fontId="90" fillId="0" borderId="0" xfId="0" applyNumberFormat="1" applyFont="1" applyFill="1" applyBorder="1" applyAlignment="1">
      <alignment horizontal="left" indent="2"/>
    </xf>
    <xf numFmtId="49" fontId="90" fillId="0" borderId="0" xfId="0" applyNumberFormat="1" applyFont="1" applyFill="1" applyBorder="1" applyAlignment="1">
      <alignment horizontal="left" indent="3"/>
    </xf>
    <xf numFmtId="49" fontId="98" fillId="0" borderId="0" xfId="0" applyNumberFormat="1" applyFont="1" applyBorder="1" applyAlignment="1">
      <alignment horizontal="left" indent="2"/>
    </xf>
    <xf numFmtId="49" fontId="99" fillId="0" borderId="0" xfId="0" applyNumberFormat="1" applyFont="1" applyBorder="1" applyAlignment="1">
      <alignment horizontal="left" indent="5"/>
    </xf>
    <xf numFmtId="49" fontId="99" fillId="0" borderId="0" xfId="0" applyNumberFormat="1" applyFont="1" applyBorder="1" applyAlignment="1">
      <alignment horizontal="left" indent="3"/>
    </xf>
    <xf numFmtId="49" fontId="100" fillId="0" borderId="0" xfId="0" applyNumberFormat="1" applyFont="1" applyBorder="1" applyAlignment="1">
      <alignment horizontal="left"/>
    </xf>
    <xf numFmtId="49" fontId="92" fillId="0" borderId="0" xfId="2" applyNumberFormat="1" applyFont="1" applyBorder="1" applyAlignment="1" applyProtection="1">
      <alignment horizontal="left" indent="3"/>
    </xf>
    <xf numFmtId="49" fontId="90" fillId="0" borderId="0" xfId="0" applyNumberFormat="1" applyFont="1" applyFill="1" applyBorder="1"/>
    <xf numFmtId="49" fontId="92" fillId="0" borderId="0" xfId="2" applyNumberFormat="1" applyFont="1" applyBorder="1" applyAlignment="1" applyProtection="1">
      <alignment horizontal="left" indent="2"/>
    </xf>
    <xf numFmtId="0" fontId="96" fillId="0" borderId="0" xfId="0" applyFont="1" applyBorder="1" applyProtection="1"/>
    <xf numFmtId="0" fontId="96" fillId="0" borderId="0" xfId="0" applyFont="1" applyBorder="1" applyAlignment="1" applyProtection="1">
      <alignment horizontal="left"/>
    </xf>
    <xf numFmtId="164" fontId="94" fillId="0" borderId="0" xfId="0" applyNumberFormat="1" applyFont="1" applyBorder="1" applyAlignment="1" applyProtection="1">
      <alignment horizontal="left"/>
    </xf>
    <xf numFmtId="0" fontId="96" fillId="0" borderId="0" xfId="0" applyFont="1" applyBorder="1" applyAlignment="1" applyProtection="1">
      <alignment horizontal="center" vertical="top" textRotation="180"/>
    </xf>
    <xf numFmtId="0" fontId="96" fillId="0" borderId="0" xfId="0" applyFont="1" applyBorder="1" applyAlignment="1" applyProtection="1"/>
    <xf numFmtId="0" fontId="101" fillId="0" borderId="0" xfId="0" applyFont="1" applyBorder="1" applyAlignment="1" applyProtection="1">
      <alignment horizontal="centerContinuous" vertical="center"/>
    </xf>
    <xf numFmtId="164" fontId="95" fillId="0" borderId="0" xfId="0" applyNumberFormat="1" applyFont="1" applyBorder="1" applyAlignment="1" applyProtection="1">
      <alignment horizontal="left" vertical="center"/>
    </xf>
    <xf numFmtId="0" fontId="90" fillId="0" borderId="0" xfId="0" applyFont="1" applyBorder="1" applyAlignment="1" applyProtection="1">
      <alignment horizontal="left" vertical="center"/>
    </xf>
    <xf numFmtId="0" fontId="96" fillId="0" borderId="0" xfId="0" applyFont="1" applyBorder="1" applyAlignment="1"/>
    <xf numFmtId="0" fontId="101" fillId="0" borderId="0" xfId="0" applyFont="1" applyBorder="1" applyAlignment="1" applyProtection="1">
      <alignment horizontal="center" vertical="center"/>
    </xf>
    <xf numFmtId="0" fontId="94" fillId="0" borderId="0" xfId="0" applyFont="1" applyBorder="1" applyAlignment="1">
      <alignment horizontal="left" vertical="top"/>
    </xf>
    <xf numFmtId="164" fontId="94" fillId="0" borderId="0" xfId="0" applyNumberFormat="1" applyFont="1" applyBorder="1" applyAlignment="1">
      <alignment horizontal="left" vertical="top"/>
    </xf>
    <xf numFmtId="0" fontId="102" fillId="0" borderId="0" xfId="0" applyFont="1" applyBorder="1" applyAlignment="1" applyProtection="1">
      <alignment horizontal="left" vertical="center"/>
    </xf>
    <xf numFmtId="0" fontId="103" fillId="0" borderId="0" xfId="0" applyFont="1" applyBorder="1" applyAlignment="1">
      <alignment horizontal="left" vertical="top"/>
    </xf>
    <xf numFmtId="0" fontId="90" fillId="0" borderId="0" xfId="0" applyFont="1" applyBorder="1" applyProtection="1"/>
    <xf numFmtId="0" fontId="90" fillId="0" borderId="0" xfId="0" applyFont="1" applyBorder="1" applyAlignment="1" applyProtection="1">
      <alignment horizontal="left"/>
    </xf>
    <xf numFmtId="0" fontId="94" fillId="0" borderId="0" xfId="0" applyFont="1" applyBorder="1" applyProtection="1"/>
    <xf numFmtId="0" fontId="89" fillId="0" borderId="0" xfId="0" applyFont="1" applyBorder="1" applyAlignment="1" applyProtection="1">
      <alignment horizontal="center" vertical="center"/>
    </xf>
    <xf numFmtId="164" fontId="89" fillId="0" borderId="2" xfId="0" applyNumberFormat="1" applyFont="1" applyBorder="1" applyAlignment="1" applyProtection="1">
      <alignment horizontal="center" vertical="center"/>
      <protection locked="0"/>
    </xf>
    <xf numFmtId="0" fontId="94" fillId="0" borderId="0" xfId="0" applyFont="1" applyBorder="1" applyAlignment="1">
      <alignment horizontal="left" vertical="center"/>
    </xf>
    <xf numFmtId="0" fontId="90" fillId="0" borderId="0" xfId="0" applyFont="1" applyBorder="1" applyAlignment="1" applyProtection="1">
      <alignment vertical="center"/>
    </xf>
    <xf numFmtId="164" fontId="95" fillId="0" borderId="0" xfId="0" applyNumberFormat="1" applyFont="1" applyBorder="1" applyAlignment="1" applyProtection="1">
      <alignment horizontal="right" vertical="center"/>
    </xf>
    <xf numFmtId="164" fontId="94" fillId="0" borderId="0" xfId="0" applyNumberFormat="1" applyFont="1" applyBorder="1" applyAlignment="1" applyProtection="1">
      <alignment vertical="center"/>
    </xf>
    <xf numFmtId="0" fontId="94" fillId="0" borderId="0" xfId="0" applyFont="1" applyBorder="1" applyAlignment="1" applyProtection="1">
      <alignment horizontal="left" vertical="center" indent="1"/>
    </xf>
    <xf numFmtId="0" fontId="89" fillId="0" borderId="2" xfId="0" applyFont="1" applyBorder="1" applyAlignment="1" applyProtection="1">
      <alignment horizontal="center" vertical="center"/>
      <protection locked="0"/>
    </xf>
    <xf numFmtId="164" fontId="95" fillId="0" borderId="0" xfId="0" applyNumberFormat="1" applyFont="1" applyBorder="1" applyAlignment="1" applyProtection="1">
      <alignment horizontal="right" vertical="center" wrapText="1"/>
    </xf>
    <xf numFmtId="164" fontId="94" fillId="0" borderId="0" xfId="0" applyNumberFormat="1" applyFont="1" applyBorder="1" applyAlignment="1">
      <alignment horizontal="left" vertical="center"/>
    </xf>
    <xf numFmtId="0" fontId="89" fillId="0" borderId="0" xfId="0" applyFont="1" applyBorder="1" applyAlignment="1" applyProtection="1">
      <alignment horizontal="left" vertical="center"/>
    </xf>
    <xf numFmtId="164" fontId="104" fillId="0" borderId="0" xfId="0" applyNumberFormat="1" applyFont="1" applyBorder="1" applyAlignment="1" applyProtection="1">
      <alignment horizontal="left" vertical="center" indent="1"/>
    </xf>
    <xf numFmtId="0" fontId="94" fillId="0" borderId="0" xfId="0" applyFont="1" applyAlignment="1">
      <alignment horizontal="left" vertical="center"/>
    </xf>
    <xf numFmtId="0" fontId="94" fillId="0" borderId="0" xfId="0" applyFont="1" applyAlignment="1">
      <alignment horizontal="left" vertical="center" indent="1"/>
    </xf>
    <xf numFmtId="0" fontId="104" fillId="0" borderId="0" xfId="0" applyFont="1" applyAlignment="1">
      <alignment horizontal="left" vertical="center" indent="1"/>
    </xf>
    <xf numFmtId="0" fontId="89" fillId="0" borderId="14" xfId="0" applyFont="1" applyBorder="1" applyAlignment="1" applyProtection="1">
      <alignment horizontal="center" vertical="center"/>
      <protection locked="0"/>
    </xf>
    <xf numFmtId="0" fontId="94" fillId="0" borderId="0" xfId="0" applyFont="1" applyBorder="1" applyAlignment="1">
      <alignment horizontal="left" vertical="center" indent="1"/>
    </xf>
    <xf numFmtId="0" fontId="89" fillId="0" borderId="0" xfId="0" applyFont="1" applyBorder="1" applyAlignment="1" applyProtection="1">
      <alignment horizontal="center" vertical="center"/>
      <protection locked="0"/>
    </xf>
    <xf numFmtId="0" fontId="94" fillId="0" borderId="0" xfId="0" applyFont="1" applyBorder="1" applyAlignment="1" applyProtection="1">
      <alignment vertical="center"/>
    </xf>
    <xf numFmtId="0" fontId="104" fillId="0" borderId="0" xfId="0" applyFont="1" applyAlignment="1">
      <alignment horizontal="left" vertical="center"/>
    </xf>
    <xf numFmtId="0" fontId="94" fillId="0" borderId="0" xfId="0" applyFont="1" applyBorder="1" applyAlignment="1" applyProtection="1">
      <alignment horizontal="left" vertical="top"/>
    </xf>
    <xf numFmtId="0" fontId="94" fillId="0" borderId="0" xfId="0" applyFont="1" applyBorder="1" applyAlignment="1" applyProtection="1">
      <alignment horizontal="left" vertical="top" indent="1"/>
    </xf>
    <xf numFmtId="0" fontId="104" fillId="0" borderId="0" xfId="0" applyFont="1" applyBorder="1" applyAlignment="1" applyProtection="1">
      <alignment horizontal="left" vertical="top" indent="1"/>
    </xf>
    <xf numFmtId="0" fontId="94" fillId="0" borderId="0" xfId="0" applyFont="1" applyAlignment="1">
      <alignment vertical="top"/>
    </xf>
    <xf numFmtId="0" fontId="94" fillId="0" borderId="0" xfId="0" applyFont="1" applyBorder="1" applyAlignment="1" applyProtection="1">
      <alignment vertical="top"/>
    </xf>
    <xf numFmtId="0" fontId="105" fillId="0" borderId="2" xfId="0" applyFont="1" applyBorder="1" applyAlignment="1" applyProtection="1">
      <alignment horizontal="center"/>
      <protection locked="0"/>
    </xf>
    <xf numFmtId="164" fontId="95" fillId="0" borderId="0" xfId="0" applyNumberFormat="1" applyFont="1" applyBorder="1" applyAlignment="1" applyProtection="1">
      <alignment horizontal="right"/>
    </xf>
    <xf numFmtId="0" fontId="96" fillId="0" borderId="14" xfId="0" applyFont="1" applyBorder="1" applyAlignment="1" applyProtection="1">
      <alignment horizontal="left"/>
    </xf>
    <xf numFmtId="0" fontId="94" fillId="0" borderId="0" xfId="0" applyFont="1" applyBorder="1" applyAlignment="1" applyProtection="1">
      <alignment horizontal="left" vertical="center"/>
    </xf>
    <xf numFmtId="0" fontId="96" fillId="0" borderId="0" xfId="0" applyFont="1" applyBorder="1" applyAlignment="1" applyProtection="1">
      <alignment horizontal="left" vertical="center"/>
    </xf>
    <xf numFmtId="14" fontId="90" fillId="0" borderId="0" xfId="0" applyNumberFormat="1" applyFont="1" applyBorder="1" applyAlignment="1" applyProtection="1">
      <alignment horizontal="center" vertical="center"/>
    </xf>
    <xf numFmtId="14" fontId="105" fillId="0" borderId="15" xfId="0" applyNumberFormat="1" applyFont="1" applyBorder="1" applyAlignment="1" applyProtection="1">
      <alignment horizontal="center" vertical="center"/>
      <protection locked="0"/>
    </xf>
    <xf numFmtId="0" fontId="106" fillId="0" borderId="0" xfId="0" applyFont="1" applyAlignment="1">
      <alignment horizontal="left" vertical="center"/>
    </xf>
    <xf numFmtId="0" fontId="96" fillId="0" borderId="0" xfId="0" applyFont="1" applyAlignment="1">
      <alignment horizontal="left" vertical="center"/>
    </xf>
    <xf numFmtId="0" fontId="102" fillId="0" borderId="0" xfId="0" applyFont="1" applyBorder="1" applyAlignment="1" applyProtection="1">
      <alignment horizontal="left" vertical="center" wrapText="1"/>
    </xf>
    <xf numFmtId="0" fontId="89" fillId="0" borderId="0" xfId="0" applyFont="1" applyBorder="1" applyAlignment="1" applyProtection="1">
      <alignment horizontal="center" vertical="center" wrapText="1"/>
    </xf>
    <xf numFmtId="0" fontId="90" fillId="0" borderId="0" xfId="0" applyFont="1" applyBorder="1" applyAlignment="1" applyProtection="1">
      <alignment horizontal="left" vertical="top"/>
    </xf>
    <xf numFmtId="0" fontId="96" fillId="0" borderId="0" xfId="0" applyFont="1" applyBorder="1" applyAlignment="1">
      <alignment horizontal="left" vertical="top"/>
    </xf>
    <xf numFmtId="0" fontId="96" fillId="0" borderId="0" xfId="0" applyFont="1" applyBorder="1" applyAlignment="1">
      <alignment horizontal="center" vertical="top"/>
    </xf>
    <xf numFmtId="0" fontId="94" fillId="0" borderId="0" xfId="0" applyFont="1" applyAlignment="1">
      <alignment horizontal="left"/>
    </xf>
    <xf numFmtId="0" fontId="94" fillId="0" borderId="0" xfId="0" applyFont="1"/>
    <xf numFmtId="0" fontId="96" fillId="0" borderId="0" xfId="0" applyFont="1" applyBorder="1" applyAlignment="1" applyProtection="1">
      <alignment horizontal="right" vertical="center"/>
    </xf>
    <xf numFmtId="14" fontId="96" fillId="0" borderId="132" xfId="0" applyNumberFormat="1" applyFont="1" applyBorder="1" applyAlignment="1" applyProtection="1">
      <alignment vertical="center"/>
      <protection locked="0"/>
    </xf>
    <xf numFmtId="164" fontId="89" fillId="0" borderId="0" xfId="0" applyNumberFormat="1" applyFont="1" applyBorder="1" applyAlignment="1" applyProtection="1">
      <alignment horizontal="center" vertical="center"/>
    </xf>
    <xf numFmtId="0" fontId="107" fillId="9" borderId="133" xfId="0" applyFont="1" applyFill="1" applyBorder="1" applyAlignment="1">
      <alignment horizontal="center" vertical="center"/>
    </xf>
    <xf numFmtId="0" fontId="107" fillId="9" borderId="134" xfId="0" applyFont="1" applyFill="1" applyBorder="1" applyAlignment="1">
      <alignment horizontal="center" vertical="center"/>
    </xf>
    <xf numFmtId="0" fontId="89" fillId="10" borderId="135" xfId="0" applyFont="1" applyFill="1" applyBorder="1" applyAlignment="1" applyProtection="1">
      <alignment horizontal="left" vertical="center"/>
    </xf>
    <xf numFmtId="164" fontId="89" fillId="10" borderId="135" xfId="0" applyNumberFormat="1" applyFont="1" applyFill="1" applyBorder="1" applyAlignment="1" applyProtection="1">
      <alignment horizontal="center" vertical="center"/>
    </xf>
    <xf numFmtId="164" fontId="95" fillId="10" borderId="135" xfId="0" applyNumberFormat="1" applyFont="1" applyFill="1" applyBorder="1" applyAlignment="1" applyProtection="1">
      <alignment vertical="center"/>
    </xf>
    <xf numFmtId="0" fontId="108" fillId="11" borderId="136" xfId="0" applyFont="1" applyFill="1" applyBorder="1" applyAlignment="1">
      <alignment horizontal="left" vertical="center"/>
    </xf>
    <xf numFmtId="38" fontId="109" fillId="11" borderId="137" xfId="0" applyNumberFormat="1" applyFont="1" applyFill="1" applyBorder="1" applyAlignment="1">
      <alignment horizontal="right"/>
    </xf>
    <xf numFmtId="38" fontId="109" fillId="11" borderId="138" xfId="0" applyNumberFormat="1" applyFont="1" applyFill="1" applyBorder="1" applyAlignment="1">
      <alignment horizontal="right"/>
    </xf>
    <xf numFmtId="0" fontId="89" fillId="10" borderId="138" xfId="0" applyFont="1" applyFill="1" applyBorder="1" applyAlignment="1" applyProtection="1">
      <alignment horizontal="center" vertical="center"/>
    </xf>
    <xf numFmtId="164" fontId="89" fillId="10" borderId="138" xfId="0" applyNumberFormat="1" applyFont="1" applyFill="1" applyBorder="1" applyAlignment="1" applyProtection="1">
      <alignment horizontal="center" vertical="center"/>
    </xf>
    <xf numFmtId="164" fontId="95" fillId="10" borderId="138" xfId="0" applyNumberFormat="1" applyFont="1" applyFill="1" applyBorder="1" applyAlignment="1" applyProtection="1">
      <alignment vertical="center"/>
    </xf>
    <xf numFmtId="0" fontId="108" fillId="11" borderId="137" xfId="0" applyFont="1" applyFill="1" applyBorder="1" applyAlignment="1">
      <alignment horizontal="left" vertical="center"/>
    </xf>
    <xf numFmtId="0" fontId="89" fillId="10" borderId="0" xfId="0" applyFont="1" applyFill="1" applyBorder="1" applyAlignment="1" applyProtection="1">
      <alignment horizontal="left" vertical="center"/>
    </xf>
    <xf numFmtId="164" fontId="89" fillId="10" borderId="0" xfId="0" applyNumberFormat="1" applyFont="1" applyFill="1" applyBorder="1" applyAlignment="1" applyProtection="1">
      <alignment horizontal="center" vertical="center"/>
    </xf>
    <xf numFmtId="164" fontId="95" fillId="10" borderId="0" xfId="0" applyNumberFormat="1" applyFont="1" applyFill="1" applyBorder="1" applyAlignment="1" applyProtection="1">
      <alignment vertical="center"/>
    </xf>
    <xf numFmtId="0" fontId="108" fillId="11" borderId="139" xfId="0" applyFont="1" applyFill="1" applyBorder="1" applyAlignment="1">
      <alignment horizontal="left" vertical="center"/>
    </xf>
    <xf numFmtId="1" fontId="90" fillId="0" borderId="0" xfId="0" applyNumberFormat="1" applyFont="1" applyBorder="1" applyAlignment="1" applyProtection="1">
      <alignment horizontal="center" vertical="center"/>
    </xf>
    <xf numFmtId="0" fontId="96" fillId="0" borderId="0" xfId="0" applyFont="1" applyBorder="1" applyAlignment="1" applyProtection="1">
      <alignment horizontal="center" vertical="center"/>
    </xf>
    <xf numFmtId="164" fontId="90"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6" fillId="0" borderId="0" xfId="4" applyFont="1" applyAlignment="1">
      <alignment horizontal="left" vertical="center"/>
    </xf>
    <xf numFmtId="0" fontId="95" fillId="0" borderId="0" xfId="4" applyFont="1" applyBorder="1" applyAlignment="1" applyProtection="1">
      <alignment horizontal="left" vertical="center"/>
    </xf>
    <xf numFmtId="0" fontId="96" fillId="0" borderId="0" xfId="4" applyFont="1" applyBorder="1" applyAlignment="1" applyProtection="1">
      <alignment horizontal="right" vertical="center"/>
    </xf>
    <xf numFmtId="1" fontId="90" fillId="0" borderId="0" xfId="4" applyNumberFormat="1" applyFont="1" applyBorder="1" applyAlignment="1" applyProtection="1">
      <alignment horizontal="center" vertical="center"/>
    </xf>
    <xf numFmtId="0" fontId="96" fillId="0" borderId="0" xfId="4" applyFont="1" applyBorder="1" applyAlignment="1" applyProtection="1">
      <alignment vertical="center"/>
    </xf>
    <xf numFmtId="0" fontId="96" fillId="0" borderId="0" xfId="4" applyFont="1" applyBorder="1" applyAlignment="1" applyProtection="1">
      <alignment horizontal="center" vertical="center"/>
    </xf>
    <xf numFmtId="0" fontId="96" fillId="0" borderId="0" xfId="4" applyNumberFormat="1" applyFont="1" applyBorder="1" applyAlignment="1" applyProtection="1">
      <alignment vertical="center"/>
    </xf>
    <xf numFmtId="0" fontId="94" fillId="0" borderId="0" xfId="4" applyFont="1" applyBorder="1" applyAlignment="1">
      <alignment horizontal="left" indent="1"/>
    </xf>
    <xf numFmtId="0" fontId="90" fillId="0" borderId="0" xfId="4" applyFont="1" applyBorder="1"/>
    <xf numFmtId="164" fontId="95" fillId="0" borderId="0" xfId="4" applyNumberFormat="1" applyFont="1" applyBorder="1" applyAlignment="1" applyProtection="1">
      <alignment vertical="center"/>
    </xf>
    <xf numFmtId="0" fontId="96" fillId="0" borderId="0" xfId="4" applyFont="1" applyBorder="1"/>
    <xf numFmtId="0" fontId="90" fillId="0" borderId="0" xfId="4" applyFont="1" applyBorder="1" applyAlignment="1" applyProtection="1">
      <alignment horizontal="left" vertical="top"/>
    </xf>
    <xf numFmtId="0" fontId="94" fillId="0" borderId="0" xfId="4" applyFont="1" applyBorder="1"/>
    <xf numFmtId="0" fontId="89" fillId="0" borderId="0" xfId="4" applyFont="1" applyBorder="1" applyAlignment="1" applyProtection="1">
      <alignment horizontal="center" vertical="center"/>
    </xf>
    <xf numFmtId="164" fontId="95" fillId="0" borderId="0" xfId="4" applyNumberFormat="1" applyFont="1" applyBorder="1" applyAlignment="1" applyProtection="1">
      <alignment horizontal="right" vertical="center"/>
    </xf>
    <xf numFmtId="0" fontId="110" fillId="0" borderId="0" xfId="4" applyFont="1" applyBorder="1"/>
    <xf numFmtId="0" fontId="96" fillId="0" borderId="0" xfId="4" applyFont="1"/>
    <xf numFmtId="0" fontId="96" fillId="0" borderId="0" xfId="4" applyFont="1" applyProtection="1"/>
    <xf numFmtId="0" fontId="104" fillId="0" borderId="0" xfId="4" applyFont="1" applyBorder="1"/>
    <xf numFmtId="0" fontId="104" fillId="0" borderId="0" xfId="4" applyFont="1" applyBorder="1" applyAlignment="1">
      <alignment horizontal="center" vertical="top"/>
    </xf>
    <xf numFmtId="171" fontId="96" fillId="0" borderId="0" xfId="4" applyNumberFormat="1" applyFont="1" applyBorder="1" applyAlignment="1" applyProtection="1">
      <alignment horizontal="center" vertical="center"/>
    </xf>
    <xf numFmtId="0" fontId="104" fillId="0" borderId="0" xfId="4" applyFont="1" applyBorder="1" applyAlignment="1">
      <alignment horizontal="center"/>
    </xf>
    <xf numFmtId="0" fontId="96" fillId="0" borderId="0" xfId="4" applyFont="1" applyBorder="1" applyProtection="1"/>
    <xf numFmtId="0" fontId="96" fillId="0" borderId="0" xfId="4" applyFont="1" applyProtection="1">
      <protection locked="0"/>
    </xf>
    <xf numFmtId="0" fontId="96" fillId="0" borderId="0" xfId="4" applyFont="1" applyBorder="1" applyProtection="1">
      <protection locked="0"/>
    </xf>
    <xf numFmtId="0" fontId="96" fillId="0" borderId="0" xfId="4" applyFont="1" applyBorder="1" applyAlignment="1">
      <alignment horizontal="center" vertical="center"/>
    </xf>
    <xf numFmtId="164" fontId="94" fillId="0" borderId="0" xfId="4" applyNumberFormat="1" applyFont="1" applyBorder="1"/>
    <xf numFmtId="0" fontId="104" fillId="0" borderId="16" xfId="4" applyFont="1" applyBorder="1" applyAlignment="1">
      <alignment horizontal="center"/>
    </xf>
    <xf numFmtId="0" fontId="90" fillId="0" borderId="0" xfId="4" applyFont="1" applyBorder="1" applyProtection="1"/>
    <xf numFmtId="0" fontId="96" fillId="0" borderId="0" xfId="0" applyFont="1"/>
    <xf numFmtId="0" fontId="104" fillId="0" borderId="0" xfId="0" applyFont="1" applyBorder="1"/>
    <xf numFmtId="0" fontId="104" fillId="0" borderId="0" xfId="0" applyFont="1" applyBorder="1" applyAlignment="1">
      <alignment horizontal="left" vertical="top" wrapText="1"/>
    </xf>
    <xf numFmtId="0" fontId="104" fillId="0" borderId="0" xfId="0" applyFont="1" applyBorder="1" applyAlignment="1">
      <alignment horizontal="center"/>
    </xf>
    <xf numFmtId="0" fontId="104" fillId="0" borderId="0" xfId="0" applyFont="1" applyBorder="1" applyAlignment="1" applyProtection="1">
      <alignment horizontal="center" vertical="top"/>
    </xf>
    <xf numFmtId="0" fontId="96" fillId="0" borderId="0" xfId="0" applyFont="1" applyBorder="1" applyAlignment="1">
      <alignment horizontal="center" vertical="center"/>
    </xf>
    <xf numFmtId="164" fontId="94" fillId="0" borderId="0" xfId="0" applyNumberFormat="1" applyFont="1" applyBorder="1"/>
    <xf numFmtId="0" fontId="89" fillId="0" borderId="0" xfId="0" applyFont="1" applyBorder="1" applyAlignment="1" applyProtection="1">
      <alignment horizontal="center"/>
    </xf>
    <xf numFmtId="0" fontId="104" fillId="0" borderId="0" xfId="0" applyFont="1" applyBorder="1" applyAlignment="1">
      <alignment horizontal="center" vertical="top"/>
    </xf>
    <xf numFmtId="171" fontId="96" fillId="0" borderId="0" xfId="0" applyNumberFormat="1" applyFont="1" applyBorder="1" applyAlignment="1" applyProtection="1">
      <alignment horizontal="center" vertical="center"/>
    </xf>
    <xf numFmtId="164" fontId="94" fillId="0" borderId="0" xfId="0" applyNumberFormat="1" applyFont="1" applyBorder="1" applyProtection="1"/>
    <xf numFmtId="0" fontId="111" fillId="0" borderId="0" xfId="0" applyFont="1" applyBorder="1" applyAlignment="1">
      <alignment horizontal="left" vertical="top" wrapText="1"/>
    </xf>
    <xf numFmtId="166" fontId="96" fillId="0" borderId="0" xfId="0" applyNumberFormat="1" applyFont="1" applyBorder="1" applyAlignment="1" applyProtection="1">
      <alignment horizontal="left" vertical="center"/>
    </xf>
    <xf numFmtId="164" fontId="94" fillId="0" borderId="0" xfId="0" applyNumberFormat="1" applyFont="1" applyBorder="1" applyAlignment="1" applyProtection="1">
      <alignment horizontal="left" vertical="center"/>
    </xf>
    <xf numFmtId="0" fontId="96" fillId="0" borderId="0" xfId="0" applyFont="1" applyAlignment="1">
      <alignment vertical="center"/>
    </xf>
    <xf numFmtId="0" fontId="95" fillId="0" borderId="0" xfId="0" applyFont="1" applyBorder="1" applyAlignment="1" applyProtection="1">
      <alignment vertical="center"/>
    </xf>
    <xf numFmtId="0" fontId="90" fillId="0" borderId="0" xfId="4" applyFont="1" applyBorder="1" applyAlignment="1">
      <alignment horizontal="left" indent="1"/>
    </xf>
    <xf numFmtId="0" fontId="100" fillId="0" borderId="0" xfId="0" applyFont="1" applyBorder="1" applyAlignment="1" applyProtection="1">
      <alignment horizontal="center" vertical="center"/>
    </xf>
    <xf numFmtId="0" fontId="90" fillId="0" borderId="0" xfId="0" applyFont="1" applyAlignment="1" applyProtection="1">
      <alignment vertical="center"/>
    </xf>
    <xf numFmtId="0" fontId="112" fillId="0" borderId="0" xfId="0" applyFont="1" applyBorder="1" applyAlignment="1" applyProtection="1">
      <alignment horizontal="left" vertical="center"/>
    </xf>
    <xf numFmtId="0" fontId="89" fillId="0" borderId="0" xfId="0" applyFont="1" applyBorder="1" applyAlignment="1" applyProtection="1">
      <alignment vertical="center"/>
    </xf>
    <xf numFmtId="0" fontId="113" fillId="0" borderId="0" xfId="0" applyFont="1" applyBorder="1" applyAlignment="1" applyProtection="1">
      <alignment vertical="center"/>
    </xf>
    <xf numFmtId="0" fontId="94" fillId="0" borderId="0" xfId="0" applyFont="1" applyBorder="1" applyAlignment="1" applyProtection="1">
      <alignment horizontal="left" vertical="center" indent="3"/>
    </xf>
    <xf numFmtId="0" fontId="95" fillId="0" borderId="0" xfId="0" applyFont="1" applyBorder="1" applyAlignment="1" applyProtection="1">
      <alignment horizontal="center" vertical="center"/>
    </xf>
    <xf numFmtId="0" fontId="95" fillId="0" borderId="0" xfId="0" applyFont="1" applyBorder="1" applyAlignment="1" applyProtection="1">
      <alignment horizontal="center" vertical="center" wrapText="1"/>
    </xf>
    <xf numFmtId="176" fontId="96" fillId="0" borderId="2" xfId="0" applyNumberFormat="1" applyFont="1" applyBorder="1" applyAlignment="1" applyProtection="1">
      <alignment vertical="center" wrapText="1"/>
      <protection locked="0"/>
    </xf>
    <xf numFmtId="0" fontId="90" fillId="0" borderId="0" xfId="0" applyFont="1" applyBorder="1" applyAlignment="1" applyProtection="1">
      <alignment horizontal="center" vertical="center"/>
    </xf>
    <xf numFmtId="0" fontId="114" fillId="0" borderId="0" xfId="0" applyFont="1" applyBorder="1" applyAlignment="1" applyProtection="1">
      <alignment horizontal="center" vertical="center" wrapText="1"/>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0" fontId="95" fillId="0" borderId="0" xfId="0" applyFont="1" applyBorder="1" applyAlignment="1" applyProtection="1">
      <alignment horizontal="center"/>
    </xf>
    <xf numFmtId="0" fontId="90" fillId="0" borderId="0" xfId="0" applyFont="1" applyBorder="1" applyAlignment="1" applyProtection="1"/>
    <xf numFmtId="0" fontId="95" fillId="0" borderId="0" xfId="0" applyFont="1" applyBorder="1" applyAlignment="1" applyProtection="1">
      <alignment horizontal="center" wrapText="1"/>
    </xf>
    <xf numFmtId="0" fontId="90" fillId="0" borderId="0" xfId="0" applyFont="1" applyBorder="1" applyAlignment="1" applyProtection="1">
      <alignment horizontal="right" vertical="center"/>
    </xf>
    <xf numFmtId="0" fontId="116" fillId="0" borderId="0" xfId="0" applyFont="1" applyBorder="1" applyAlignment="1" applyProtection="1">
      <alignment vertical="center"/>
    </xf>
    <xf numFmtId="0" fontId="104" fillId="0" borderId="0" xfId="0" applyFont="1" applyBorder="1" applyAlignment="1" applyProtection="1">
      <alignment vertical="center"/>
    </xf>
    <xf numFmtId="38" fontId="89" fillId="0" borderId="2" xfId="0" applyNumberFormat="1" applyFont="1" applyBorder="1" applyAlignment="1" applyProtection="1">
      <alignment horizontal="center" vertical="center"/>
      <protection locked="0"/>
    </xf>
    <xf numFmtId="0" fontId="90" fillId="0" borderId="0" xfId="0" applyFont="1" applyAlignment="1" applyProtection="1">
      <alignment horizontal="right" vertical="center"/>
    </xf>
    <xf numFmtId="0" fontId="94" fillId="0" borderId="7" xfId="0" applyFont="1" applyFill="1" applyBorder="1" applyAlignment="1" applyProtection="1">
      <alignment vertical="center"/>
    </xf>
    <xf numFmtId="38" fontId="96" fillId="0" borderId="2" xfId="0" applyNumberFormat="1" applyFont="1" applyBorder="1" applyAlignment="1" applyProtection="1">
      <alignment horizontal="center" vertical="center"/>
      <protection locked="0"/>
    </xf>
    <xf numFmtId="0" fontId="90" fillId="0" borderId="7" xfId="0" applyFont="1" applyBorder="1" applyAlignment="1" applyProtection="1">
      <alignment horizontal="right" vertical="center"/>
    </xf>
    <xf numFmtId="40" fontId="94" fillId="0" borderId="0" xfId="0" applyNumberFormat="1" applyFont="1" applyBorder="1" applyAlignment="1" applyProtection="1">
      <alignment horizontal="center" vertical="center"/>
    </xf>
    <xf numFmtId="0" fontId="117" fillId="0" borderId="0" xfId="0" applyFont="1" applyBorder="1" applyAlignment="1" applyProtection="1">
      <alignment vertical="center"/>
    </xf>
    <xf numFmtId="0" fontId="90" fillId="0" borderId="6" xfId="0" applyFont="1" applyFill="1" applyBorder="1" applyAlignment="1" applyProtection="1">
      <alignment vertical="center"/>
    </xf>
    <xf numFmtId="0" fontId="94" fillId="0" borderId="0" xfId="0" applyFont="1" applyBorder="1" applyAlignment="1" applyProtection="1">
      <alignment horizontal="right" vertical="center"/>
    </xf>
    <xf numFmtId="0" fontId="94" fillId="0" borderId="2" xfId="0" applyFont="1" applyBorder="1" applyAlignment="1" applyProtection="1">
      <alignment vertical="center"/>
    </xf>
    <xf numFmtId="38" fontId="96" fillId="2" borderId="2" xfId="0" applyNumberFormat="1" applyFont="1" applyFill="1" applyBorder="1" applyAlignment="1" applyProtection="1">
      <alignment vertical="center"/>
    </xf>
    <xf numFmtId="0" fontId="90" fillId="3" borderId="2" xfId="0" applyFont="1" applyFill="1" applyBorder="1" applyAlignment="1" applyProtection="1">
      <alignment vertical="center"/>
    </xf>
    <xf numFmtId="0" fontId="105" fillId="0" borderId="2" xfId="0" applyNumberFormat="1" applyFont="1" applyBorder="1" applyAlignment="1" applyProtection="1">
      <alignment horizontal="center" vertical="center"/>
      <protection locked="0"/>
    </xf>
    <xf numFmtId="38" fontId="96" fillId="0" borderId="0" xfId="0" applyNumberFormat="1" applyFont="1" applyBorder="1" applyAlignment="1" applyProtection="1">
      <alignment horizontal="center" vertical="center"/>
    </xf>
    <xf numFmtId="0" fontId="96" fillId="0" borderId="0" xfId="0" applyFont="1" applyBorder="1" applyAlignment="1" applyProtection="1">
      <alignment horizontal="left" vertical="top"/>
    </xf>
    <xf numFmtId="0" fontId="116" fillId="0" borderId="0" xfId="0" applyFont="1" applyBorder="1" applyAlignment="1" applyProtection="1">
      <alignment horizontal="left"/>
    </xf>
    <xf numFmtId="0" fontId="116" fillId="0" borderId="0" xfId="0" applyFont="1" applyBorder="1" applyAlignment="1" applyProtection="1"/>
    <xf numFmtId="0" fontId="118" fillId="0" borderId="0" xfId="0" applyFont="1" applyBorder="1" applyAlignment="1" applyProtection="1">
      <alignment horizontal="right" vertical="center"/>
    </xf>
    <xf numFmtId="0" fontId="96" fillId="0" borderId="0" xfId="0" applyFont="1" applyProtection="1"/>
    <xf numFmtId="0" fontId="90" fillId="0" borderId="0" xfId="0" applyFont="1" applyProtection="1"/>
    <xf numFmtId="0" fontId="119" fillId="0" borderId="0" xfId="2" applyFont="1" applyAlignment="1" applyProtection="1">
      <alignment horizontal="centerContinuous" vertical="center"/>
    </xf>
    <xf numFmtId="0" fontId="96" fillId="0" borderId="0" xfId="0" applyFont="1" applyAlignment="1">
      <alignment horizontal="centerContinuous" vertical="center"/>
    </xf>
    <xf numFmtId="0" fontId="90" fillId="0" borderId="0" xfId="0" applyFont="1" applyAlignment="1" applyProtection="1">
      <alignment horizontal="centerContinuous" vertical="center"/>
    </xf>
    <xf numFmtId="0" fontId="105" fillId="0" borderId="0" xfId="0" applyFont="1"/>
    <xf numFmtId="0" fontId="90" fillId="0" borderId="0" xfId="0" applyNumberFormat="1" applyFont="1" applyAlignment="1">
      <alignment horizontal="left"/>
    </xf>
    <xf numFmtId="0" fontId="96" fillId="0" borderId="0" xfId="0" applyFont="1" applyAlignment="1">
      <alignment horizontal="left"/>
    </xf>
    <xf numFmtId="174" fontId="90" fillId="0" borderId="0" xfId="0" applyNumberFormat="1" applyFont="1" applyAlignment="1">
      <alignment horizontal="left"/>
    </xf>
    <xf numFmtId="174" fontId="96" fillId="0" borderId="0" xfId="0" applyNumberFormat="1" applyFont="1" applyAlignment="1">
      <alignment horizontal="left"/>
    </xf>
    <xf numFmtId="0" fontId="90" fillId="0" borderId="0" xfId="0" applyNumberFormat="1" applyFont="1" applyBorder="1" applyAlignment="1" applyProtection="1">
      <alignment horizontal="left"/>
    </xf>
    <xf numFmtId="0" fontId="90" fillId="0" borderId="0" xfId="0" applyFont="1" applyBorder="1" applyAlignment="1" applyProtection="1">
      <alignment horizontal="right"/>
    </xf>
    <xf numFmtId="49" fontId="90" fillId="0" borderId="0" xfId="0" applyNumberFormat="1"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89" fillId="0" borderId="0" xfId="0" applyFont="1" applyBorder="1" applyProtection="1"/>
    <xf numFmtId="0" fontId="89" fillId="0" borderId="0" xfId="0" applyFont="1" applyBorder="1" applyAlignment="1" applyProtection="1">
      <alignment horizontal="right"/>
    </xf>
    <xf numFmtId="49" fontId="94" fillId="0" borderId="0" xfId="0" applyNumberFormat="1" applyFont="1" applyBorder="1" applyAlignment="1" applyProtection="1">
      <alignment horizontal="left" vertical="center"/>
    </xf>
    <xf numFmtId="0" fontId="94" fillId="0" borderId="0" xfId="0" applyFont="1" applyFill="1" applyBorder="1" applyProtection="1"/>
    <xf numFmtId="40" fontId="94" fillId="0" borderId="0" xfId="0" applyNumberFormat="1" applyFont="1" applyBorder="1" applyAlignment="1" applyProtection="1">
      <alignment horizontal="right"/>
    </xf>
    <xf numFmtId="37" fontId="94" fillId="0" borderId="0" xfId="0" applyNumberFormat="1" applyFont="1" applyBorder="1" applyProtection="1"/>
    <xf numFmtId="173" fontId="94" fillId="0" borderId="0" xfId="0" applyNumberFormat="1" applyFont="1" applyBorder="1" applyProtection="1"/>
    <xf numFmtId="0" fontId="94" fillId="0" borderId="0" xfId="0" applyFont="1" applyProtection="1"/>
    <xf numFmtId="0" fontId="94" fillId="0" borderId="0" xfId="0" applyFont="1" applyBorder="1" applyAlignment="1" applyProtection="1">
      <alignment vertical="center" wrapText="1"/>
    </xf>
    <xf numFmtId="0" fontId="94" fillId="0" borderId="0" xfId="0" applyFont="1" applyBorder="1" applyAlignment="1" applyProtection="1">
      <alignment horizontal="right"/>
    </xf>
    <xf numFmtId="0" fontId="120" fillId="0" borderId="0" xfId="0" applyFont="1" applyAlignment="1" applyProtection="1">
      <alignment horizontal="left"/>
    </xf>
    <xf numFmtId="0" fontId="94" fillId="0" borderId="0" xfId="0" applyFont="1" applyAlignment="1">
      <alignment wrapText="1"/>
    </xf>
    <xf numFmtId="0" fontId="90" fillId="0" borderId="0" xfId="0" applyFont="1" applyFill="1" applyBorder="1" applyProtection="1"/>
    <xf numFmtId="0" fontId="90" fillId="0" borderId="0" xfId="0" applyFont="1" applyBorder="1" applyAlignment="1" applyProtection="1">
      <alignment horizontal="center"/>
    </xf>
    <xf numFmtId="175" fontId="94" fillId="0" borderId="0" xfId="0" quotePrefix="1" applyNumberFormat="1" applyFont="1" applyBorder="1" applyAlignment="1" applyProtection="1">
      <alignment horizontal="right"/>
    </xf>
    <xf numFmtId="0" fontId="95" fillId="0" borderId="0" xfId="0" applyFont="1" applyProtection="1"/>
    <xf numFmtId="0" fontId="94" fillId="0" borderId="0" xfId="0" applyFont="1" applyBorder="1" applyAlignment="1" applyProtection="1">
      <alignment vertical="top" wrapText="1"/>
    </xf>
    <xf numFmtId="37" fontId="94" fillId="0" borderId="0" xfId="0" applyNumberFormat="1" applyFont="1" applyBorder="1" applyAlignment="1" applyProtection="1">
      <alignment horizontal="right"/>
    </xf>
    <xf numFmtId="175" fontId="94" fillId="4" borderId="0" xfId="0" quotePrefix="1" applyNumberFormat="1" applyFont="1" applyFill="1" applyBorder="1" applyAlignment="1" applyProtection="1">
      <alignment horizontal="right"/>
    </xf>
    <xf numFmtId="38" fontId="94" fillId="0" borderId="0" xfId="0" applyNumberFormat="1" applyFont="1" applyBorder="1" applyProtection="1"/>
    <xf numFmtId="1" fontId="94" fillId="0" borderId="0" xfId="0" applyNumberFormat="1" applyFont="1" applyBorder="1" applyProtection="1"/>
    <xf numFmtId="39" fontId="94" fillId="0" borderId="0" xfId="0" applyNumberFormat="1" applyFont="1" applyBorder="1" applyProtection="1"/>
    <xf numFmtId="3" fontId="94" fillId="0" borderId="0" xfId="0" applyNumberFormat="1" applyFont="1" applyBorder="1" applyAlignment="1" applyProtection="1">
      <alignment horizontal="right" vertical="center"/>
    </xf>
    <xf numFmtId="173" fontId="94" fillId="0" borderId="0" xfId="0" applyNumberFormat="1" applyFont="1" applyBorder="1" applyAlignment="1" applyProtection="1">
      <alignment horizontal="right"/>
    </xf>
    <xf numFmtId="49" fontId="94" fillId="0" borderId="0" xfId="0" applyNumberFormat="1" applyFont="1" applyBorder="1" applyProtection="1"/>
    <xf numFmtId="0" fontId="94" fillId="0" borderId="0" xfId="0" applyFont="1" applyBorder="1" applyAlignment="1" applyProtection="1">
      <alignment horizontal="center"/>
    </xf>
    <xf numFmtId="0" fontId="95" fillId="0" borderId="0" xfId="0" applyFont="1" applyFill="1" applyBorder="1" applyAlignment="1" applyProtection="1">
      <alignment horizontal="center"/>
    </xf>
    <xf numFmtId="0" fontId="90"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0" fontId="118" fillId="0" borderId="0" xfId="0" applyFont="1" applyProtection="1"/>
    <xf numFmtId="0" fontId="90" fillId="0" borderId="0" xfId="0" applyFont="1" applyFill="1" applyBorder="1" applyAlignment="1" applyProtection="1">
      <alignment horizontal="center"/>
    </xf>
    <xf numFmtId="49" fontId="118" fillId="0" borderId="0" xfId="0" applyNumberFormat="1" applyFont="1" applyAlignment="1" applyProtection="1">
      <alignment horizontal="right" vertical="top"/>
    </xf>
    <xf numFmtId="0" fontId="94" fillId="0" borderId="0" xfId="0" applyFont="1" applyBorder="1" applyAlignment="1" applyProtection="1">
      <alignment horizontal="left"/>
    </xf>
    <xf numFmtId="49" fontId="90" fillId="0" borderId="0" xfId="0" applyNumberFormat="1" applyFont="1" applyBorder="1" applyAlignment="1" applyProtection="1">
      <alignment horizontal="left" vertical="top"/>
    </xf>
    <xf numFmtId="0" fontId="94" fillId="0" borderId="0" xfId="0" applyFont="1" applyAlignment="1" applyProtection="1">
      <alignment horizontal="left"/>
    </xf>
    <xf numFmtId="49" fontId="90" fillId="0" borderId="0" xfId="0" applyNumberFormat="1" applyFont="1" applyAlignment="1" applyProtection="1">
      <alignment horizontal="left" vertical="center"/>
    </xf>
    <xf numFmtId="49" fontId="90" fillId="0" borderId="0" xfId="0" applyNumberFormat="1" applyFont="1" applyAlignment="1" applyProtection="1">
      <alignment horizontal="left" vertical="top"/>
    </xf>
    <xf numFmtId="0" fontId="90" fillId="0" borderId="0" xfId="0" applyFont="1" applyAlignment="1" applyProtection="1">
      <alignment horizontal="right"/>
    </xf>
    <xf numFmtId="0" fontId="94" fillId="0" borderId="0" xfId="0" applyFont="1" applyAlignment="1" applyProtection="1">
      <alignment horizontal="right"/>
    </xf>
    <xf numFmtId="49" fontId="121" fillId="0" borderId="0" xfId="0" applyNumberFormat="1" applyFont="1" applyAlignment="1" applyProtection="1">
      <alignment horizontal="right" vertical="top"/>
    </xf>
    <xf numFmtId="0" fontId="94" fillId="0" borderId="17" xfId="0" applyFont="1" applyBorder="1" applyAlignment="1" applyProtection="1">
      <alignment horizontal="center" vertical="center"/>
    </xf>
    <xf numFmtId="49" fontId="89" fillId="0" borderId="17" xfId="0" applyNumberFormat="1" applyFont="1" applyBorder="1" applyAlignment="1" applyProtection="1">
      <alignment horizontal="center" vertical="center"/>
    </xf>
    <xf numFmtId="49" fontId="96" fillId="0" borderId="17" xfId="0" applyNumberFormat="1" applyFont="1" applyBorder="1" applyAlignment="1" applyProtection="1">
      <alignment horizontal="center" vertical="center"/>
    </xf>
    <xf numFmtId="49" fontId="105" fillId="0" borderId="8" xfId="0" applyNumberFormat="1" applyFont="1" applyBorder="1" applyAlignment="1" applyProtection="1">
      <alignment horizontal="centerContinuous" vertical="center"/>
    </xf>
    <xf numFmtId="49" fontId="96" fillId="0" borderId="4" xfId="0" applyNumberFormat="1" applyFont="1" applyBorder="1" applyAlignment="1" applyProtection="1">
      <alignment horizontal="centerContinuous" vertical="center"/>
    </xf>
    <xf numFmtId="0" fontId="96" fillId="0" borderId="0" xfId="0" applyFont="1" applyAlignment="1" applyProtection="1">
      <alignment vertical="center"/>
    </xf>
    <xf numFmtId="1" fontId="95" fillId="0" borderId="18" xfId="0" applyNumberFormat="1" applyFont="1" applyBorder="1" applyAlignment="1" applyProtection="1">
      <alignment horizontal="center" vertical="center" wrapText="1"/>
    </xf>
    <xf numFmtId="3" fontId="95" fillId="0" borderId="18" xfId="0" applyNumberFormat="1" applyFont="1" applyBorder="1" applyAlignment="1" applyProtection="1">
      <alignment horizontal="center" vertical="center" wrapText="1"/>
    </xf>
    <xf numFmtId="0" fontId="95" fillId="0" borderId="18" xfId="0" applyFont="1" applyBorder="1" applyAlignment="1" applyProtection="1">
      <alignment horizontal="center" vertical="center" wrapText="1"/>
    </xf>
    <xf numFmtId="43" fontId="95" fillId="0" borderId="2" xfId="1" applyFont="1" applyBorder="1" applyAlignment="1" applyProtection="1">
      <alignment horizontal="center" vertical="center" wrapText="1"/>
    </xf>
    <xf numFmtId="0" fontId="95" fillId="0" borderId="2" xfId="0" applyFont="1" applyBorder="1" applyAlignment="1" applyProtection="1">
      <alignment horizontal="center" vertical="center" wrapTex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center" vertical="center"/>
    </xf>
    <xf numFmtId="0" fontId="94" fillId="0" borderId="2" xfId="0" applyFont="1" applyBorder="1" applyAlignment="1" applyProtection="1">
      <alignment horizontal="center" vertical="center"/>
    </xf>
    <xf numFmtId="0" fontId="94" fillId="0" borderId="19" xfId="0" applyFont="1" applyBorder="1" applyAlignment="1" applyProtection="1">
      <alignment horizontal="left" vertical="center" indent="1"/>
    </xf>
    <xf numFmtId="164" fontId="94" fillId="0" borderId="2" xfId="0" applyNumberFormat="1" applyFont="1" applyFill="1" applyBorder="1" applyAlignment="1" applyProtection="1">
      <alignment horizontal="left" vertical="center"/>
    </xf>
    <xf numFmtId="0" fontId="94" fillId="0" borderId="2" xfId="0" applyFont="1" applyFill="1" applyBorder="1" applyAlignment="1" applyProtection="1">
      <alignment horizontal="center" vertical="center"/>
    </xf>
    <xf numFmtId="0" fontId="96" fillId="0" borderId="0" xfId="0" applyFont="1" applyFill="1" applyAlignment="1" applyProtection="1">
      <alignment vertical="center"/>
    </xf>
    <xf numFmtId="0" fontId="94" fillId="0" borderId="10" xfId="0" applyFont="1" applyBorder="1" applyAlignment="1" applyProtection="1">
      <alignment horizontal="left" vertical="center" indent="1"/>
    </xf>
    <xf numFmtId="0" fontId="94" fillId="0" borderId="18" xfId="0" applyFont="1" applyBorder="1" applyAlignment="1" applyProtection="1">
      <alignment horizontal="center" vertical="center"/>
    </xf>
    <xf numFmtId="0" fontId="94" fillId="0" borderId="6" xfId="0" applyFont="1" applyBorder="1" applyAlignment="1" applyProtection="1">
      <alignment horizontal="left" vertical="center" indent="1"/>
    </xf>
    <xf numFmtId="0" fontId="94" fillId="0" borderId="19" xfId="0" applyFont="1" applyBorder="1" applyAlignment="1" applyProtection="1">
      <alignment horizontal="left" vertical="center" wrapText="1" indent="1"/>
    </xf>
    <xf numFmtId="0" fontId="94" fillId="0" borderId="2" xfId="0" applyFont="1" applyFill="1" applyBorder="1" applyAlignment="1" applyProtection="1">
      <alignment horizontal="left" vertical="center" indent="1"/>
    </xf>
    <xf numFmtId="0" fontId="94" fillId="0" borderId="3" xfId="0" applyFont="1" applyFill="1" applyBorder="1" applyAlignment="1" applyProtection="1">
      <alignment horizontal="left" vertical="center" indent="1"/>
    </xf>
    <xf numFmtId="0" fontId="94" fillId="0" borderId="4" xfId="0" applyFont="1" applyFill="1" applyBorder="1" applyAlignment="1" applyProtection="1">
      <alignment horizontal="center" vertical="center"/>
    </xf>
    <xf numFmtId="0" fontId="94" fillId="0" borderId="0" xfId="0" applyFont="1" applyAlignment="1" applyProtection="1">
      <alignment vertical="center"/>
    </xf>
    <xf numFmtId="0" fontId="94" fillId="0" borderId="0" xfId="0" applyFont="1" applyAlignment="1" applyProtection="1">
      <alignment horizontal="center" vertical="center"/>
    </xf>
    <xf numFmtId="38" fontId="96" fillId="0" borderId="0" xfId="0" applyNumberFormat="1" applyFont="1" applyAlignment="1" applyProtection="1">
      <alignment vertical="center"/>
    </xf>
    <xf numFmtId="49" fontId="95" fillId="0" borderId="17" xfId="0" applyNumberFormat="1" applyFont="1" applyBorder="1" applyAlignment="1" applyProtection="1">
      <alignment horizontal="center" vertical="center"/>
    </xf>
    <xf numFmtId="0" fontId="96" fillId="0" borderId="0" xfId="0" applyFont="1" applyAlignment="1" applyProtection="1">
      <alignment horizontal="center" vertical="center"/>
    </xf>
    <xf numFmtId="0" fontId="90"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6" fillId="0" borderId="0" xfId="0" applyNumberFormat="1" applyFont="1" applyAlignment="1" applyProtection="1">
      <alignment vertical="center"/>
    </xf>
    <xf numFmtId="0" fontId="104" fillId="0" borderId="6" xfId="0" applyFont="1" applyBorder="1" applyAlignment="1" applyProtection="1">
      <alignment horizontal="left" indent="2"/>
    </xf>
    <xf numFmtId="0" fontId="94" fillId="0" borderId="10" xfId="0" applyFont="1" applyBorder="1" applyAlignment="1" applyProtection="1">
      <alignment horizontal="center" vertical="center"/>
    </xf>
    <xf numFmtId="0" fontId="89" fillId="0" borderId="0" xfId="0" applyFont="1" applyAlignment="1" applyProtection="1">
      <alignment vertical="center"/>
    </xf>
    <xf numFmtId="0" fontId="105" fillId="0" borderId="0" xfId="0" applyFont="1" applyAlignment="1" applyProtection="1">
      <alignment vertical="center"/>
    </xf>
    <xf numFmtId="0" fontId="90" fillId="0" borderId="0" xfId="0" applyFont="1" applyFill="1" applyAlignment="1" applyProtection="1">
      <alignment vertical="center"/>
    </xf>
    <xf numFmtId="0" fontId="94" fillId="0" borderId="18" xfId="0" applyFont="1" applyFill="1" applyBorder="1" applyAlignment="1" applyProtection="1">
      <alignment horizontal="center" vertical="center"/>
    </xf>
    <xf numFmtId="0" fontId="94" fillId="0" borderId="2" xfId="0" applyFont="1" applyFill="1" applyBorder="1" applyAlignment="1" applyProtection="1">
      <alignment horizontal="center" vertical="top"/>
    </xf>
    <xf numFmtId="0" fontId="90" fillId="0" borderId="0" xfId="0" applyFont="1" applyFill="1" applyBorder="1" applyAlignment="1" applyProtection="1">
      <alignment vertical="center"/>
    </xf>
    <xf numFmtId="38" fontId="90" fillId="0" borderId="0" xfId="0" applyNumberFormat="1" applyFont="1" applyAlignment="1" applyProtection="1"/>
    <xf numFmtId="0" fontId="94" fillId="0" borderId="10" xfId="0" applyFont="1" applyFill="1" applyBorder="1" applyAlignment="1" applyProtection="1">
      <alignment horizontal="center" vertical="center"/>
    </xf>
    <xf numFmtId="0" fontId="94" fillId="0" borderId="20" xfId="0" applyFont="1" applyBorder="1" applyAlignment="1" applyProtection="1">
      <alignment horizontal="left" vertical="center" indent="4"/>
    </xf>
    <xf numFmtId="0" fontId="94" fillId="0" borderId="21" xfId="0" applyFont="1" applyBorder="1" applyAlignment="1" applyProtection="1">
      <alignment horizontal="center" vertical="center"/>
    </xf>
    <xf numFmtId="40" fontId="90" fillId="5" borderId="22" xfId="0" applyNumberFormat="1" applyFont="1" applyFill="1" applyBorder="1" applyAlignment="1" applyProtection="1">
      <alignment horizontal="right" vertical="center"/>
    </xf>
    <xf numFmtId="0" fontId="94" fillId="0" borderId="23" xfId="0" applyFont="1" applyBorder="1" applyAlignment="1" applyProtection="1">
      <alignment horizontal="left" vertical="center" indent="4"/>
    </xf>
    <xf numFmtId="9" fontId="90" fillId="5" borderId="22" xfId="0" applyNumberFormat="1" applyFont="1" applyFill="1" applyBorder="1" applyAlignment="1" applyProtection="1">
      <alignment horizontal="righ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3" fontId="90" fillId="3" borderId="18" xfId="0" applyNumberFormat="1" applyFont="1" applyFill="1" applyBorder="1" applyAlignment="1" applyProtection="1">
      <alignment horizontal="center"/>
    </xf>
    <xf numFmtId="3" fontId="96" fillId="3" borderId="10" xfId="0" applyNumberFormat="1" applyFont="1" applyFill="1" applyBorder="1" applyAlignment="1" applyProtection="1">
      <alignment horizontal="center"/>
    </xf>
    <xf numFmtId="38" fontId="96" fillId="3" borderId="18" xfId="0" applyNumberFormat="1" applyFont="1" applyFill="1" applyBorder="1" applyAlignment="1" applyProtection="1">
      <alignment horizontal="center"/>
    </xf>
    <xf numFmtId="3" fontId="96" fillId="3" borderId="18" xfId="0" applyNumberFormat="1" applyFont="1" applyFill="1" applyBorder="1" applyAlignment="1" applyProtection="1">
      <alignment horizontal="center"/>
    </xf>
    <xf numFmtId="0" fontId="94" fillId="0" borderId="19" xfId="0" applyFont="1" applyBorder="1" applyAlignment="1" applyProtection="1">
      <alignment horizontal="center"/>
    </xf>
    <xf numFmtId="0" fontId="94" fillId="0" borderId="2" xfId="0" applyFont="1" applyBorder="1" applyAlignment="1" applyProtection="1">
      <alignment horizontal="center"/>
    </xf>
    <xf numFmtId="0" fontId="94" fillId="0" borderId="2" xfId="0" applyFont="1" applyBorder="1" applyAlignment="1" applyProtection="1">
      <alignment horizontal="center" vertical="center" wrapText="1"/>
    </xf>
    <xf numFmtId="38" fontId="96" fillId="0" borderId="0" xfId="0" applyNumberFormat="1" applyFont="1" applyProtection="1"/>
    <xf numFmtId="0" fontId="94" fillId="0" borderId="24" xfId="0" applyFont="1" applyFill="1" applyBorder="1" applyAlignment="1" applyProtection="1">
      <alignment horizontal="center" vertical="center"/>
    </xf>
    <xf numFmtId="0" fontId="94" fillId="0" borderId="2" xfId="0" applyFont="1" applyBorder="1" applyAlignment="1" applyProtection="1">
      <alignment horizontal="center" vertical="top"/>
    </xf>
    <xf numFmtId="0" fontId="94" fillId="0" borderId="24" xfId="0" applyFont="1" applyFill="1" applyBorder="1" applyAlignment="1" applyProtection="1">
      <alignment horizontal="center" vertical="top"/>
    </xf>
    <xf numFmtId="0" fontId="94" fillId="0" borderId="5" xfId="0" applyFont="1" applyFill="1" applyBorder="1" applyAlignment="1" applyProtection="1">
      <alignment horizontal="center" vertical="center"/>
    </xf>
    <xf numFmtId="1" fontId="94" fillId="0" borderId="2" xfId="0" applyNumberFormat="1" applyFont="1" applyBorder="1" applyAlignment="1" applyProtection="1">
      <alignment horizontal="center" vertical="center"/>
    </xf>
    <xf numFmtId="0" fontId="94" fillId="0" borderId="14" xfId="0" applyFont="1" applyBorder="1" applyAlignment="1" applyProtection="1">
      <alignment horizontal="left" vertical="top" wrapText="1" indent="1"/>
    </xf>
    <xf numFmtId="1" fontId="94" fillId="0" borderId="2" xfId="0" applyNumberFormat="1" applyFont="1" applyBorder="1" applyAlignment="1" applyProtection="1">
      <alignment horizontal="center" vertical="top"/>
    </xf>
    <xf numFmtId="1" fontId="94" fillId="0" borderId="18" xfId="0" applyNumberFormat="1" applyFont="1" applyBorder="1" applyAlignment="1" applyProtection="1">
      <alignment horizontal="center" vertical="center"/>
    </xf>
    <xf numFmtId="1" fontId="94" fillId="0" borderId="18" xfId="0" applyNumberFormat="1" applyFont="1" applyBorder="1" applyAlignment="1" applyProtection="1">
      <alignment horizontal="center" vertical="center"/>
    </xf>
    <xf numFmtId="1" fontId="94" fillId="0" borderId="25" xfId="0" applyNumberFormat="1" applyFont="1" applyBorder="1" applyAlignment="1" applyProtection="1">
      <alignment horizontal="center" vertical="center"/>
    </xf>
    <xf numFmtId="1" fontId="94" fillId="0" borderId="22" xfId="0" applyNumberFormat="1" applyFont="1" applyBorder="1" applyAlignment="1" applyProtection="1">
      <alignment horizontal="center" vertical="center"/>
    </xf>
    <xf numFmtId="0" fontId="94" fillId="0" borderId="2" xfId="0" applyFont="1" applyBorder="1" applyAlignment="1" applyProtection="1">
      <alignment horizontal="center" vertical="top" wrapText="1"/>
    </xf>
    <xf numFmtId="0" fontId="94" fillId="0" borderId="24" xfId="0" applyFont="1" applyBorder="1" applyAlignment="1" applyProtection="1">
      <alignment horizontal="center" vertical="center"/>
    </xf>
    <xf numFmtId="0" fontId="94" fillId="0" borderId="140" xfId="0" applyFont="1" applyFill="1" applyBorder="1" applyAlignment="1" applyProtection="1">
      <alignment horizontal="center" vertical="center"/>
    </xf>
    <xf numFmtId="0" fontId="94" fillId="0" borderId="132" xfId="0" applyFont="1" applyFill="1" applyBorder="1" applyAlignment="1" applyProtection="1">
      <alignment horizontal="center" vertical="center"/>
    </xf>
    <xf numFmtId="0" fontId="96" fillId="0" borderId="0" xfId="0" applyFont="1" applyAlignment="1" applyProtection="1"/>
    <xf numFmtId="0" fontId="94" fillId="0" borderId="0" xfId="0" applyFont="1" applyAlignment="1" applyProtection="1">
      <alignment horizontal="left" vertical="center" wrapText="1"/>
    </xf>
    <xf numFmtId="0" fontId="94" fillId="0" borderId="0" xfId="0" applyFont="1" applyAlignment="1" applyProtection="1">
      <alignment horizontal="center" vertical="center" wrapText="1"/>
    </xf>
    <xf numFmtId="0" fontId="96" fillId="0" borderId="0" xfId="0" applyFont="1" applyAlignment="1" applyProtection="1">
      <alignment wrapText="1"/>
    </xf>
    <xf numFmtId="0" fontId="96" fillId="0" borderId="0" xfId="0" applyFont="1" applyAlignment="1"/>
    <xf numFmtId="49" fontId="94"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0" fillId="0" borderId="17" xfId="0" applyNumberFormat="1" applyFont="1" applyBorder="1" applyAlignment="1">
      <alignment horizontal="center" vertical="center"/>
    </xf>
    <xf numFmtId="49" fontId="95" fillId="0" borderId="24" xfId="0" applyNumberFormat="1" applyFont="1" applyBorder="1" applyAlignment="1">
      <alignment horizontal="center" vertical="center" wrapText="1"/>
    </xf>
    <xf numFmtId="3" fontId="89" fillId="0" borderId="24" xfId="0" applyNumberFormat="1" applyFont="1" applyBorder="1" applyAlignment="1">
      <alignment horizontal="center" vertical="center"/>
    </xf>
    <xf numFmtId="3" fontId="89" fillId="0" borderId="24" xfId="0" applyNumberFormat="1" applyFont="1" applyBorder="1" applyAlignment="1">
      <alignment horizontal="center" vertical="center" wrapText="1"/>
    </xf>
    <xf numFmtId="0" fontId="96" fillId="0" borderId="0" xfId="0" applyFont="1" applyAlignment="1">
      <alignment horizontal="center" vertical="top" wrapText="1"/>
    </xf>
    <xf numFmtId="0" fontId="96" fillId="0" borderId="0" xfId="0" applyFont="1" applyBorder="1" applyAlignment="1">
      <alignment vertical="center"/>
    </xf>
    <xf numFmtId="0" fontId="94" fillId="0" borderId="0" xfId="0" applyFont="1" applyBorder="1" applyAlignment="1"/>
    <xf numFmtId="49" fontId="94" fillId="0" borderId="2" xfId="0" applyNumberFormat="1" applyFont="1" applyBorder="1" applyAlignment="1">
      <alignment horizontal="center" vertical="center"/>
    </xf>
    <xf numFmtId="49" fontId="95" fillId="6" borderId="26" xfId="0" applyNumberFormat="1" applyFont="1" applyFill="1" applyBorder="1" applyAlignment="1">
      <alignment horizontal="center" vertical="center"/>
    </xf>
    <xf numFmtId="0" fontId="94" fillId="0" borderId="0" xfId="0" applyFont="1" applyFill="1" applyBorder="1" applyAlignment="1"/>
    <xf numFmtId="0" fontId="94" fillId="0" borderId="0" xfId="0" applyFont="1" applyFill="1"/>
    <xf numFmtId="3" fontId="95" fillId="3" borderId="23" xfId="0" applyNumberFormat="1" applyFont="1" applyFill="1" applyBorder="1" applyAlignment="1">
      <alignment horizontal="left" vertical="center" wrapText="1" indent="1"/>
    </xf>
    <xf numFmtId="49" fontId="95" fillId="3" borderId="19" xfId="0" applyNumberFormat="1" applyFont="1" applyFill="1" applyBorder="1" applyAlignment="1">
      <alignment horizontal="center" vertical="center"/>
    </xf>
    <xf numFmtId="164" fontId="95" fillId="3" borderId="9" xfId="0" applyNumberFormat="1" applyFont="1" applyFill="1" applyBorder="1" applyAlignment="1">
      <alignment horizontal="left" vertical="center" wrapText="1" indent="1"/>
    </xf>
    <xf numFmtId="49" fontId="95" fillId="3" borderId="21" xfId="0" applyNumberFormat="1" applyFont="1" applyFill="1" applyBorder="1" applyAlignment="1">
      <alignment horizontal="center" vertical="center"/>
    </xf>
    <xf numFmtId="49" fontId="94" fillId="0" borderId="17" xfId="0" applyNumberFormat="1" applyFont="1" applyBorder="1" applyAlignment="1">
      <alignment horizontal="center" vertical="center" wrapText="1"/>
    </xf>
    <xf numFmtId="49" fontId="94" fillId="0" borderId="2" xfId="0" applyNumberFormat="1" applyFont="1" applyBorder="1" applyAlignment="1">
      <alignment horizontal="center" vertical="top"/>
    </xf>
    <xf numFmtId="49" fontId="94" fillId="0" borderId="18" xfId="0" applyNumberFormat="1" applyFont="1" applyBorder="1" applyAlignment="1">
      <alignment horizontal="center" vertical="center"/>
    </xf>
    <xf numFmtId="49" fontId="95" fillId="3" borderId="10" xfId="0" applyNumberFormat="1" applyFont="1" applyFill="1" applyBorder="1" applyAlignment="1">
      <alignment horizontal="center" vertical="center"/>
    </xf>
    <xf numFmtId="49" fontId="94" fillId="0" borderId="22" xfId="0" applyNumberFormat="1" applyFont="1" applyFill="1" applyBorder="1" applyAlignment="1">
      <alignment horizontal="center" vertical="center"/>
    </xf>
    <xf numFmtId="0" fontId="94" fillId="0" borderId="0" xfId="0" applyFont="1" applyAlignment="1">
      <alignment vertical="center"/>
    </xf>
    <xf numFmtId="0" fontId="94" fillId="0" borderId="27" xfId="0" applyFont="1" applyFill="1" applyBorder="1" applyAlignment="1">
      <alignment horizontal="center" vertical="center"/>
    </xf>
    <xf numFmtId="0" fontId="94" fillId="0" borderId="1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8" xfId="0" applyFont="1" applyFill="1" applyBorder="1" applyAlignment="1">
      <alignment horizontal="center" vertical="center"/>
    </xf>
    <xf numFmtId="49" fontId="94" fillId="0" borderId="18" xfId="0" applyNumberFormat="1" applyFont="1" applyFill="1" applyBorder="1" applyAlignment="1">
      <alignment horizontal="center" vertical="center"/>
    </xf>
    <xf numFmtId="164" fontId="95" fillId="2" borderId="23" xfId="0" applyNumberFormat="1" applyFont="1" applyFill="1" applyBorder="1" applyAlignment="1">
      <alignment horizontal="left" vertical="center" wrapText="1" indent="1"/>
    </xf>
    <xf numFmtId="49" fontId="95" fillId="2" borderId="19" xfId="0" applyNumberFormat="1" applyFont="1" applyFill="1" applyBorder="1" applyAlignment="1">
      <alignment horizontal="center" vertical="center"/>
    </xf>
    <xf numFmtId="0" fontId="94" fillId="0" borderId="0" xfId="0" applyFont="1" applyAlignment="1"/>
    <xf numFmtId="49" fontId="95" fillId="0" borderId="27" xfId="0" applyNumberFormat="1" applyFont="1" applyFill="1" applyBorder="1" applyAlignment="1">
      <alignment horizontal="center" vertical="center"/>
    </xf>
    <xf numFmtId="3" fontId="95" fillId="0" borderId="23" xfId="0" applyNumberFormat="1" applyFont="1" applyBorder="1" applyAlignment="1">
      <alignment horizontal="left" vertical="top" wrapText="1" indent="2"/>
    </xf>
    <xf numFmtId="49" fontId="94" fillId="0" borderId="14" xfId="0" applyNumberFormat="1" applyFont="1" applyFill="1" applyBorder="1" applyAlignment="1">
      <alignment horizontal="left" vertical="top" indent="1"/>
    </xf>
    <xf numFmtId="0" fontId="90" fillId="0" borderId="0" xfId="0" applyFont="1" applyAlignment="1">
      <alignment vertical="center"/>
    </xf>
    <xf numFmtId="3" fontId="95" fillId="3" borderId="8" xfId="0" applyNumberFormat="1" applyFont="1" applyFill="1" applyBorder="1" applyAlignment="1">
      <alignment horizontal="left" vertical="center" wrapText="1" indent="1"/>
    </xf>
    <xf numFmtId="164" fontId="95" fillId="3" borderId="23" xfId="0" applyNumberFormat="1" applyFont="1" applyFill="1" applyBorder="1" applyAlignment="1">
      <alignment horizontal="left" vertical="center" wrapText="1" indent="1"/>
    </xf>
    <xf numFmtId="49" fontId="94" fillId="0" borderId="27" xfId="0" applyNumberFormat="1" applyFont="1" applyFill="1" applyBorder="1" applyAlignment="1">
      <alignment horizontal="center" vertical="center"/>
    </xf>
    <xf numFmtId="164" fontId="95" fillId="3" borderId="23" xfId="0" applyNumberFormat="1" applyFont="1" applyFill="1" applyBorder="1" applyAlignment="1" applyProtection="1">
      <alignment horizontal="left" vertical="center" wrapText="1" indent="1"/>
    </xf>
    <xf numFmtId="49" fontId="95" fillId="3" borderId="19" xfId="0" applyNumberFormat="1" applyFont="1" applyFill="1" applyBorder="1" applyAlignment="1" applyProtection="1">
      <alignment horizontal="center" vertical="center"/>
    </xf>
    <xf numFmtId="49" fontId="95" fillId="5" borderId="26" xfId="0" applyNumberFormat="1" applyFont="1" applyFill="1" applyBorder="1" applyAlignment="1">
      <alignment horizontal="center" vertical="center"/>
    </xf>
    <xf numFmtId="3" fontId="95" fillId="2" borderId="7" xfId="0" applyNumberFormat="1" applyFont="1" applyFill="1" applyBorder="1" applyAlignment="1">
      <alignment horizontal="left" vertical="center" wrapText="1" indent="1"/>
    </xf>
    <xf numFmtId="49" fontId="95" fillId="2" borderId="24" xfId="0" applyNumberFormat="1" applyFont="1" applyFill="1" applyBorder="1" applyAlignment="1">
      <alignment horizontal="center" vertical="center"/>
    </xf>
    <xf numFmtId="3" fontId="95" fillId="0" borderId="23" xfId="0" applyNumberFormat="1" applyFont="1" applyFill="1" applyBorder="1" applyAlignment="1">
      <alignment horizontal="left" vertical="top" wrapText="1" indent="2"/>
    </xf>
    <xf numFmtId="0" fontId="96" fillId="0" borderId="14" xfId="0" applyFont="1" applyFill="1" applyBorder="1" applyAlignment="1">
      <alignment horizontal="left" vertical="top" wrapText="1" indent="2"/>
    </xf>
    <xf numFmtId="0" fontId="96" fillId="0" borderId="0" xfId="0" applyFont="1" applyFill="1" applyBorder="1" applyAlignment="1"/>
    <xf numFmtId="0" fontId="96" fillId="0" borderId="0" xfId="0" applyFont="1" applyFill="1" applyBorder="1"/>
    <xf numFmtId="0" fontId="90" fillId="0" borderId="0" xfId="0" applyFont="1" applyBorder="1" applyAlignment="1"/>
    <xf numFmtId="0" fontId="90" fillId="0" borderId="0" xfId="0" applyFont="1"/>
    <xf numFmtId="3" fontId="95" fillId="3" borderId="9" xfId="0" applyNumberFormat="1" applyFont="1" applyFill="1" applyBorder="1" applyAlignment="1">
      <alignment horizontal="left" vertical="center" wrapText="1" indent="1"/>
    </xf>
    <xf numFmtId="49" fontId="95" fillId="3" borderId="27" xfId="0" applyNumberFormat="1" applyFont="1" applyFill="1" applyBorder="1" applyAlignment="1">
      <alignment horizontal="center" vertical="center"/>
    </xf>
    <xf numFmtId="49" fontId="95" fillId="3" borderId="18" xfId="0" applyNumberFormat="1" applyFont="1" applyFill="1" applyBorder="1" applyAlignment="1">
      <alignment horizontal="center" vertical="top"/>
    </xf>
    <xf numFmtId="49" fontId="95" fillId="3" borderId="2" xfId="0" applyNumberFormat="1" applyFont="1" applyFill="1" applyBorder="1" applyAlignment="1">
      <alignment horizontal="center" vertical="top"/>
    </xf>
    <xf numFmtId="49" fontId="94" fillId="0" borderId="14" xfId="0" applyNumberFormat="1" applyFont="1" applyFill="1" applyBorder="1" applyAlignment="1">
      <alignment horizontal="center" vertical="top"/>
    </xf>
    <xf numFmtId="0" fontId="96" fillId="0" borderId="0" xfId="0" applyFont="1" applyFill="1"/>
    <xf numFmtId="0" fontId="95" fillId="3" borderId="23" xfId="0" applyFont="1" applyFill="1" applyBorder="1" applyAlignment="1">
      <alignment horizontal="left" vertical="center" wrapText="1" indent="1"/>
    </xf>
    <xf numFmtId="49" fontId="95" fillId="3" borderId="10" xfId="0" applyNumberFormat="1" applyFont="1" applyFill="1" applyBorder="1" applyAlignment="1">
      <alignment horizontal="center" vertical="center"/>
    </xf>
    <xf numFmtId="49" fontId="94" fillId="0" borderId="18" xfId="0" applyNumberFormat="1" applyFont="1" applyBorder="1" applyAlignment="1">
      <alignment horizontal="center" vertical="center"/>
    </xf>
    <xf numFmtId="49" fontId="95" fillId="3" borderId="18" xfId="0" applyNumberFormat="1" applyFont="1" applyFill="1" applyBorder="1" applyAlignment="1">
      <alignment horizontal="center" vertical="center"/>
    </xf>
    <xf numFmtId="3" fontId="95" fillId="2" borderId="27" xfId="0" applyNumberFormat="1" applyFont="1" applyFill="1" applyBorder="1" applyAlignment="1">
      <alignment horizontal="left" vertical="center" wrapText="1" indent="1"/>
    </xf>
    <xf numFmtId="49" fontId="95" fillId="2" borderId="27" xfId="0" applyNumberFormat="1" applyFont="1" applyFill="1" applyBorder="1" applyAlignment="1">
      <alignment horizontal="center" vertical="center"/>
    </xf>
    <xf numFmtId="3" fontId="95" fillId="3" borderId="2" xfId="0" applyNumberFormat="1" applyFont="1" applyFill="1" applyBorder="1" applyAlignment="1">
      <alignment horizontal="left" vertical="center" wrapText="1" indent="1"/>
    </xf>
    <xf numFmtId="49" fontId="95" fillId="3" borderId="10" xfId="0" applyNumberFormat="1" applyFont="1" applyFill="1" applyBorder="1" applyAlignment="1">
      <alignment horizontal="center" vertical="center" wrapText="1"/>
    </xf>
    <xf numFmtId="49" fontId="94" fillId="0" borderId="17" xfId="0" applyNumberFormat="1" applyFont="1" applyBorder="1" applyAlignment="1">
      <alignment horizontal="center" vertical="top"/>
    </xf>
    <xf numFmtId="49" fontId="95" fillId="3" borderId="21" xfId="0" applyNumberFormat="1" applyFont="1" applyFill="1" applyBorder="1" applyAlignment="1">
      <alignment horizontal="center" vertical="center" wrapText="1"/>
    </xf>
    <xf numFmtId="49" fontId="94" fillId="0" borderId="2" xfId="0" applyNumberFormat="1" applyFont="1" applyBorder="1" applyAlignment="1">
      <alignment horizontal="center" vertical="center" wrapText="1"/>
    </xf>
    <xf numFmtId="164" fontId="95" fillId="3" borderId="7" xfId="0" applyNumberFormat="1" applyFont="1" applyFill="1" applyBorder="1" applyAlignment="1">
      <alignment horizontal="left" vertical="center" wrapText="1" indent="1"/>
    </xf>
    <xf numFmtId="0" fontId="94" fillId="0" borderId="2" xfId="0" applyFont="1" applyBorder="1" applyAlignment="1">
      <alignment horizontal="center" vertical="center"/>
    </xf>
    <xf numFmtId="49" fontId="94" fillId="0" borderId="2" xfId="0" applyNumberFormat="1" applyFont="1" applyFill="1" applyBorder="1" applyAlignment="1">
      <alignment horizontal="center" vertical="center"/>
    </xf>
    <xf numFmtId="3" fontId="95" fillId="0" borderId="9" xfId="0" applyNumberFormat="1" applyFont="1" applyFill="1" applyBorder="1" applyAlignment="1">
      <alignment horizontal="left" vertical="top" wrapText="1" indent="1"/>
    </xf>
    <xf numFmtId="0" fontId="96" fillId="0" borderId="6" xfId="0" applyFont="1" applyFill="1" applyBorder="1" applyAlignment="1">
      <alignment horizontal="left" vertical="top" wrapText="1"/>
    </xf>
    <xf numFmtId="0" fontId="95" fillId="2" borderId="8" xfId="0"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top"/>
    </xf>
    <xf numFmtId="164" fontId="95" fillId="3" borderId="23" xfId="0" applyNumberFormat="1" applyFont="1" applyFill="1" applyBorder="1" applyAlignment="1">
      <alignment horizontal="left" vertical="top" wrapText="1" indent="1"/>
    </xf>
    <xf numFmtId="49" fontId="95" fillId="3" borderId="19" xfId="0" applyNumberFormat="1" applyFont="1" applyFill="1" applyBorder="1" applyAlignment="1">
      <alignment horizontal="center" vertical="top"/>
    </xf>
    <xf numFmtId="49" fontId="95" fillId="2" borderId="2" xfId="14" applyNumberFormat="1" applyFont="1" applyFill="1" applyBorder="1" applyAlignment="1">
      <alignment horizontal="left" vertical="center" wrapText="1" indent="1"/>
    </xf>
    <xf numFmtId="0" fontId="95" fillId="2" borderId="2" xfId="15" applyNumberFormat="1" applyFont="1" applyFill="1" applyBorder="1" applyAlignment="1">
      <alignment horizontal="center" vertical="top"/>
    </xf>
    <xf numFmtId="0" fontId="116" fillId="0" borderId="0" xfId="13" applyFont="1"/>
    <xf numFmtId="0" fontId="94" fillId="0" borderId="7" xfId="0" applyFont="1" applyBorder="1" applyAlignment="1">
      <alignment horizontal="left" vertical="center" wrapText="1"/>
    </xf>
    <xf numFmtId="49" fontId="94" fillId="0" borderId="0" xfId="0" applyNumberFormat="1" applyFont="1" applyAlignment="1">
      <alignment horizontal="center" vertical="center"/>
    </xf>
    <xf numFmtId="0" fontId="96" fillId="0" borderId="0" xfId="0" applyFont="1" applyAlignment="1">
      <alignment horizontal="right" vertical="center"/>
    </xf>
    <xf numFmtId="38" fontId="96" fillId="0" borderId="0" xfId="0" applyNumberFormat="1" applyFont="1" applyAlignment="1">
      <alignment horizontal="right" vertical="center"/>
    </xf>
    <xf numFmtId="38" fontId="96" fillId="0" borderId="0" xfId="0" applyNumberFormat="1" applyFont="1" applyFill="1" applyAlignment="1">
      <alignment horizontal="right" vertical="center"/>
    </xf>
    <xf numFmtId="0" fontId="94" fillId="0" borderId="2" xfId="0" applyFont="1" applyBorder="1" applyAlignment="1">
      <alignment horizontal="left" vertical="center" wrapText="1" indent="1"/>
    </xf>
    <xf numFmtId="38" fontId="96" fillId="0" borderId="0" xfId="0" applyNumberFormat="1" applyFont="1"/>
    <xf numFmtId="0" fontId="104" fillId="0" borderId="0" xfId="0" applyFont="1" applyAlignment="1">
      <alignment horizontal="left" indent="2"/>
    </xf>
    <xf numFmtId="0" fontId="104" fillId="0" borderId="0" xfId="0" applyFont="1" applyAlignment="1">
      <alignment horizontal="left"/>
    </xf>
    <xf numFmtId="0" fontId="104" fillId="0" borderId="0" xfId="0" applyFont="1" applyAlignment="1">
      <alignment horizontal="left" vertical="top" indent="2"/>
    </xf>
    <xf numFmtId="0" fontId="104" fillId="0" borderId="0" xfId="0" applyFont="1" applyAlignment="1">
      <alignment horizontal="left" vertical="top"/>
    </xf>
    <xf numFmtId="49" fontId="94" fillId="0" borderId="0" xfId="0" applyNumberFormat="1" applyFont="1" applyFill="1" applyBorder="1" applyAlignment="1" applyProtection="1">
      <alignment horizontal="left" vertical="center"/>
    </xf>
    <xf numFmtId="49" fontId="94" fillId="0" borderId="0" xfId="0" applyNumberFormat="1" applyFont="1" applyAlignment="1" applyProtection="1">
      <alignment horizontal="left" vertical="center"/>
    </xf>
    <xf numFmtId="49" fontId="94" fillId="0" borderId="23" xfId="0" applyNumberFormat="1" applyFont="1" applyBorder="1" applyAlignment="1" applyProtection="1">
      <alignment horizontal="left" vertical="center" indent="1"/>
    </xf>
    <xf numFmtId="49" fontId="94" fillId="0" borderId="14" xfId="0" applyNumberFormat="1" applyFont="1" applyBorder="1" applyAlignment="1" applyProtection="1">
      <alignment horizontal="left" vertical="center"/>
    </xf>
    <xf numFmtId="38" fontId="90" fillId="3" borderId="0" xfId="0" applyNumberFormat="1" applyFont="1" applyFill="1" applyBorder="1" applyAlignment="1" applyProtection="1">
      <alignment horizontal="right" vertical="center"/>
    </xf>
    <xf numFmtId="38" fontId="90" fillId="3" borderId="5" xfId="0" applyNumberFormat="1" applyFont="1" applyFill="1" applyBorder="1" applyAlignment="1" applyProtection="1">
      <alignment horizontal="right" vertical="center"/>
    </xf>
    <xf numFmtId="0" fontId="116" fillId="0" borderId="0" xfId="16" applyFont="1" applyFill="1"/>
    <xf numFmtId="49" fontId="95" fillId="0" borderId="2" xfId="16" applyNumberFormat="1" applyFont="1" applyFill="1" applyBorder="1" applyAlignment="1">
      <alignment horizontal="center" vertical="center" wrapText="1"/>
    </xf>
    <xf numFmtId="0" fontId="96" fillId="0" borderId="0" xfId="16" applyFont="1" applyFill="1"/>
    <xf numFmtId="164" fontId="94" fillId="0" borderId="2" xfId="16" applyNumberFormat="1" applyFont="1" applyFill="1" applyBorder="1" applyAlignment="1" applyProtection="1">
      <alignment horizontal="left" vertical="center"/>
      <protection locked="0"/>
    </xf>
    <xf numFmtId="177" fontId="94" fillId="0" borderId="2" xfId="16" applyNumberFormat="1" applyFont="1" applyFill="1" applyBorder="1" applyAlignment="1" applyProtection="1">
      <alignment horizontal="right"/>
      <protection locked="0"/>
    </xf>
    <xf numFmtId="0" fontId="96" fillId="0" borderId="0" xfId="16" applyFont="1" applyFill="1" applyAlignment="1"/>
    <xf numFmtId="0" fontId="94" fillId="0" borderId="0" xfId="16" applyFont="1" applyFill="1" applyAlignment="1"/>
    <xf numFmtId="0" fontId="116" fillId="0" borderId="0" xfId="16" applyFont="1" applyFill="1" applyAlignment="1">
      <alignment vertical="top"/>
    </xf>
    <xf numFmtId="0" fontId="94" fillId="0" borderId="0" xfId="16" applyFont="1" applyFill="1" applyBorder="1" applyAlignment="1"/>
    <xf numFmtId="0" fontId="116" fillId="0" borderId="0" xfId="16" applyFont="1" applyFill="1" applyAlignment="1"/>
    <xf numFmtId="0" fontId="94" fillId="0" borderId="0" xfId="16" applyFont="1" applyFill="1" applyAlignment="1">
      <alignment vertical="top"/>
    </xf>
    <xf numFmtId="0" fontId="94" fillId="0" borderId="0" xfId="16" applyFont="1" applyFill="1" applyAlignment="1">
      <alignment horizontal="left" indent="1"/>
    </xf>
    <xf numFmtId="49" fontId="94" fillId="0" borderId="0" xfId="16" applyNumberFormat="1" applyFont="1" applyFill="1" applyAlignment="1">
      <alignment horizontal="right" vertical="center"/>
    </xf>
    <xf numFmtId="0" fontId="94" fillId="0" borderId="0" xfId="16" applyFont="1" applyFill="1" applyAlignment="1">
      <alignment horizontal="left" vertical="center" indent="1"/>
    </xf>
    <xf numFmtId="0" fontId="94" fillId="0" borderId="0" xfId="16" applyFont="1" applyFill="1" applyAlignment="1">
      <alignment vertical="center"/>
    </xf>
    <xf numFmtId="0" fontId="94" fillId="0" borderId="0" xfId="16" applyFont="1" applyFill="1" applyAlignment="1">
      <alignment horizontal="left" vertical="top" indent="1"/>
    </xf>
    <xf numFmtId="0" fontId="94" fillId="0" borderId="0" xfId="16" applyFont="1" applyFill="1" applyAlignment="1">
      <alignment horizontal="left"/>
    </xf>
    <xf numFmtId="0" fontId="116" fillId="0" borderId="0" xfId="16" applyFont="1" applyFill="1" applyBorder="1" applyAlignment="1">
      <alignment horizontal="left" vertical="center"/>
    </xf>
    <xf numFmtId="0" fontId="94" fillId="0" borderId="0" xfId="16" applyFont="1" applyFill="1" applyBorder="1" applyAlignment="1">
      <alignment horizontal="left"/>
    </xf>
    <xf numFmtId="49" fontId="94" fillId="0" borderId="0" xfId="16" applyNumberFormat="1" applyFont="1" applyFill="1" applyBorder="1" applyAlignment="1">
      <alignment horizontal="right"/>
    </xf>
    <xf numFmtId="0" fontId="96" fillId="0" borderId="16" xfId="16" applyFont="1" applyFill="1" applyBorder="1" applyAlignment="1" applyProtection="1">
      <protection locked="0"/>
    </xf>
    <xf numFmtId="49" fontId="94" fillId="0" borderId="0" xfId="16" applyNumberFormat="1" applyFont="1" applyFill="1" applyAlignment="1">
      <alignment horizontal="left" vertical="center"/>
    </xf>
    <xf numFmtId="49" fontId="104" fillId="0" borderId="0" xfId="16" applyNumberFormat="1" applyFont="1" applyFill="1" applyAlignment="1">
      <alignment horizontal="left" vertical="center"/>
    </xf>
    <xf numFmtId="0" fontId="95" fillId="0" borderId="28" xfId="0" applyFont="1" applyBorder="1" applyAlignment="1" applyProtection="1">
      <alignment horizontal="center" vertical="center" wrapText="1"/>
    </xf>
    <xf numFmtId="0" fontId="95" fillId="0" borderId="11" xfId="0" applyFont="1" applyFill="1" applyBorder="1" applyAlignment="1" applyProtection="1">
      <alignment horizontal="center" vertical="center"/>
    </xf>
    <xf numFmtId="0" fontId="95" fillId="0" borderId="11" xfId="0" applyFont="1" applyFill="1" applyBorder="1" applyAlignment="1" applyProtection="1">
      <alignment horizontal="center" vertical="center" wrapText="1"/>
    </xf>
    <xf numFmtId="0" fontId="96" fillId="0" borderId="29" xfId="0" applyFont="1" applyBorder="1" applyAlignment="1" applyProtection="1">
      <alignment vertical="center"/>
    </xf>
    <xf numFmtId="38" fontId="90" fillId="0" borderId="11" xfId="0" applyNumberFormat="1" applyFont="1" applyBorder="1" applyAlignment="1" applyProtection="1">
      <alignment vertical="center"/>
      <protection locked="0"/>
    </xf>
    <xf numFmtId="38" fontId="90" fillId="0" borderId="11" xfId="0" applyNumberFormat="1" applyFont="1" applyFill="1" applyBorder="1" applyAlignment="1" applyProtection="1">
      <alignment horizontal="right" vertical="center"/>
      <protection locked="0"/>
    </xf>
    <xf numFmtId="0" fontId="96" fillId="2" borderId="29" xfId="0" applyFont="1" applyFill="1" applyBorder="1" applyAlignment="1" applyProtection="1">
      <alignment vertical="center"/>
    </xf>
    <xf numFmtId="38" fontId="90" fillId="2" borderId="30" xfId="0" applyNumberFormat="1" applyFont="1" applyFill="1" applyBorder="1" applyAlignment="1" applyProtection="1">
      <alignment horizontal="right" vertical="center"/>
    </xf>
    <xf numFmtId="49" fontId="94" fillId="0" borderId="29" xfId="0" applyNumberFormat="1" applyFont="1" applyBorder="1" applyAlignment="1" applyProtection="1">
      <alignment horizontal="center" vertical="center" wrapText="1"/>
    </xf>
    <xf numFmtId="38" fontId="90" fillId="2" borderId="31" xfId="0" applyNumberFormat="1" applyFont="1" applyFill="1" applyBorder="1" applyAlignment="1" applyProtection="1">
      <alignment vertical="center"/>
    </xf>
    <xf numFmtId="38" fontId="90" fillId="2" borderId="31" xfId="0" applyNumberFormat="1" applyFont="1" applyFill="1" applyBorder="1" applyAlignment="1" applyProtection="1">
      <alignment horizontal="right" vertical="center"/>
    </xf>
    <xf numFmtId="0" fontId="94" fillId="0" borderId="32" xfId="0" applyFont="1" applyBorder="1" applyAlignment="1" applyProtection="1">
      <alignment horizontal="left" indent="1"/>
    </xf>
    <xf numFmtId="0" fontId="94" fillId="0" borderId="33" xfId="0" applyFont="1" applyBorder="1" applyAlignment="1" applyProtection="1">
      <alignment horizontal="left" indent="1"/>
    </xf>
    <xf numFmtId="0" fontId="96" fillId="0" borderId="29" xfId="0" applyFont="1" applyBorder="1" applyAlignment="1">
      <alignment horizontal="left" indent="1"/>
    </xf>
    <xf numFmtId="49" fontId="94" fillId="0" borderId="29" xfId="0" applyNumberFormat="1" applyFont="1" applyBorder="1" applyAlignment="1" applyProtection="1">
      <alignment horizontal="center" vertical="center"/>
    </xf>
    <xf numFmtId="0" fontId="94" fillId="0" borderId="32" xfId="0" applyFont="1" applyBorder="1" applyAlignment="1" applyProtection="1">
      <alignment horizontal="left" vertical="center"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38" fontId="90" fillId="2" borderId="11" xfId="0" applyNumberFormat="1" applyFont="1" applyFill="1" applyBorder="1" applyAlignment="1" applyProtection="1">
      <alignment horizontal="right" vertical="center"/>
    </xf>
    <xf numFmtId="49" fontId="94" fillId="0" borderId="33" xfId="0" applyNumberFormat="1" applyFont="1" applyBorder="1" applyAlignment="1" applyProtection="1">
      <alignment horizontal="center" vertical="center"/>
    </xf>
    <xf numFmtId="49" fontId="94" fillId="2" borderId="34" xfId="0" applyNumberFormat="1" applyFont="1" applyFill="1" applyBorder="1" applyAlignment="1" applyProtection="1">
      <alignment horizontal="center" vertical="center"/>
    </xf>
    <xf numFmtId="49" fontId="94" fillId="0" borderId="11" xfId="0" applyNumberFormat="1" applyFont="1" applyBorder="1" applyAlignment="1" applyProtection="1">
      <alignment horizontal="center" vertical="center"/>
    </xf>
    <xf numFmtId="49" fontId="94" fillId="3" borderId="11" xfId="0" applyNumberFormat="1" applyFont="1" applyFill="1" applyBorder="1" applyAlignment="1" applyProtection="1">
      <alignment horizontal="center" vertical="center"/>
    </xf>
    <xf numFmtId="38" fontId="90" fillId="3" borderId="31" xfId="0" applyNumberFormat="1" applyFont="1" applyFill="1" applyBorder="1" applyAlignment="1" applyProtection="1">
      <alignment horizontal="right" vertical="center"/>
    </xf>
    <xf numFmtId="38" fontId="90" fillId="2" borderId="35" xfId="0" applyNumberFormat="1" applyFont="1" applyFill="1" applyBorder="1" applyAlignment="1" applyProtection="1">
      <alignment horizontal="right" vertical="center"/>
    </xf>
    <xf numFmtId="0" fontId="95" fillId="0" borderId="32" xfId="0" applyFont="1" applyFill="1" applyBorder="1" applyAlignment="1">
      <alignment horizontal="left" indent="2"/>
    </xf>
    <xf numFmtId="0" fontId="95" fillId="0" borderId="33" xfId="0" applyFont="1" applyFill="1" applyBorder="1" applyAlignment="1" applyProtection="1">
      <alignment horizontal="left" vertical="center"/>
    </xf>
    <xf numFmtId="0" fontId="96" fillId="0" borderId="29" xfId="0" applyFont="1" applyBorder="1" applyAlignment="1" applyProtection="1"/>
    <xf numFmtId="0" fontId="94" fillId="0" borderId="11" xfId="0" applyFont="1" applyFill="1" applyBorder="1" applyAlignment="1">
      <alignment horizontal="center" wrapText="1"/>
    </xf>
    <xf numFmtId="0" fontId="90" fillId="0" borderId="36" xfId="0" applyFont="1" applyBorder="1" applyAlignment="1" applyProtection="1">
      <alignment vertical="center"/>
    </xf>
    <xf numFmtId="0" fontId="96" fillId="0" borderId="28" xfId="0" applyFont="1" applyBorder="1" applyProtection="1"/>
    <xf numFmtId="0" fontId="96" fillId="0" borderId="37" xfId="0" applyFont="1" applyBorder="1" applyProtection="1"/>
    <xf numFmtId="0" fontId="105" fillId="0" borderId="0" xfId="0" applyFont="1" applyBorder="1" applyAlignment="1" applyProtection="1">
      <alignment horizontal="center"/>
    </xf>
    <xf numFmtId="0" fontId="105" fillId="0" borderId="11" xfId="0" applyFont="1" applyBorder="1" applyAlignment="1" applyProtection="1">
      <alignment horizontal="center"/>
      <protection locked="0"/>
    </xf>
    <xf numFmtId="0" fontId="94" fillId="0" borderId="0" xfId="0" applyFont="1" applyAlignment="1" applyProtection="1">
      <alignment horizontal="left" vertical="center" indent="1"/>
    </xf>
    <xf numFmtId="0" fontId="94" fillId="0" borderId="38" xfId="0" applyFont="1" applyBorder="1" applyAlignment="1" applyProtection="1">
      <alignment vertical="center"/>
    </xf>
    <xf numFmtId="0" fontId="94" fillId="0" borderId="0" xfId="0" applyFont="1" applyAlignment="1" applyProtection="1">
      <alignment horizontal="left" indent="1"/>
    </xf>
    <xf numFmtId="0" fontId="94" fillId="0" borderId="11" xfId="0" applyFont="1" applyBorder="1" applyAlignment="1" applyProtection="1">
      <alignment horizontal="left" vertical="center"/>
    </xf>
    <xf numFmtId="0" fontId="104" fillId="0" borderId="38" xfId="0" applyFont="1" applyBorder="1" applyAlignment="1" applyProtection="1"/>
    <xf numFmtId="0" fontId="90" fillId="0" borderId="37" xfId="0" applyFont="1" applyBorder="1" applyAlignment="1" applyProtection="1">
      <alignment vertical="center"/>
    </xf>
    <xf numFmtId="0" fontId="104" fillId="0" borderId="38" xfId="0" applyFont="1" applyBorder="1" applyAlignment="1" applyProtection="1">
      <alignment vertical="top"/>
    </xf>
    <xf numFmtId="0" fontId="96" fillId="2" borderId="33" xfId="0" applyFont="1" applyFill="1" applyBorder="1" applyProtection="1"/>
    <xf numFmtId="0" fontId="90" fillId="2" borderId="11" xfId="0" applyFont="1" applyFill="1" applyBorder="1" applyAlignment="1" applyProtection="1">
      <alignment vertical="center"/>
    </xf>
    <xf numFmtId="0" fontId="122" fillId="0" borderId="0" xfId="0" applyFont="1" applyAlignment="1" applyProtection="1">
      <alignment horizontal="left" indent="2"/>
    </xf>
    <xf numFmtId="0" fontId="94" fillId="0" borderId="33" xfId="0" applyFont="1" applyBorder="1" applyAlignment="1" applyProtection="1">
      <alignment vertical="center"/>
    </xf>
    <xf numFmtId="0" fontId="94" fillId="0" borderId="29" xfId="0" applyFont="1" applyBorder="1" applyAlignment="1" applyProtection="1">
      <alignment vertical="center"/>
    </xf>
    <xf numFmtId="0" fontId="94" fillId="0" borderId="33" xfId="0" applyFont="1" applyBorder="1" applyAlignment="1" applyProtection="1">
      <alignment horizontal="left" vertical="center" indent="1"/>
    </xf>
    <xf numFmtId="0" fontId="122" fillId="0" borderId="0" xfId="0" applyFont="1" applyAlignment="1" applyProtection="1">
      <alignment horizontal="left" vertical="top"/>
    </xf>
    <xf numFmtId="0" fontId="94" fillId="0" borderId="0" xfId="0" applyFont="1" applyAlignment="1" applyProtection="1">
      <alignment vertical="top"/>
    </xf>
    <xf numFmtId="0" fontId="96" fillId="0" borderId="0" xfId="0" applyFont="1" applyAlignment="1" applyProtection="1">
      <alignment vertical="top"/>
    </xf>
    <xf numFmtId="0" fontId="96" fillId="0" borderId="0" xfId="0" applyFont="1" applyBorder="1" applyAlignment="1" applyProtection="1">
      <alignment vertical="top"/>
    </xf>
    <xf numFmtId="0" fontId="95" fillId="2" borderId="32" xfId="0" applyFont="1" applyFill="1" applyBorder="1" applyAlignment="1" applyProtection="1">
      <alignment vertical="center"/>
    </xf>
    <xf numFmtId="0" fontId="110" fillId="0" borderId="36" xfId="0" applyFont="1" applyFill="1" applyBorder="1" applyAlignment="1" applyProtection="1">
      <alignment horizontal="left" indent="2"/>
    </xf>
    <xf numFmtId="0" fontId="96" fillId="0" borderId="28" xfId="0" applyFont="1" applyBorder="1" applyAlignment="1">
      <alignment horizontal="left" vertical="center"/>
    </xf>
    <xf numFmtId="0" fontId="96" fillId="0" borderId="28" xfId="0" applyFont="1" applyFill="1" applyBorder="1" applyAlignment="1" applyProtection="1">
      <alignment vertical="center"/>
    </xf>
    <xf numFmtId="0" fontId="89" fillId="0" borderId="28" xfId="0" applyFont="1" applyFill="1" applyBorder="1" applyAlignment="1" applyProtection="1">
      <alignment horizontal="left" vertical="center"/>
    </xf>
    <xf numFmtId="0" fontId="96" fillId="0" borderId="28" xfId="0" applyFont="1" applyFill="1" applyBorder="1" applyAlignment="1">
      <alignment horizontal="left" vertical="center"/>
    </xf>
    <xf numFmtId="0" fontId="95" fillId="0" borderId="36" xfId="0" applyFont="1" applyBorder="1" applyAlignment="1" applyProtection="1">
      <alignment horizontal="center" vertical="center" wrapText="1"/>
    </xf>
    <xf numFmtId="0" fontId="95" fillId="0" borderId="31" xfId="0" applyFont="1" applyBorder="1" applyAlignment="1" applyProtection="1">
      <alignment horizontal="center" vertical="center" wrapText="1"/>
    </xf>
    <xf numFmtId="0" fontId="96" fillId="0" borderId="0" xfId="0" applyFont="1" applyAlignment="1" applyProtection="1">
      <alignment horizontal="center" vertical="center" wrapText="1"/>
    </xf>
    <xf numFmtId="38" fontId="90" fillId="0" borderId="35" xfId="0" applyNumberFormat="1" applyFont="1" applyFill="1" applyBorder="1" applyAlignment="1" applyProtection="1">
      <alignment horizontal="right" vertical="center"/>
      <protection locked="0"/>
    </xf>
    <xf numFmtId="0" fontId="95" fillId="2" borderId="35" xfId="0" applyFont="1" applyFill="1" applyBorder="1" applyAlignment="1" applyProtection="1">
      <alignment horizontal="center" vertical="center" wrapText="1"/>
    </xf>
    <xf numFmtId="38" fontId="95" fillId="2" borderId="35" xfId="0" quotePrefix="1" applyNumberFormat="1" applyFont="1" applyFill="1" applyBorder="1" applyAlignment="1" applyProtection="1">
      <alignment horizontal="center" vertical="center"/>
    </xf>
    <xf numFmtId="49" fontId="90" fillId="2" borderId="30" xfId="0" applyNumberFormat="1" applyFont="1" applyFill="1" applyBorder="1" applyAlignment="1" applyProtection="1">
      <alignment horizontal="right" vertical="center"/>
    </xf>
    <xf numFmtId="49" fontId="90" fillId="2" borderId="35" xfId="0" applyNumberFormat="1" applyFont="1" applyFill="1" applyBorder="1" applyAlignment="1" applyProtection="1">
      <alignment horizontal="right" vertical="center"/>
    </xf>
    <xf numFmtId="0" fontId="94" fillId="0" borderId="11" xfId="0" applyFont="1" applyBorder="1" applyAlignment="1" applyProtection="1">
      <alignment horizontal="center" vertical="center"/>
    </xf>
    <xf numFmtId="49" fontId="90" fillId="3" borderId="31" xfId="0" applyNumberFormat="1" applyFont="1" applyFill="1" applyBorder="1" applyAlignment="1" applyProtection="1">
      <alignment horizontal="right" vertical="center"/>
    </xf>
    <xf numFmtId="38" fontId="95" fillId="2" borderId="35" xfId="0" applyNumberFormat="1" applyFont="1" applyFill="1" applyBorder="1" applyAlignment="1" applyProtection="1">
      <alignment horizontal="center" vertical="center"/>
    </xf>
    <xf numFmtId="0" fontId="94" fillId="0" borderId="32" xfId="0" applyFont="1" applyBorder="1" applyAlignment="1" applyProtection="1">
      <alignment horizontal="left" vertical="center" wrapText="1" indent="1"/>
    </xf>
    <xf numFmtId="38" fontId="90" fillId="0" borderId="11" xfId="0" applyNumberFormat="1" applyFont="1" applyFill="1" applyBorder="1" applyAlignment="1" applyProtection="1">
      <alignment horizontal="right"/>
      <protection locked="0"/>
    </xf>
    <xf numFmtId="0" fontId="94" fillId="0" borderId="32" xfId="0" applyFont="1" applyBorder="1" applyAlignment="1" applyProtection="1">
      <alignment horizontal="left" vertical="center" wrapText="1" indent="2"/>
    </xf>
    <xf numFmtId="49" fontId="95" fillId="2" borderId="35" xfId="0" applyNumberFormat="1" applyFont="1" applyFill="1" applyBorder="1" applyAlignment="1" applyProtection="1">
      <alignment horizontal="center" vertical="center"/>
    </xf>
    <xf numFmtId="38" fontId="90" fillId="2" borderId="39" xfId="0" applyNumberFormat="1" applyFont="1" applyFill="1" applyBorder="1" applyAlignment="1" applyProtection="1">
      <alignment horizontal="right" vertical="center"/>
    </xf>
    <xf numFmtId="0" fontId="96" fillId="2" borderId="31" xfId="0" applyFont="1" applyFill="1" applyBorder="1" applyAlignment="1" applyProtection="1">
      <alignment vertical="center"/>
    </xf>
    <xf numFmtId="0" fontId="96" fillId="0" borderId="0" xfId="0" applyFont="1" applyAlignment="1" applyProtection="1">
      <alignment horizontal="right" vertical="center" indent="1"/>
    </xf>
    <xf numFmtId="0" fontId="94" fillId="0" borderId="0" xfId="0" applyFont="1" applyAlignment="1" applyProtection="1">
      <alignment horizontal="right" vertical="center" indent="1"/>
    </xf>
    <xf numFmtId="0" fontId="94" fillId="0" borderId="0" xfId="0" applyFont="1" applyBorder="1" applyAlignment="1" applyProtection="1">
      <alignment horizontal="right" vertical="center" indent="1"/>
    </xf>
    <xf numFmtId="0" fontId="94" fillId="0" borderId="40" xfId="17" applyFont="1" applyFill="1" applyBorder="1" applyAlignment="1">
      <alignment vertical="center"/>
    </xf>
    <xf numFmtId="0" fontId="94" fillId="0" borderId="0" xfId="17" applyFont="1" applyAlignment="1">
      <alignment vertical="center"/>
    </xf>
    <xf numFmtId="0" fontId="94" fillId="0" borderId="40" xfId="17" applyFont="1" applyFill="1" applyBorder="1" applyAlignment="1">
      <alignment horizontal="centerContinuous" vertical="center"/>
    </xf>
    <xf numFmtId="0" fontId="123" fillId="0" borderId="0" xfId="17" applyFont="1" applyBorder="1" applyAlignment="1">
      <alignment vertical="top"/>
    </xf>
    <xf numFmtId="0" fontId="94" fillId="0" borderId="0" xfId="17" applyFont="1" applyBorder="1" applyAlignment="1">
      <alignment vertical="center"/>
    </xf>
    <xf numFmtId="0" fontId="94" fillId="0" borderId="0" xfId="17" applyFont="1" applyBorder="1" applyAlignment="1">
      <alignment horizontal="right" vertical="center"/>
    </xf>
    <xf numFmtId="0" fontId="124" fillId="0" borderId="0" xfId="17" applyFont="1" applyFill="1" applyAlignment="1">
      <alignment horizontal="left" vertical="center" indent="1"/>
    </xf>
    <xf numFmtId="0" fontId="124" fillId="0" borderId="0" xfId="17" applyFont="1" applyAlignment="1">
      <alignment horizontal="center" vertical="center"/>
    </xf>
    <xf numFmtId="0" fontId="94" fillId="0" borderId="0" xfId="17" applyFont="1" applyAlignment="1">
      <alignment horizontal="right" vertical="center"/>
    </xf>
    <xf numFmtId="0" fontId="124" fillId="0" borderId="0" xfId="17" applyFont="1" applyAlignment="1">
      <alignment vertical="center"/>
    </xf>
    <xf numFmtId="0" fontId="94" fillId="0" borderId="0" xfId="17" applyFont="1" applyFill="1" applyAlignment="1">
      <alignment vertical="center"/>
    </xf>
    <xf numFmtId="0" fontId="95" fillId="0" borderId="0" xfId="17" applyFont="1" applyFill="1" applyBorder="1" applyAlignment="1">
      <alignment horizontal="left"/>
    </xf>
    <xf numFmtId="0" fontId="94" fillId="0" borderId="0" xfId="17" applyFont="1" applyFill="1" applyBorder="1" applyAlignment="1">
      <alignment vertical="center"/>
    </xf>
    <xf numFmtId="0" fontId="94" fillId="0" borderId="0" xfId="17" applyFont="1" applyFill="1" applyBorder="1" applyAlignment="1">
      <alignment horizontal="right" vertical="center"/>
    </xf>
    <xf numFmtId="0" fontId="94" fillId="0" borderId="0" xfId="17" applyFont="1" applyFill="1" applyAlignment="1">
      <alignment horizontal="left" vertical="center"/>
    </xf>
    <xf numFmtId="49" fontId="94" fillId="0" borderId="0" xfId="17" applyNumberFormat="1" applyFont="1" applyFill="1" applyAlignment="1">
      <alignment horizontal="left" vertical="center"/>
    </xf>
    <xf numFmtId="0" fontId="94" fillId="0" borderId="0" xfId="17" applyFont="1" applyFill="1" applyAlignment="1">
      <alignment horizontal="right" vertical="center"/>
    </xf>
    <xf numFmtId="3" fontId="94" fillId="0" borderId="0" xfId="17" applyNumberFormat="1" applyFont="1" applyFill="1" applyAlignment="1">
      <alignment vertical="center"/>
    </xf>
    <xf numFmtId="3" fontId="94" fillId="0" borderId="0" xfId="17" applyNumberFormat="1" applyFont="1" applyFill="1" applyBorder="1" applyAlignment="1">
      <alignment vertical="center"/>
    </xf>
    <xf numFmtId="0" fontId="95" fillId="0" borderId="0" xfId="17" applyFont="1" applyFill="1" applyBorder="1" applyAlignment="1">
      <alignment horizontal="left" vertical="center"/>
    </xf>
    <xf numFmtId="0" fontId="94" fillId="0" borderId="0" xfId="17" applyFont="1" applyFill="1" applyAlignment="1">
      <alignment horizontal="center" vertical="center"/>
    </xf>
    <xf numFmtId="0" fontId="94" fillId="0" borderId="0" xfId="17" applyFont="1" applyFill="1" applyAlignment="1">
      <alignment vertical="center" wrapText="1"/>
    </xf>
    <xf numFmtId="0" fontId="94" fillId="0" borderId="0" xfId="17" applyFont="1" applyFill="1" applyAlignment="1">
      <alignment horizontal="center" vertical="top"/>
    </xf>
    <xf numFmtId="0" fontId="94" fillId="0" borderId="0" xfId="17" applyFont="1" applyFill="1" applyAlignment="1">
      <alignment vertical="top" wrapText="1"/>
    </xf>
    <xf numFmtId="0" fontId="94" fillId="0" borderId="0" xfId="17" applyFont="1" applyFill="1" applyBorder="1" applyAlignment="1">
      <alignment horizontal="right" vertical="top"/>
    </xf>
    <xf numFmtId="1" fontId="94" fillId="0" borderId="0" xfId="17" applyNumberFormat="1" applyFont="1" applyFill="1" applyAlignment="1">
      <alignment horizontal="center" vertical="center"/>
    </xf>
    <xf numFmtId="1" fontId="94" fillId="0" borderId="0" xfId="17" applyNumberFormat="1" applyFont="1" applyFill="1" applyAlignment="1">
      <alignment horizontal="left" vertical="center"/>
    </xf>
    <xf numFmtId="0" fontId="94" fillId="0" borderId="0" xfId="17" quotePrefix="1" applyFont="1" applyFill="1" applyAlignment="1">
      <alignment horizontal="left" vertical="center" wrapText="1"/>
    </xf>
    <xf numFmtId="167" fontId="94" fillId="0" borderId="0" xfId="17" applyNumberFormat="1" applyFont="1" applyFill="1" applyBorder="1" applyAlignment="1" applyProtection="1">
      <alignment horizontal="right" vertical="center"/>
    </xf>
    <xf numFmtId="0" fontId="94" fillId="0" borderId="0" xfId="17" applyFont="1" applyFill="1" applyAlignment="1">
      <alignment horizontal="left" vertical="center" wrapText="1"/>
    </xf>
    <xf numFmtId="49" fontId="94" fillId="0" borderId="0" xfId="17" applyNumberFormat="1" applyFont="1" applyFill="1" applyAlignment="1">
      <alignment horizontal="center" vertical="center"/>
    </xf>
    <xf numFmtId="3" fontId="94" fillId="0" borderId="0" xfId="17" quotePrefix="1" applyNumberFormat="1" applyFont="1" applyFill="1" applyAlignment="1">
      <alignment horizontal="left" vertical="center" wrapText="1"/>
    </xf>
    <xf numFmtId="3" fontId="94" fillId="0" borderId="0" xfId="17" applyNumberFormat="1" applyFont="1" applyFill="1" applyAlignment="1">
      <alignment vertical="center" wrapText="1"/>
    </xf>
    <xf numFmtId="0" fontId="94" fillId="0" borderId="0" xfId="17" applyNumberFormat="1" applyFont="1" applyFill="1" applyAlignment="1">
      <alignment horizontal="center" vertical="center"/>
    </xf>
    <xf numFmtId="3" fontId="94" fillId="0" borderId="0" xfId="17" applyNumberFormat="1" applyFont="1" applyFill="1" applyAlignment="1">
      <alignment horizontal="center" vertical="center" wrapText="1"/>
    </xf>
    <xf numFmtId="3" fontId="94" fillId="0" borderId="0" xfId="17" applyNumberFormat="1" applyFont="1" applyAlignment="1">
      <alignment vertical="center"/>
    </xf>
    <xf numFmtId="3" fontId="94" fillId="0" borderId="0" xfId="17" applyNumberFormat="1" applyFont="1" applyFill="1" applyAlignment="1">
      <alignment horizontal="left" vertical="center" wrapText="1"/>
    </xf>
    <xf numFmtId="0" fontId="94" fillId="0" borderId="0" xfId="17" applyFont="1" applyAlignment="1">
      <alignment horizontal="left" vertical="center"/>
    </xf>
    <xf numFmtId="0" fontId="94" fillId="0" borderId="0" xfId="17" applyFont="1" applyAlignment="1">
      <alignment horizontal="center" vertical="center"/>
    </xf>
    <xf numFmtId="0" fontId="94" fillId="0" borderId="0" xfId="17" applyFont="1" applyFill="1" applyAlignment="1">
      <alignment horizontal="left" vertical="top"/>
    </xf>
    <xf numFmtId="49" fontId="94" fillId="0" borderId="0" xfId="17" applyNumberFormat="1" applyFont="1" applyFill="1" applyAlignment="1">
      <alignment horizontal="center" vertical="top"/>
    </xf>
    <xf numFmtId="3" fontId="94" fillId="0" borderId="0" xfId="17" applyNumberFormat="1" applyFont="1" applyFill="1" applyAlignment="1">
      <alignment horizontal="left" vertical="top" wrapText="1"/>
    </xf>
    <xf numFmtId="0" fontId="94" fillId="0" borderId="0" xfId="17" applyFont="1" applyFill="1" applyBorder="1" applyAlignment="1">
      <alignment horizontal="left" vertical="center"/>
    </xf>
    <xf numFmtId="0" fontId="95" fillId="0" borderId="0" xfId="17" quotePrefix="1" applyFont="1" applyFill="1" applyAlignment="1">
      <alignment horizontal="left" vertical="center"/>
    </xf>
    <xf numFmtId="0" fontId="95" fillId="0" borderId="0" xfId="17" applyFont="1" applyFill="1" applyAlignment="1">
      <alignment horizontal="right" vertical="center"/>
    </xf>
    <xf numFmtId="0" fontId="94" fillId="0" borderId="0" xfId="17" applyFont="1" applyFill="1" applyAlignment="1" applyProtection="1">
      <alignment horizontal="left" vertical="center"/>
    </xf>
    <xf numFmtId="0" fontId="95" fillId="0" borderId="0" xfId="18" applyFont="1" applyFill="1" applyBorder="1" applyAlignment="1">
      <alignment vertical="center"/>
    </xf>
    <xf numFmtId="0" fontId="94" fillId="0" borderId="0" xfId="18" applyFont="1" applyFill="1" applyBorder="1" applyAlignment="1">
      <alignment vertical="center"/>
    </xf>
    <xf numFmtId="0" fontId="94" fillId="0" borderId="0" xfId="18" applyFont="1" applyFill="1" applyBorder="1" applyAlignment="1">
      <alignment horizontal="right" vertical="center"/>
    </xf>
    <xf numFmtId="0" fontId="114" fillId="0" borderId="0" xfId="0" quotePrefix="1" applyFont="1" applyFill="1" applyBorder="1" applyAlignment="1">
      <alignment horizontal="left" vertical="center"/>
    </xf>
    <xf numFmtId="0" fontId="94" fillId="0" borderId="0" xfId="18" applyFont="1" applyFill="1" applyAlignment="1">
      <alignment horizontal="left" vertical="center"/>
    </xf>
    <xf numFmtId="49" fontId="94" fillId="0" borderId="0" xfId="18" applyNumberFormat="1" applyFont="1" applyFill="1" applyAlignment="1">
      <alignment horizontal="left" vertical="center"/>
    </xf>
    <xf numFmtId="0" fontId="94" fillId="0" borderId="0" xfId="18" applyFont="1" applyFill="1" applyAlignment="1">
      <alignment horizontal="center" vertical="center"/>
    </xf>
    <xf numFmtId="0" fontId="94" fillId="0" borderId="0" xfId="18" applyFont="1" applyFill="1" applyAlignment="1">
      <alignment vertical="center" wrapText="1"/>
    </xf>
    <xf numFmtId="0" fontId="94" fillId="0" borderId="0" xfId="18" applyFont="1" applyFill="1" applyAlignment="1">
      <alignment vertical="center"/>
    </xf>
    <xf numFmtId="0" fontId="94" fillId="0" borderId="0" xfId="18" applyNumberFormat="1" applyFont="1" applyFill="1" applyAlignment="1">
      <alignment horizontal="center" vertical="center"/>
    </xf>
    <xf numFmtId="3" fontId="94" fillId="0" borderId="0" xfId="18" applyNumberFormat="1" applyFont="1" applyFill="1" applyAlignment="1">
      <alignment vertical="center"/>
    </xf>
    <xf numFmtId="0" fontId="94" fillId="0" borderId="0" xfId="18" applyFont="1" applyFill="1" applyAlignment="1">
      <alignment horizontal="center" vertical="top"/>
    </xf>
    <xf numFmtId="3" fontId="94" fillId="0" borderId="0" xfId="18" applyNumberFormat="1" applyFont="1" applyFill="1" applyBorder="1" applyAlignment="1">
      <alignment vertical="center"/>
    </xf>
    <xf numFmtId="38" fontId="94" fillId="0" borderId="0" xfId="18" applyNumberFormat="1" applyFont="1" applyFill="1" applyAlignment="1">
      <alignment horizontal="left" vertical="center" wrapText="1"/>
    </xf>
    <xf numFmtId="0" fontId="94" fillId="0" borderId="0" xfId="18" applyFont="1" applyFill="1" applyAlignment="1">
      <alignment horizontal="left" vertical="center" wrapText="1"/>
    </xf>
    <xf numFmtId="0" fontId="94" fillId="0" borderId="0" xfId="18" quotePrefix="1" applyFont="1" applyFill="1" applyAlignment="1">
      <alignment horizontal="left" vertical="center" wrapText="1"/>
    </xf>
    <xf numFmtId="1" fontId="94" fillId="0" borderId="0" xfId="18" applyNumberFormat="1" applyFont="1" applyFill="1" applyAlignment="1">
      <alignment horizontal="center" vertical="center"/>
    </xf>
    <xf numFmtId="0" fontId="94" fillId="0" borderId="0" xfId="18" quotePrefix="1" applyFont="1" applyFill="1" applyAlignment="1">
      <alignment horizontal="left" vertical="center"/>
    </xf>
    <xf numFmtId="1" fontId="94" fillId="0" borderId="0" xfId="18" quotePrefix="1" applyNumberFormat="1" applyFont="1" applyFill="1" applyAlignment="1">
      <alignment horizontal="center" vertical="center"/>
    </xf>
    <xf numFmtId="0" fontId="94" fillId="0" borderId="0" xfId="18" applyFont="1" applyFill="1" applyAlignment="1">
      <alignment horizontal="left" vertical="top"/>
    </xf>
    <xf numFmtId="1" fontId="94" fillId="0" borderId="0" xfId="18" applyNumberFormat="1" applyFont="1" applyFill="1" applyAlignment="1">
      <alignment horizontal="center" vertical="top"/>
    </xf>
    <xf numFmtId="0" fontId="94" fillId="0" borderId="0" xfId="18" applyFont="1" applyFill="1" applyAlignment="1">
      <alignment vertical="top" wrapText="1"/>
    </xf>
    <xf numFmtId="0" fontId="94" fillId="0" borderId="0" xfId="18" applyFont="1" applyFill="1" applyBorder="1" applyAlignment="1">
      <alignment horizontal="right" vertical="top"/>
    </xf>
    <xf numFmtId="0" fontId="94" fillId="0" borderId="0" xfId="18" applyFont="1" applyAlignment="1">
      <alignment horizontal="left" vertical="center"/>
    </xf>
    <xf numFmtId="1" fontId="94" fillId="0" borderId="0" xfId="18" applyNumberFormat="1" applyFont="1" applyAlignment="1">
      <alignment horizontal="center" vertical="center"/>
    </xf>
    <xf numFmtId="0" fontId="94" fillId="0" borderId="0" xfId="18" applyFont="1" applyAlignment="1">
      <alignment vertical="center" wrapText="1"/>
    </xf>
    <xf numFmtId="0" fontId="94" fillId="0" borderId="0" xfId="18" applyFont="1" applyAlignment="1">
      <alignment vertical="center"/>
    </xf>
    <xf numFmtId="167" fontId="94" fillId="0" borderId="0" xfId="18" applyNumberFormat="1" applyFont="1" applyFill="1" applyBorder="1" applyAlignment="1" applyProtection="1">
      <alignment horizontal="right" vertical="center"/>
    </xf>
    <xf numFmtId="0" fontId="94" fillId="0" borderId="0" xfId="18" applyFont="1" applyAlignment="1">
      <alignment horizontal="center" vertical="center"/>
    </xf>
    <xf numFmtId="0" fontId="94" fillId="0" borderId="0" xfId="18" applyFont="1" applyAlignment="1">
      <alignment horizontal="left" vertical="center" wrapText="1"/>
    </xf>
    <xf numFmtId="49" fontId="94" fillId="7" borderId="0" xfId="18" applyNumberFormat="1" applyFont="1" applyFill="1" applyBorder="1" applyAlignment="1">
      <alignment horizontal="left" vertical="center"/>
    </xf>
    <xf numFmtId="49" fontId="94" fillId="7" borderId="0" xfId="18" applyNumberFormat="1" applyFont="1" applyFill="1" applyBorder="1" applyAlignment="1">
      <alignment horizontal="center" vertical="center"/>
    </xf>
    <xf numFmtId="0" fontId="94" fillId="7" borderId="0" xfId="18" applyNumberFormat="1" applyFont="1" applyFill="1" applyBorder="1" applyAlignment="1">
      <alignment vertical="center" wrapText="1"/>
    </xf>
    <xf numFmtId="49" fontId="94" fillId="7" borderId="0" xfId="18" applyNumberFormat="1" applyFont="1" applyFill="1" applyBorder="1" applyAlignment="1">
      <alignment horizontal="right" vertical="center"/>
    </xf>
    <xf numFmtId="49" fontId="94" fillId="0" borderId="0" xfId="18" applyNumberFormat="1" applyFont="1" applyFill="1" applyBorder="1" applyAlignment="1">
      <alignment horizontal="left" vertical="center"/>
    </xf>
    <xf numFmtId="49" fontId="94" fillId="0" borderId="0" xfId="18" applyNumberFormat="1" applyFont="1" applyFill="1" applyBorder="1" applyAlignment="1">
      <alignment horizontal="left" vertical="center" wrapText="1"/>
    </xf>
    <xf numFmtId="49" fontId="94" fillId="0" borderId="0" xfId="18" applyNumberFormat="1" applyFont="1" applyFill="1" applyBorder="1" applyAlignment="1">
      <alignment horizontal="center" vertical="center"/>
    </xf>
    <xf numFmtId="0" fontId="94" fillId="0" borderId="0" xfId="18" applyNumberFormat="1" applyFont="1" applyFill="1" applyBorder="1" applyAlignment="1">
      <alignment vertical="center" wrapText="1"/>
    </xf>
    <xf numFmtId="49" fontId="94" fillId="0" borderId="0" xfId="18" applyNumberFormat="1" applyFont="1" applyFill="1" applyBorder="1" applyAlignment="1">
      <alignment horizontal="right" vertical="center"/>
    </xf>
    <xf numFmtId="0" fontId="94" fillId="0" borderId="0" xfId="18" applyFont="1" applyBorder="1" applyAlignment="1">
      <alignment vertical="center"/>
    </xf>
    <xf numFmtId="0" fontId="94" fillId="0" borderId="0" xfId="18" applyFont="1" applyAlignment="1">
      <alignment horizontal="left" vertical="top"/>
    </xf>
    <xf numFmtId="0" fontId="94" fillId="0" borderId="0" xfId="18" applyFont="1" applyAlignment="1">
      <alignment horizontal="center" vertical="top"/>
    </xf>
    <xf numFmtId="0" fontId="94" fillId="0" borderId="0" xfId="18" applyFont="1" applyAlignment="1">
      <alignment horizontal="left" vertical="top" wrapText="1"/>
    </xf>
    <xf numFmtId="0" fontId="94" fillId="0" borderId="0" xfId="18" applyFont="1" applyBorder="1" applyAlignment="1">
      <alignment horizontal="left" vertical="center"/>
    </xf>
    <xf numFmtId="0" fontId="94" fillId="0" borderId="0" xfId="18" quotePrefix="1" applyFont="1" applyAlignment="1">
      <alignment horizontal="left" vertical="top"/>
    </xf>
    <xf numFmtId="0" fontId="94" fillId="0" borderId="0" xfId="18" applyFont="1" applyAlignment="1">
      <alignment horizontal="right" vertical="center"/>
    </xf>
    <xf numFmtId="0" fontId="94" fillId="0" borderId="0" xfId="18" applyFont="1" applyAlignment="1" applyProtection="1">
      <alignment vertical="center"/>
    </xf>
    <xf numFmtId="0" fontId="89" fillId="2" borderId="8" xfId="0" applyFont="1" applyFill="1" applyBorder="1" applyAlignment="1">
      <alignment horizontal="left"/>
    </xf>
    <xf numFmtId="0" fontId="89" fillId="2" borderId="3" xfId="0" applyFont="1" applyFill="1" applyBorder="1"/>
    <xf numFmtId="0" fontId="96" fillId="2" borderId="3" xfId="0" applyFont="1" applyFill="1" applyBorder="1"/>
    <xf numFmtId="0" fontId="96" fillId="2" borderId="4" xfId="0" applyFont="1" applyFill="1" applyBorder="1"/>
    <xf numFmtId="0" fontId="89" fillId="2" borderId="0" xfId="0" applyFont="1" applyFill="1" applyBorder="1" applyAlignment="1"/>
    <xf numFmtId="0" fontId="89" fillId="2" borderId="0" xfId="0" applyFont="1" applyFill="1" applyBorder="1"/>
    <xf numFmtId="0" fontId="96" fillId="2" borderId="0" xfId="0" applyFont="1" applyFill="1" applyBorder="1"/>
    <xf numFmtId="0" fontId="96" fillId="2" borderId="5" xfId="0" applyFont="1" applyFill="1" applyBorder="1"/>
    <xf numFmtId="0" fontId="117" fillId="2" borderId="0" xfId="0" applyFont="1" applyFill="1" applyAlignment="1">
      <alignment horizontal="left"/>
    </xf>
    <xf numFmtId="0" fontId="96" fillId="2" borderId="0" xfId="0" applyFont="1" applyFill="1" applyAlignment="1"/>
    <xf numFmtId="0" fontId="96" fillId="2" borderId="0" xfId="0" applyFont="1" applyFill="1" applyBorder="1" applyAlignment="1">
      <alignment vertical="center"/>
    </xf>
    <xf numFmtId="0" fontId="96" fillId="2" borderId="0" xfId="0" applyFont="1" applyFill="1" applyBorder="1" applyAlignment="1">
      <alignment horizontal="left" vertical="center"/>
    </xf>
    <xf numFmtId="0" fontId="96" fillId="2" borderId="5" xfId="0" applyFont="1" applyFill="1" applyBorder="1" applyAlignment="1">
      <alignment horizontal="left" vertical="center"/>
    </xf>
    <xf numFmtId="0" fontId="89" fillId="2" borderId="8" xfId="0" applyFont="1" applyFill="1" applyBorder="1" applyAlignment="1" applyProtection="1">
      <alignment vertical="center"/>
    </xf>
    <xf numFmtId="0" fontId="95" fillId="2" borderId="3" xfId="0" applyFont="1" applyFill="1" applyBorder="1" applyAlignment="1" applyProtection="1">
      <alignment vertical="center"/>
    </xf>
    <xf numFmtId="0" fontId="96" fillId="2" borderId="3" xfId="0" applyFont="1" applyFill="1" applyBorder="1" applyAlignment="1" applyProtection="1">
      <alignment vertical="center"/>
    </xf>
    <xf numFmtId="0" fontId="96" fillId="0" borderId="7" xfId="0" applyFont="1" applyFill="1" applyBorder="1" applyAlignment="1" applyProtection="1">
      <alignment vertical="center"/>
    </xf>
    <xf numFmtId="0" fontId="96" fillId="0" borderId="5" xfId="0" applyFont="1" applyFill="1" applyBorder="1" applyAlignment="1" applyProtection="1">
      <alignment vertical="center"/>
    </xf>
    <xf numFmtId="0" fontId="94" fillId="0" borderId="23" xfId="0" applyFont="1" applyBorder="1" applyAlignment="1" applyProtection="1">
      <alignment horizontal="left" vertical="center" indent="1"/>
    </xf>
    <xf numFmtId="0" fontId="96" fillId="0" borderId="14" xfId="0" applyFont="1" applyBorder="1" applyAlignment="1" applyProtection="1">
      <alignment vertical="center"/>
    </xf>
    <xf numFmtId="0" fontId="94" fillId="0" borderId="19" xfId="0" applyFont="1" applyBorder="1" applyAlignment="1" applyProtection="1">
      <alignment horizontal="right" vertical="center"/>
    </xf>
    <xf numFmtId="0" fontId="94" fillId="0" borderId="7" xfId="0" applyFont="1" applyFill="1" applyBorder="1" applyAlignment="1" applyProtection="1">
      <alignment horizontal="center" vertical="center"/>
    </xf>
    <xf numFmtId="38" fontId="90" fillId="0" borderId="5" xfId="0" applyNumberFormat="1" applyFont="1" applyFill="1" applyBorder="1" applyAlignment="1" applyProtection="1">
      <alignment vertical="center"/>
    </xf>
    <xf numFmtId="0" fontId="104" fillId="0" borderId="14" xfId="0" applyFont="1" applyBorder="1" applyAlignment="1" applyProtection="1">
      <alignment vertical="center"/>
    </xf>
    <xf numFmtId="38" fontId="90" fillId="0" borderId="5" xfId="0" applyNumberFormat="1" applyFont="1" applyFill="1" applyBorder="1" applyAlignment="1" applyProtection="1"/>
    <xf numFmtId="0" fontId="94" fillId="0" borderId="9" xfId="0" applyFont="1" applyFill="1" applyBorder="1" applyAlignment="1" applyProtection="1">
      <alignment horizontal="center" vertical="center"/>
    </xf>
    <xf numFmtId="38" fontId="90" fillId="0" borderId="10" xfId="0" applyNumberFormat="1" applyFont="1" applyFill="1" applyBorder="1" applyAlignment="1" applyProtection="1">
      <alignment vertical="center"/>
    </xf>
    <xf numFmtId="0" fontId="96" fillId="2" borderId="4" xfId="0" applyFont="1" applyFill="1" applyBorder="1" applyAlignment="1" applyProtection="1">
      <alignment vertical="center"/>
    </xf>
    <xf numFmtId="0" fontId="89" fillId="2" borderId="9" xfId="0" applyFont="1" applyFill="1" applyBorder="1" applyAlignment="1">
      <alignment vertical="center"/>
    </xf>
    <xf numFmtId="0" fontId="105" fillId="2" borderId="6" xfId="0" applyFont="1" applyFill="1" applyBorder="1" applyAlignment="1">
      <alignment horizontal="left" vertical="center" indent="1"/>
    </xf>
    <xf numFmtId="0" fontId="96" fillId="2" borderId="6" xfId="0" applyFont="1" applyFill="1" applyBorder="1" applyAlignment="1">
      <alignment horizontal="left" vertical="center"/>
    </xf>
    <xf numFmtId="0" fontId="96" fillId="0" borderId="7" xfId="0" applyFont="1" applyBorder="1"/>
    <xf numFmtId="0" fontId="90" fillId="0" borderId="0" xfId="0" applyNumberFormat="1" applyFont="1" applyFill="1" applyBorder="1" applyAlignment="1">
      <alignment horizontal="left" vertical="center"/>
    </xf>
    <xf numFmtId="0" fontId="90" fillId="0" borderId="7" xfId="0" applyFont="1" applyBorder="1"/>
    <xf numFmtId="0" fontId="94" fillId="0" borderId="7" xfId="0" applyFont="1" applyBorder="1"/>
    <xf numFmtId="0" fontId="95" fillId="0" borderId="0" xfId="0" applyFont="1" applyBorder="1" applyAlignment="1">
      <alignment horizontal="center"/>
    </xf>
    <xf numFmtId="0" fontId="95" fillId="0" borderId="23" xfId="0" applyFont="1" applyBorder="1" applyAlignment="1">
      <alignment horizontal="left"/>
    </xf>
    <xf numFmtId="0" fontId="95" fillId="0" borderId="19" xfId="0" applyFont="1" applyBorder="1" applyAlignment="1">
      <alignment horizontal="left" indent="1"/>
    </xf>
    <xf numFmtId="49" fontId="94" fillId="0" borderId="2" xfId="0" applyNumberFormat="1" applyFont="1" applyBorder="1" applyAlignment="1">
      <alignment horizontal="center"/>
    </xf>
    <xf numFmtId="0" fontId="94" fillId="0" borderId="2" xfId="0" applyFont="1" applyBorder="1" applyAlignment="1">
      <alignment horizontal="center"/>
    </xf>
    <xf numFmtId="0" fontId="94" fillId="0" borderId="23" xfId="0" applyFont="1" applyBorder="1" applyAlignment="1">
      <alignment horizontal="left" indent="1"/>
    </xf>
    <xf numFmtId="0" fontId="94" fillId="0" borderId="19" xfId="0" applyFont="1" applyBorder="1" applyAlignment="1">
      <alignment horizontal="left" indent="2"/>
    </xf>
    <xf numFmtId="0" fontId="95" fillId="0" borderId="19" xfId="0" applyFont="1" applyBorder="1" applyAlignment="1">
      <alignment horizontal="left" indent="2"/>
    </xf>
    <xf numFmtId="0" fontId="94" fillId="0" borderId="19" xfId="0" applyFont="1" applyBorder="1" applyAlignment="1">
      <alignment horizontal="left" indent="4"/>
    </xf>
    <xf numFmtId="0" fontId="95" fillId="5" borderId="23" xfId="0" applyFont="1" applyFill="1" applyBorder="1" applyAlignment="1">
      <alignment horizontal="left" indent="2"/>
    </xf>
    <xf numFmtId="0" fontId="95" fillId="5" borderId="19" xfId="0" applyFont="1" applyFill="1" applyBorder="1" applyAlignment="1">
      <alignment horizontal="left" indent="2"/>
    </xf>
    <xf numFmtId="0" fontId="94" fillId="5" borderId="2" xfId="0" applyFont="1" applyFill="1" applyBorder="1"/>
    <xf numFmtId="0" fontId="90" fillId="0" borderId="5" xfId="0" applyFont="1" applyBorder="1"/>
    <xf numFmtId="0" fontId="95" fillId="0" borderId="6" xfId="0" applyFont="1" applyBorder="1" applyAlignment="1">
      <alignment horizontal="centerContinuous"/>
    </xf>
    <xf numFmtId="0" fontId="90" fillId="0" borderId="10" xfId="0" applyFont="1" applyBorder="1" applyAlignment="1">
      <alignment horizontal="centerContinuous"/>
    </xf>
    <xf numFmtId="0" fontId="96" fillId="0" borderId="9" xfId="0" applyFont="1" applyBorder="1"/>
    <xf numFmtId="0" fontId="96" fillId="0" borderId="6" xfId="0" applyFont="1" applyBorder="1"/>
    <xf numFmtId="0" fontId="90" fillId="0" borderId="9" xfId="0" applyFont="1" applyBorder="1"/>
    <xf numFmtId="0" fontId="90" fillId="0" borderId="10" xfId="0" applyFont="1" applyBorder="1"/>
    <xf numFmtId="0" fontId="96" fillId="0" borderId="0" xfId="4" applyNumberFormat="1" applyFont="1" applyBorder="1" applyAlignment="1">
      <alignment vertical="center"/>
    </xf>
    <xf numFmtId="0" fontId="96" fillId="0" borderId="7" xfId="4" applyNumberFormat="1" applyFont="1" applyBorder="1" applyAlignment="1">
      <alignment vertical="center"/>
    </xf>
    <xf numFmtId="0" fontId="96" fillId="0" borderId="3" xfId="4" applyNumberFormat="1" applyFont="1" applyBorder="1" applyAlignment="1">
      <alignment vertical="center"/>
    </xf>
    <xf numFmtId="0" fontId="96" fillId="0" borderId="17" xfId="4" applyNumberFormat="1" applyFont="1" applyBorder="1" applyAlignment="1">
      <alignment vertical="center"/>
    </xf>
    <xf numFmtId="0" fontId="96" fillId="0" borderId="19" xfId="4" applyNumberFormat="1" applyFont="1" applyBorder="1" applyAlignment="1">
      <alignment horizontal="left" vertical="center"/>
    </xf>
    <xf numFmtId="171" fontId="96" fillId="0" borderId="0" xfId="4" applyNumberFormat="1" applyFont="1" applyBorder="1" applyAlignment="1" applyProtection="1">
      <alignment horizontal="center"/>
    </xf>
    <xf numFmtId="0" fontId="96" fillId="0" borderId="141" xfId="4" applyNumberFormat="1" applyFont="1" applyBorder="1" applyAlignment="1">
      <alignment vertical="center"/>
    </xf>
    <xf numFmtId="0" fontId="96" fillId="0" borderId="0" xfId="4" applyNumberFormat="1" applyFont="1" applyBorder="1" applyAlignment="1">
      <alignment wrapText="1"/>
    </xf>
    <xf numFmtId="0" fontId="105" fillId="0" borderId="11" xfId="4" applyNumberFormat="1" applyFont="1" applyBorder="1" applyAlignment="1" applyProtection="1">
      <alignment horizontal="center" vertical="center"/>
      <protection locked="0"/>
    </xf>
    <xf numFmtId="164" fontId="94" fillId="0" borderId="0" xfId="0" applyNumberFormat="1" applyFont="1"/>
    <xf numFmtId="164" fontId="96" fillId="0" borderId="0" xfId="0" applyNumberFormat="1" applyFont="1"/>
    <xf numFmtId="166" fontId="94" fillId="0" borderId="0" xfId="0" applyNumberFormat="1" applyFont="1" applyAlignment="1">
      <alignment horizontal="left"/>
    </xf>
    <xf numFmtId="0" fontId="96" fillId="0" borderId="0" xfId="0" applyFont="1" applyAlignment="1">
      <alignment vertical="top"/>
    </xf>
    <xf numFmtId="0" fontId="125" fillId="0" borderId="0" xfId="0" applyFont="1"/>
    <xf numFmtId="0" fontId="90" fillId="0" borderId="0" xfId="0" applyFont="1" applyAlignment="1">
      <alignment vertical="top" wrapText="1"/>
    </xf>
    <xf numFmtId="0" fontId="96" fillId="0" borderId="0" xfId="4" applyFont="1" applyAlignment="1">
      <alignment wrapText="1"/>
    </xf>
    <xf numFmtId="0" fontId="96" fillId="0" borderId="0" xfId="4" applyFont="1" applyAlignment="1">
      <alignment vertical="center"/>
    </xf>
    <xf numFmtId="0" fontId="95" fillId="0" borderId="32" xfId="4" applyFont="1" applyFill="1" applyBorder="1" applyAlignment="1">
      <alignment horizontal="center" vertical="center"/>
    </xf>
    <xf numFmtId="0" fontId="95" fillId="0" borderId="11" xfId="4" applyFont="1" applyBorder="1" applyAlignment="1">
      <alignment horizontal="center" vertical="center" wrapText="1"/>
    </xf>
    <xf numFmtId="0" fontId="89" fillId="0" borderId="11" xfId="4" applyFont="1" applyBorder="1" applyAlignment="1">
      <alignment horizontal="left" vertical="center" wrapText="1" indent="1"/>
    </xf>
    <xf numFmtId="0" fontId="96" fillId="0" borderId="0" xfId="4" applyFont="1" applyAlignment="1">
      <alignment horizontal="left" vertical="center"/>
    </xf>
    <xf numFmtId="0" fontId="95" fillId="0" borderId="30" xfId="4" applyFont="1" applyBorder="1" applyAlignment="1">
      <alignment horizontal="left" vertical="center" wrapText="1" indent="2"/>
    </xf>
    <xf numFmtId="0" fontId="95" fillId="0" borderId="11" xfId="4" applyFont="1" applyBorder="1" applyAlignment="1">
      <alignment horizontal="left" vertical="center" wrapText="1" indent="1"/>
    </xf>
    <xf numFmtId="0" fontId="89" fillId="0" borderId="0" xfId="4" applyFont="1" applyFill="1" applyBorder="1" applyAlignment="1">
      <alignment wrapText="1"/>
    </xf>
    <xf numFmtId="38" fontId="105" fillId="0" borderId="0" xfId="4" applyNumberFormat="1" applyFont="1" applyFill="1" applyBorder="1"/>
    <xf numFmtId="0" fontId="94"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96" fillId="0" borderId="0" xfId="4" applyFont="1" applyAlignment="1">
      <alignment horizontal="left"/>
    </xf>
    <xf numFmtId="0" fontId="96" fillId="0" borderId="0" xfId="4" applyFont="1" applyAlignment="1"/>
    <xf numFmtId="49" fontId="126" fillId="0" borderId="0" xfId="0" applyNumberFormat="1" applyFont="1" applyFill="1" applyBorder="1" applyAlignment="1">
      <alignment horizontal="centerContinuous" vertical="top"/>
    </xf>
    <xf numFmtId="0" fontId="90" fillId="0" borderId="0" xfId="0" applyFont="1" applyAlignment="1">
      <alignment horizontal="centerContinuous" vertical="top"/>
    </xf>
    <xf numFmtId="0" fontId="90" fillId="0" borderId="0" xfId="0" applyFont="1" applyAlignment="1">
      <alignment horizontal="centerContinuous" vertical="top" wrapText="1"/>
    </xf>
    <xf numFmtId="0" fontId="95" fillId="0" borderId="0" xfId="0" applyFont="1" applyBorder="1" applyAlignment="1">
      <alignment horizontal="centerContinuous" vertical="top"/>
    </xf>
    <xf numFmtId="0" fontId="90" fillId="0" borderId="0" xfId="0" applyFont="1" applyAlignment="1"/>
    <xf numFmtId="164" fontId="127" fillId="0" borderId="14" xfId="0" applyNumberFormat="1" applyFont="1" applyBorder="1" applyAlignment="1">
      <alignment vertical="top"/>
    </xf>
    <xf numFmtId="0" fontId="90" fillId="0" borderId="14" xfId="0" applyFont="1" applyBorder="1" applyAlignment="1">
      <alignment vertical="top"/>
    </xf>
    <xf numFmtId="0" fontId="94" fillId="0" borderId="19" xfId="0" applyFont="1" applyBorder="1"/>
    <xf numFmtId="0" fontId="90" fillId="0" borderId="14" xfId="0" applyFont="1" applyBorder="1" applyAlignment="1">
      <alignment vertical="top" wrapText="1"/>
    </xf>
    <xf numFmtId="0" fontId="96" fillId="0" borderId="19" xfId="0" applyFont="1" applyBorder="1" applyAlignment="1">
      <alignment wrapText="1"/>
    </xf>
    <xf numFmtId="0" fontId="90" fillId="0" borderId="7" xfId="0" applyFont="1" applyBorder="1" applyAlignment="1">
      <alignment horizontal="left" vertical="top"/>
    </xf>
    <xf numFmtId="164" fontId="127" fillId="0" borderId="0" xfId="0" applyNumberFormat="1" applyFont="1" applyBorder="1" applyAlignment="1">
      <alignment horizontal="right" vertical="top"/>
    </xf>
    <xf numFmtId="0" fontId="128" fillId="0" borderId="23" xfId="0" applyFont="1" applyBorder="1" applyAlignment="1">
      <alignment horizontal="right" vertical="top"/>
    </xf>
    <xf numFmtId="0" fontId="90" fillId="0" borderId="14" xfId="0" applyFont="1" applyBorder="1" applyAlignment="1">
      <alignment horizontal="left" vertical="top"/>
    </xf>
    <xf numFmtId="0" fontId="90" fillId="0" borderId="14" xfId="0" applyFont="1" applyBorder="1" applyAlignment="1">
      <alignment horizontal="left" vertical="top" indent="1"/>
    </xf>
    <xf numFmtId="0" fontId="114" fillId="0" borderId="2" xfId="0" applyFont="1" applyBorder="1" applyAlignment="1">
      <alignment vertical="top" wrapText="1"/>
    </xf>
    <xf numFmtId="0" fontId="90" fillId="0" borderId="19" xfId="0" applyFont="1" applyBorder="1" applyAlignment="1">
      <alignment horizontal="left" vertical="top" indent="1"/>
    </xf>
    <xf numFmtId="0" fontId="114" fillId="0" borderId="41" xfId="19" applyNumberFormat="1" applyFont="1" applyBorder="1" applyAlignment="1" applyProtection="1">
      <alignment vertical="center"/>
    </xf>
    <xf numFmtId="0" fontId="128" fillId="0" borderId="7" xfId="0" applyFont="1" applyBorder="1" applyAlignment="1">
      <alignment horizontal="right" vertical="top"/>
    </xf>
    <xf numFmtId="0" fontId="114" fillId="0" borderId="4" xfId="19" applyNumberFormat="1" applyFont="1" applyBorder="1" applyAlignment="1" applyProtection="1">
      <alignment vertical="center" wrapText="1"/>
    </xf>
    <xf numFmtId="0" fontId="127" fillId="0" borderId="14" xfId="0" applyNumberFormat="1" applyFont="1" applyBorder="1" applyAlignment="1">
      <alignment horizontal="left" vertical="center"/>
    </xf>
    <xf numFmtId="0" fontId="94" fillId="0" borderId="19" xfId="0" applyFont="1" applyBorder="1" applyAlignment="1">
      <alignment vertical="top" wrapText="1"/>
    </xf>
    <xf numFmtId="0" fontId="128" fillId="0" borderId="14" xfId="0" applyNumberFormat="1" applyFont="1" applyBorder="1" applyAlignment="1">
      <alignment horizontal="left" vertical="center"/>
    </xf>
    <xf numFmtId="0" fontId="114" fillId="0" borderId="2" xfId="0" applyNumberFormat="1" applyFont="1" applyBorder="1" applyAlignment="1" applyProtection="1">
      <alignment horizontal="left" vertical="center" wrapText="1"/>
    </xf>
    <xf numFmtId="0" fontId="90" fillId="0" borderId="19" xfId="0" applyFont="1" applyBorder="1" applyAlignment="1">
      <alignment horizontal="left" vertical="top" wrapText="1"/>
    </xf>
    <xf numFmtId="0" fontId="129" fillId="0" borderId="7" xfId="0" applyFont="1" applyBorder="1" applyAlignment="1"/>
    <xf numFmtId="0" fontId="127" fillId="0" borderId="14" xfId="0" applyFont="1" applyBorder="1" applyAlignment="1">
      <alignment vertical="top"/>
    </xf>
    <xf numFmtId="0" fontId="114" fillId="0" borderId="19" xfId="0" applyFont="1" applyBorder="1" applyAlignment="1">
      <alignment vertical="top" wrapText="1"/>
    </xf>
    <xf numFmtId="0" fontId="129" fillId="0" borderId="0" xfId="0" applyFont="1" applyAlignment="1"/>
    <xf numFmtId="0" fontId="129" fillId="0" borderId="23" xfId="0" applyFont="1" applyBorder="1" applyAlignment="1"/>
    <xf numFmtId="0" fontId="90" fillId="0" borderId="14" xfId="0" applyFont="1" applyBorder="1" applyAlignment="1">
      <alignment horizontal="left" vertical="top" wrapText="1" indent="1"/>
    </xf>
    <xf numFmtId="0" fontId="90" fillId="0" borderId="23" xfId="0" applyFont="1" applyBorder="1" applyAlignment="1">
      <alignment horizontal="left" vertical="top"/>
    </xf>
    <xf numFmtId="164" fontId="127" fillId="0" borderId="14" xfId="0" applyNumberFormat="1" applyFont="1" applyBorder="1" applyAlignment="1">
      <alignment horizontal="right" vertical="top"/>
    </xf>
    <xf numFmtId="164" fontId="128" fillId="0" borderId="14" xfId="0" applyNumberFormat="1" applyFont="1" applyBorder="1" applyAlignment="1">
      <alignment horizontal="right" vertical="center"/>
    </xf>
    <xf numFmtId="0" fontId="90" fillId="0" borderId="14" xfId="0" applyNumberFormat="1" applyFont="1" applyBorder="1" applyAlignment="1">
      <alignment horizontal="left" vertical="center" wrapText="1" indent="1"/>
    </xf>
    <xf numFmtId="0" fontId="114" fillId="0" borderId="2" xfId="0" applyFont="1" applyBorder="1" applyAlignment="1"/>
    <xf numFmtId="0" fontId="114" fillId="0" borderId="2" xfId="0" applyFont="1" applyBorder="1" applyAlignment="1">
      <alignment horizontal="left" vertical="top"/>
    </xf>
    <xf numFmtId="0" fontId="94" fillId="0" borderId="2" xfId="0" applyFont="1" applyBorder="1" applyAlignment="1">
      <alignment horizontal="left" vertical="top" wrapText="1"/>
    </xf>
    <xf numFmtId="0" fontId="114" fillId="0" borderId="2" xfId="0" applyFont="1" applyBorder="1" applyAlignment="1">
      <alignment horizontal="left" vertical="top" wrapText="1"/>
    </xf>
    <xf numFmtId="164" fontId="128" fillId="0" borderId="23" xfId="0" applyNumberFormat="1" applyFont="1" applyBorder="1" applyAlignment="1">
      <alignment horizontal="right" vertical="top"/>
    </xf>
    <xf numFmtId="0" fontId="94" fillId="0" borderId="19" xfId="0" applyFont="1" applyBorder="1" applyAlignment="1">
      <alignment horizontal="left" vertical="top" wrapText="1"/>
    </xf>
    <xf numFmtId="164" fontId="130" fillId="0" borderId="14" xfId="0" applyNumberFormat="1" applyFont="1" applyBorder="1" applyAlignment="1">
      <alignment horizontal="left" vertical="center"/>
    </xf>
    <xf numFmtId="0" fontId="127" fillId="0" borderId="14" xfId="0" applyFont="1" applyBorder="1" applyAlignment="1">
      <alignment horizontal="left" vertical="top"/>
    </xf>
    <xf numFmtId="0" fontId="114" fillId="0" borderId="2" xfId="0" applyFont="1" applyBorder="1" applyAlignment="1">
      <alignment horizontal="left"/>
    </xf>
    <xf numFmtId="0" fontId="114" fillId="0" borderId="2" xfId="0" applyFont="1" applyBorder="1"/>
    <xf numFmtId="0" fontId="90" fillId="0" borderId="0" xfId="0" applyFont="1" applyAlignment="1">
      <alignment horizontal="left" vertical="top"/>
    </xf>
    <xf numFmtId="0" fontId="90" fillId="0" borderId="14" xfId="0" applyFont="1" applyBorder="1" applyAlignment="1"/>
    <xf numFmtId="164" fontId="127" fillId="0" borderId="14" xfId="0" applyNumberFormat="1" applyFont="1" applyBorder="1" applyAlignment="1">
      <alignment vertical="center"/>
    </xf>
    <xf numFmtId="0" fontId="90" fillId="0" borderId="14" xfId="0" applyFont="1" applyBorder="1" applyAlignment="1">
      <alignment vertical="center"/>
    </xf>
    <xf numFmtId="0" fontId="94" fillId="0" borderId="142" xfId="0" applyFont="1" applyBorder="1"/>
    <xf numFmtId="0" fontId="90" fillId="0" borderId="23" xfId="0" applyFont="1" applyBorder="1"/>
    <xf numFmtId="0" fontId="90" fillId="0" borderId="9" xfId="0" applyFont="1" applyBorder="1" applyAlignment="1">
      <alignment horizontal="left" vertical="top"/>
    </xf>
    <xf numFmtId="164" fontId="127" fillId="0" borderId="6" xfId="0" applyNumberFormat="1" applyFont="1" applyBorder="1" applyAlignment="1">
      <alignment horizontal="right" vertical="top"/>
    </xf>
    <xf numFmtId="0" fontId="90" fillId="0" borderId="6" xfId="0" applyNumberFormat="1" applyFont="1" applyBorder="1" applyAlignment="1">
      <alignment horizontal="left" vertical="center" wrapText="1" indent="1"/>
    </xf>
    <xf numFmtId="0" fontId="114" fillId="0" borderId="18" xfId="0" applyFont="1" applyBorder="1" applyAlignment="1">
      <alignment horizontal="left" vertical="center" wrapText="1"/>
    </xf>
    <xf numFmtId="0" fontId="90" fillId="0" borderId="6" xfId="0" applyFont="1" applyBorder="1" applyAlignment="1">
      <alignment horizontal="left" vertical="top"/>
    </xf>
    <xf numFmtId="0" fontId="90" fillId="0" borderId="0" xfId="0" applyFont="1" applyBorder="1" applyAlignment="1">
      <alignment vertical="top"/>
    </xf>
    <xf numFmtId="0" fontId="128" fillId="0" borderId="6" xfId="0" applyNumberFormat="1" applyFont="1" applyBorder="1" applyAlignment="1">
      <alignment horizontal="left" vertical="center"/>
    </xf>
    <xf numFmtId="0" fontId="127" fillId="0" borderId="6" xfId="0" applyFont="1" applyBorder="1" applyAlignment="1">
      <alignment vertical="top"/>
    </xf>
    <xf numFmtId="0" fontId="127" fillId="0" borderId="6" xfId="0" applyFont="1" applyBorder="1" applyAlignment="1">
      <alignment horizontal="left" vertical="top"/>
    </xf>
    <xf numFmtId="0" fontId="90" fillId="0" borderId="9" xfId="0" applyFont="1" applyBorder="1" applyAlignment="1"/>
    <xf numFmtId="164" fontId="127" fillId="0" borderId="6" xfId="0" applyNumberFormat="1" applyFont="1" applyBorder="1" applyAlignment="1"/>
    <xf numFmtId="0" fontId="90" fillId="0" borderId="6" xfId="0" applyFont="1" applyBorder="1" applyAlignment="1"/>
    <xf numFmtId="0" fontId="94" fillId="0" borderId="10" xfId="0" applyFont="1" applyBorder="1" applyAlignment="1"/>
    <xf numFmtId="0" fontId="113" fillId="0" borderId="8" xfId="0" applyFont="1" applyBorder="1" applyAlignment="1">
      <alignment horizontal="left"/>
    </xf>
    <xf numFmtId="0" fontId="100" fillId="0" borderId="3" xfId="0" applyFont="1" applyBorder="1" applyAlignment="1">
      <alignment horizontal="left" vertical="center" indent="1"/>
    </xf>
    <xf numFmtId="0" fontId="93" fillId="0" borderId="3" xfId="0" applyFont="1" applyBorder="1" applyAlignment="1">
      <alignment horizontal="left" vertical="center"/>
    </xf>
    <xf numFmtId="0" fontId="124" fillId="0" borderId="4" xfId="0" applyFont="1" applyBorder="1" applyAlignment="1">
      <alignment horizontal="left" vertical="center"/>
    </xf>
    <xf numFmtId="49" fontId="113" fillId="0" borderId="8" xfId="0" applyNumberFormat="1" applyFont="1" applyFill="1" applyBorder="1" applyAlignment="1">
      <alignment horizontal="left" vertical="center"/>
    </xf>
    <xf numFmtId="49" fontId="90" fillId="0" borderId="3" xfId="0" applyNumberFormat="1" applyFont="1" applyFill="1" applyBorder="1" applyAlignment="1">
      <alignment horizontal="left" vertical="center"/>
    </xf>
    <xf numFmtId="0" fontId="90" fillId="0" borderId="3" xfId="0" applyFont="1" applyFill="1" applyBorder="1" applyAlignment="1" applyProtection="1">
      <alignment horizontal="left" vertical="center"/>
    </xf>
    <xf numFmtId="0" fontId="94" fillId="0" borderId="42" xfId="0" applyFont="1" applyFill="1" applyBorder="1" applyAlignment="1" applyProtection="1">
      <alignment horizontal="left" vertical="center"/>
      <protection locked="0"/>
    </xf>
    <xf numFmtId="49" fontId="113" fillId="0" borderId="7"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0" fontId="94" fillId="0" borderId="43" xfId="0" applyFont="1" applyFill="1" applyBorder="1" applyAlignment="1">
      <alignment horizontal="left" vertical="center"/>
    </xf>
    <xf numFmtId="0" fontId="90" fillId="0" borderId="44" xfId="0" applyFont="1" applyFill="1" applyBorder="1" applyAlignment="1">
      <alignment horizontal="left" vertical="center"/>
    </xf>
    <xf numFmtId="0" fontId="90" fillId="0" borderId="45" xfId="0" applyFont="1" applyFill="1" applyBorder="1" applyAlignment="1">
      <alignment horizontal="left" vertical="center"/>
    </xf>
    <xf numFmtId="0" fontId="90" fillId="0" borderId="45" xfId="0" applyFont="1" applyFill="1" applyBorder="1" applyAlignment="1">
      <alignment horizontal="left" vertical="center" indent="2"/>
    </xf>
    <xf numFmtId="0" fontId="95" fillId="0" borderId="46" xfId="0" applyFont="1" applyFill="1" applyBorder="1" applyAlignment="1">
      <alignment horizontal="left" vertical="center"/>
    </xf>
    <xf numFmtId="0" fontId="89" fillId="0" borderId="9" xfId="0" applyFont="1" applyFill="1" applyBorder="1" applyAlignment="1"/>
    <xf numFmtId="0" fontId="89" fillId="0" borderId="6" xfId="0" applyFont="1" applyFill="1" applyBorder="1" applyAlignment="1">
      <alignment horizontal="left" vertical="top"/>
    </xf>
    <xf numFmtId="0" fontId="89" fillId="0" borderId="10" xfId="0" applyFont="1" applyFill="1" applyBorder="1" applyAlignment="1">
      <alignment horizontal="left"/>
    </xf>
    <xf numFmtId="0" fontId="89" fillId="0" borderId="0" xfId="0" applyFont="1" applyAlignment="1"/>
    <xf numFmtId="0" fontId="90" fillId="0" borderId="0" xfId="0" applyFont="1" applyAlignment="1">
      <alignment horizontal="left"/>
    </xf>
    <xf numFmtId="0" fontId="89" fillId="0" borderId="10" xfId="0" applyFont="1" applyFill="1" applyBorder="1" applyAlignment="1">
      <alignment horizontal="center" vertical="center"/>
    </xf>
    <xf numFmtId="0" fontId="130" fillId="0" borderId="14" xfId="0" applyFont="1" applyBorder="1" applyAlignment="1">
      <alignment horizontal="left" vertical="top" wrapText="1"/>
    </xf>
    <xf numFmtId="0" fontId="96" fillId="0" borderId="0" xfId="4" applyNumberFormat="1" applyFont="1" applyAlignment="1" applyProtection="1">
      <alignment horizontal="centerContinuous"/>
    </xf>
    <xf numFmtId="0" fontId="96" fillId="0" borderId="0" xfId="4" applyNumberFormat="1" applyFont="1" applyBorder="1" applyAlignment="1" applyProtection="1">
      <alignment horizontal="center"/>
    </xf>
    <xf numFmtId="0" fontId="105" fillId="0" borderId="0" xfId="4" applyNumberFormat="1" applyFont="1" applyAlignment="1" applyProtection="1">
      <alignment horizontal="centerContinuous"/>
    </xf>
    <xf numFmtId="0" fontId="95" fillId="0" borderId="0" xfId="4" applyNumberFormat="1" applyFont="1" applyAlignment="1" applyProtection="1">
      <alignment horizontal="right" vertical="center" textRotation="180"/>
    </xf>
    <xf numFmtId="0" fontId="95" fillId="0" borderId="0" xfId="4" applyNumberFormat="1" applyFont="1" applyAlignment="1" applyProtection="1">
      <alignment vertical="center" textRotation="180"/>
    </xf>
    <xf numFmtId="0" fontId="96" fillId="0" borderId="0" xfId="4" applyNumberFormat="1" applyFont="1" applyProtection="1"/>
    <xf numFmtId="0" fontId="96" fillId="0" borderId="28" xfId="4" applyNumberFormat="1" applyFont="1" applyBorder="1" applyProtection="1"/>
    <xf numFmtId="0" fontId="96" fillId="0" borderId="28" xfId="4" applyNumberFormat="1" applyFont="1" applyBorder="1" applyAlignment="1" applyProtection="1">
      <alignment horizontal="center"/>
    </xf>
    <xf numFmtId="0" fontId="94" fillId="0" borderId="0" xfId="4" applyNumberFormat="1" applyFont="1" applyProtection="1"/>
    <xf numFmtId="0" fontId="90" fillId="0" borderId="47" xfId="4" quotePrefix="1" applyNumberFormat="1" applyFont="1" applyBorder="1" applyAlignment="1" applyProtection="1">
      <alignment horizontal="left"/>
    </xf>
    <xf numFmtId="0" fontId="94" fillId="0" borderId="16" xfId="4" applyNumberFormat="1" applyFont="1" applyBorder="1" applyAlignment="1" applyProtection="1">
      <alignment horizontal="center"/>
    </xf>
    <xf numFmtId="0" fontId="94" fillId="0" borderId="16" xfId="4" applyNumberFormat="1" applyFont="1" applyBorder="1" applyProtection="1"/>
    <xf numFmtId="0" fontId="90" fillId="0" borderId="47" xfId="4" applyNumberFormat="1" applyFont="1" applyBorder="1" applyAlignment="1" applyProtection="1"/>
    <xf numFmtId="0" fontId="94" fillId="0" borderId="48" xfId="4" applyNumberFormat="1" applyFont="1" applyBorder="1" applyAlignment="1" applyProtection="1">
      <alignment horizontal="centerContinuous"/>
    </xf>
    <xf numFmtId="0" fontId="90" fillId="0" borderId="47" xfId="4" applyNumberFormat="1" applyFont="1" applyBorder="1" applyAlignment="1" applyProtection="1">
      <alignment horizontal="left"/>
    </xf>
    <xf numFmtId="0" fontId="94" fillId="0" borderId="48" xfId="4" applyNumberFormat="1" applyFont="1" applyBorder="1" applyProtection="1"/>
    <xf numFmtId="0" fontId="94" fillId="0" borderId="16" xfId="4" quotePrefix="1" applyNumberFormat="1" applyFont="1" applyBorder="1" applyAlignment="1" applyProtection="1">
      <alignment horizontal="left"/>
    </xf>
    <xf numFmtId="0" fontId="90" fillId="0" borderId="38" xfId="4" quotePrefix="1" applyNumberFormat="1" applyFont="1" applyBorder="1" applyAlignment="1" applyProtection="1">
      <alignment horizontal="left"/>
    </xf>
    <xf numFmtId="0" fontId="94" fillId="0" borderId="0" xfId="4" applyNumberFormat="1" applyFont="1" applyBorder="1" applyProtection="1"/>
    <xf numFmtId="0" fontId="94" fillId="0" borderId="37" xfId="4" applyNumberFormat="1" applyFont="1" applyBorder="1" applyProtection="1"/>
    <xf numFmtId="0" fontId="90" fillId="0" borderId="38" xfId="4" applyNumberFormat="1" applyFont="1" applyBorder="1" applyProtection="1"/>
    <xf numFmtId="0" fontId="105" fillId="0" borderId="0" xfId="4" applyNumberFormat="1" applyFont="1" applyBorder="1" applyProtection="1"/>
    <xf numFmtId="0" fontId="90" fillId="0" borderId="47" xfId="4" applyNumberFormat="1" applyFont="1" applyBorder="1" applyProtection="1"/>
    <xf numFmtId="0" fontId="96" fillId="0" borderId="0" xfId="4" applyNumberFormat="1" applyFont="1" applyBorder="1" applyProtection="1"/>
    <xf numFmtId="0" fontId="89" fillId="0" borderId="0" xfId="4" applyNumberFormat="1" applyFont="1" applyAlignment="1" applyProtection="1">
      <alignment horizontal="left"/>
    </xf>
    <xf numFmtId="0" fontId="105" fillId="0" borderId="0" xfId="4" applyNumberFormat="1" applyFont="1" applyAlignment="1" applyProtection="1">
      <alignment horizontal="left"/>
    </xf>
    <xf numFmtId="0" fontId="96" fillId="0" borderId="1" xfId="4" applyNumberFormat="1" applyFont="1" applyBorder="1" applyAlignment="1" applyProtection="1">
      <alignment horizontal="center" vertical="center"/>
      <protection locked="0"/>
    </xf>
    <xf numFmtId="0" fontId="90" fillId="0" borderId="0" xfId="4" applyNumberFormat="1" applyFont="1" applyBorder="1" applyAlignment="1" applyProtection="1">
      <alignment vertical="center"/>
    </xf>
    <xf numFmtId="0" fontId="94" fillId="0" borderId="0" xfId="4" applyNumberFormat="1" applyFont="1" applyBorder="1" applyAlignment="1" applyProtection="1">
      <alignment horizontal="center"/>
    </xf>
    <xf numFmtId="0" fontId="101" fillId="0" borderId="0" xfId="4" applyNumberFormat="1" applyFont="1" applyAlignment="1" applyProtection="1">
      <alignment vertical="center"/>
    </xf>
    <xf numFmtId="0" fontId="95" fillId="0" borderId="0" xfId="4" applyNumberFormat="1" applyFont="1" applyBorder="1" applyProtection="1"/>
    <xf numFmtId="0" fontId="90" fillId="0" borderId="0" xfId="4" applyNumberFormat="1" applyFont="1" applyAlignment="1" applyProtection="1">
      <alignment vertical="center"/>
    </xf>
    <xf numFmtId="0" fontId="95" fillId="0" borderId="0" xfId="4" applyNumberFormat="1" applyFont="1" applyProtection="1"/>
    <xf numFmtId="0" fontId="105" fillId="0" borderId="0" xfId="4" applyNumberFormat="1" applyFont="1" applyProtection="1"/>
    <xf numFmtId="0" fontId="90" fillId="0" borderId="0" xfId="4" applyNumberFormat="1" applyFont="1" applyBorder="1" applyProtection="1"/>
    <xf numFmtId="0" fontId="90" fillId="0" borderId="0" xfId="4" applyNumberFormat="1" applyFont="1" applyProtection="1"/>
    <xf numFmtId="0" fontId="94" fillId="0" borderId="0" xfId="4" quotePrefix="1" applyNumberFormat="1" applyFont="1" applyAlignment="1" applyProtection="1">
      <alignment horizontal="left"/>
    </xf>
    <xf numFmtId="0" fontId="90" fillId="0" borderId="0" xfId="4" applyFont="1"/>
    <xf numFmtId="0" fontId="89" fillId="0" borderId="0" xfId="4" applyFont="1" applyAlignment="1">
      <alignment horizontal="center" vertical="center"/>
    </xf>
    <xf numFmtId="0" fontId="96" fillId="0" borderId="0" xfId="4" applyFont="1" applyAlignment="1">
      <alignment horizontal="center" vertical="center"/>
    </xf>
    <xf numFmtId="164" fontId="94" fillId="0" borderId="0" xfId="4" applyNumberFormat="1" applyFont="1"/>
    <xf numFmtId="0" fontId="95" fillId="0" borderId="0" xfId="4" applyFont="1"/>
    <xf numFmtId="164" fontId="95" fillId="0" borderId="0" xfId="4" applyNumberFormat="1" applyFont="1" applyAlignment="1">
      <alignment horizontal="right"/>
    </xf>
    <xf numFmtId="49" fontId="94" fillId="0" borderId="0" xfId="4" applyNumberFormat="1" applyFont="1"/>
    <xf numFmtId="0" fontId="94" fillId="0" borderId="0" xfId="4" applyFont="1"/>
    <xf numFmtId="0" fontId="124" fillId="0" borderId="0" xfId="4" applyFont="1"/>
    <xf numFmtId="164" fontId="124" fillId="0" borderId="0" xfId="4" applyNumberFormat="1" applyFont="1" applyAlignment="1">
      <alignment horizontal="right"/>
    </xf>
    <xf numFmtId="0" fontId="95" fillId="0" borderId="11" xfId="4" applyFont="1" applyBorder="1" applyAlignment="1" applyProtection="1">
      <alignment horizontal="center"/>
      <protection locked="0"/>
    </xf>
    <xf numFmtId="164" fontId="94" fillId="0" borderId="0" xfId="4" applyNumberFormat="1" applyFont="1" applyBorder="1" applyAlignment="1">
      <alignment horizontal="right"/>
    </xf>
    <xf numFmtId="49" fontId="124" fillId="0" borderId="0" xfId="4" applyNumberFormat="1" applyFont="1" applyAlignment="1"/>
    <xf numFmtId="0" fontId="94" fillId="0" borderId="0" xfId="4" applyFont="1" applyAlignment="1"/>
    <xf numFmtId="0" fontId="95" fillId="0" borderId="33" xfId="4" applyFont="1" applyBorder="1" applyAlignment="1" applyProtection="1">
      <alignment horizontal="center"/>
      <protection locked="0"/>
    </xf>
    <xf numFmtId="49" fontId="94" fillId="0" borderId="0" xfId="4" applyNumberFormat="1" applyFont="1" applyAlignment="1"/>
    <xf numFmtId="0" fontId="94" fillId="0" borderId="0" xfId="4" applyFont="1" applyAlignment="1">
      <alignment horizontal="center"/>
    </xf>
    <xf numFmtId="164" fontId="94" fillId="0" borderId="0" xfId="4" applyNumberFormat="1" applyFont="1" applyAlignment="1">
      <alignment horizontal="right"/>
    </xf>
    <xf numFmtId="49" fontId="95" fillId="0" borderId="0" xfId="4" applyNumberFormat="1" applyFont="1" applyAlignment="1"/>
    <xf numFmtId="49" fontId="94" fillId="0" borderId="0" xfId="4" applyNumberFormat="1" applyFont="1" applyFill="1" applyAlignment="1"/>
    <xf numFmtId="49" fontId="94" fillId="0" borderId="0" xfId="4" applyNumberFormat="1" applyFont="1" applyFill="1" applyBorder="1" applyAlignment="1"/>
    <xf numFmtId="49" fontId="131" fillId="0" borderId="0" xfId="3" applyNumberFormat="1" applyFont="1"/>
    <xf numFmtId="49" fontId="94" fillId="0" borderId="0" xfId="4" applyNumberFormat="1" applyFont="1" applyFill="1" applyBorder="1"/>
    <xf numFmtId="0" fontId="94" fillId="0" borderId="0" xfId="4" applyFont="1" applyBorder="1" applyAlignment="1">
      <alignment horizontal="center"/>
    </xf>
    <xf numFmtId="0" fontId="132" fillId="0" borderId="0" xfId="4" applyFont="1" applyAlignment="1">
      <alignment horizontal="center"/>
    </xf>
    <xf numFmtId="164" fontId="132" fillId="0" borderId="0" xfId="4" applyNumberFormat="1" applyFont="1" applyAlignment="1">
      <alignment horizontal="right"/>
    </xf>
    <xf numFmtId="0" fontId="124" fillId="0" borderId="11" xfId="4" applyFont="1" applyBorder="1" applyAlignment="1" applyProtection="1">
      <alignment horizontal="center"/>
      <protection locked="0"/>
    </xf>
    <xf numFmtId="0" fontId="132" fillId="0" borderId="0" xfId="4" applyFont="1" applyBorder="1" applyAlignment="1">
      <alignment horizontal="center"/>
    </xf>
    <xf numFmtId="0" fontId="94" fillId="0" borderId="0" xfId="8" applyFont="1" applyFill="1" applyBorder="1" applyAlignment="1">
      <alignment horizontal="left"/>
    </xf>
    <xf numFmtId="164" fontId="95" fillId="0" borderId="11" xfId="4" applyNumberFormat="1" applyFont="1" applyBorder="1" applyAlignment="1" applyProtection="1">
      <alignment horizontal="center" vertical="center"/>
      <protection locked="0"/>
    </xf>
    <xf numFmtId="49" fontId="91" fillId="0" borderId="0" xfId="2" applyNumberFormat="1" applyFont="1" applyAlignment="1" applyProtection="1">
      <alignment horizontal="left" indent="2"/>
    </xf>
    <xf numFmtId="49" fontId="94" fillId="0" borderId="0" xfId="4" applyNumberFormat="1" applyFont="1" applyFill="1"/>
    <xf numFmtId="49" fontId="95" fillId="0" borderId="0" xfId="4" applyNumberFormat="1" applyFont="1" applyFill="1" applyBorder="1"/>
    <xf numFmtId="49" fontId="95" fillId="0" borderId="0" xfId="4" applyNumberFormat="1" applyFont="1"/>
    <xf numFmtId="49" fontId="124" fillId="0" borderId="0" xfId="4" applyNumberFormat="1" applyFont="1"/>
    <xf numFmtId="0" fontId="94" fillId="0" borderId="0" xfId="4" applyFont="1" applyBorder="1" applyAlignment="1" applyProtection="1">
      <alignment horizontal="center"/>
    </xf>
    <xf numFmtId="49" fontId="124" fillId="0" borderId="0" xfId="4" applyNumberFormat="1" applyFont="1" applyFill="1" applyBorder="1"/>
    <xf numFmtId="49" fontId="133" fillId="0" borderId="0" xfId="4" applyNumberFormat="1" applyFont="1" applyFill="1" applyBorder="1"/>
    <xf numFmtId="49" fontId="124" fillId="0" borderId="0" xfId="4" applyNumberFormat="1" applyFont="1" applyAlignment="1">
      <alignment vertical="top"/>
    </xf>
    <xf numFmtId="0" fontId="94" fillId="0" borderId="16" xfId="4" applyFont="1" applyBorder="1" applyAlignment="1" applyProtection="1">
      <alignment horizontal="center"/>
    </xf>
    <xf numFmtId="49" fontId="94" fillId="0" borderId="0" xfId="4" applyNumberFormat="1" applyFont="1" applyAlignment="1">
      <alignment vertical="top"/>
    </xf>
    <xf numFmtId="0" fontId="95" fillId="0" borderId="28" xfId="4" applyFont="1" applyBorder="1" applyAlignment="1" applyProtection="1">
      <alignment horizontal="center"/>
      <protection locked="0"/>
    </xf>
    <xf numFmtId="0" fontId="94" fillId="0" borderId="0" xfId="4" applyFont="1" applyBorder="1" applyProtection="1"/>
    <xf numFmtId="0" fontId="96" fillId="0" borderId="0" xfId="4" applyFont="1" applyAlignment="1" applyProtection="1">
      <alignment horizontal="center"/>
    </xf>
    <xf numFmtId="42" fontId="96" fillId="0" borderId="0" xfId="4" applyNumberFormat="1" applyFont="1" applyProtection="1"/>
    <xf numFmtId="0" fontId="105" fillId="0" borderId="0" xfId="4" applyFont="1" applyProtection="1"/>
    <xf numFmtId="0" fontId="96" fillId="0" borderId="0" xfId="20" applyFont="1" applyBorder="1" applyProtection="1"/>
    <xf numFmtId="0" fontId="96" fillId="0" borderId="0" xfId="20" applyFont="1" applyBorder="1" applyAlignment="1" applyProtection="1">
      <alignment horizontal="center"/>
    </xf>
    <xf numFmtId="42" fontId="96" fillId="6" borderId="28" xfId="4" applyNumberFormat="1" applyFont="1" applyFill="1" applyBorder="1" applyProtection="1"/>
    <xf numFmtId="41" fontId="96" fillId="6" borderId="28" xfId="4" applyNumberFormat="1" applyFont="1" applyFill="1" applyBorder="1" applyProtection="1"/>
    <xf numFmtId="0" fontId="105" fillId="0" borderId="0" xfId="4" applyFont="1" applyAlignment="1" applyProtection="1">
      <alignment horizontal="left" indent="2"/>
    </xf>
    <xf numFmtId="42" fontId="96" fillId="6" borderId="12" xfId="4" applyNumberFormat="1" applyFont="1" applyFill="1" applyBorder="1" applyProtection="1"/>
    <xf numFmtId="0" fontId="106" fillId="0" borderId="0" xfId="4" applyFont="1" applyProtection="1"/>
    <xf numFmtId="42" fontId="96" fillId="0" borderId="49" xfId="4" applyNumberFormat="1" applyFont="1" applyBorder="1" applyProtection="1">
      <protection locked="0"/>
    </xf>
    <xf numFmtId="42" fontId="96" fillId="0" borderId="0" xfId="4" applyNumberFormat="1" applyFont="1" applyFill="1" applyProtection="1"/>
    <xf numFmtId="42" fontId="96" fillId="0" borderId="28" xfId="4" applyNumberFormat="1" applyFont="1" applyBorder="1" applyProtection="1">
      <protection locked="0"/>
    </xf>
    <xf numFmtId="42" fontId="96" fillId="0" borderId="50" xfId="4" applyNumberFormat="1" applyFont="1" applyBorder="1" applyProtection="1">
      <protection locked="0"/>
    </xf>
    <xf numFmtId="0" fontId="96" fillId="0" borderId="0" xfId="4" applyFont="1" applyAlignment="1" applyProtection="1">
      <alignment horizontal="right"/>
    </xf>
    <xf numFmtId="42" fontId="96" fillId="6" borderId="6" xfId="4" applyNumberFormat="1" applyFont="1" applyFill="1" applyBorder="1" applyProtection="1"/>
    <xf numFmtId="165" fontId="105" fillId="0" borderId="0" xfId="4" applyNumberFormat="1" applyFont="1" applyAlignment="1" applyProtection="1">
      <alignment vertical="center"/>
    </xf>
    <xf numFmtId="0" fontId="89" fillId="0" borderId="0" xfId="4" applyFont="1" applyProtection="1"/>
    <xf numFmtId="0" fontId="89" fillId="0" borderId="0" xfId="4" applyFont="1" applyFill="1" applyProtection="1"/>
    <xf numFmtId="0" fontId="96" fillId="0" borderId="0" xfId="4" applyFont="1" applyFill="1" applyProtection="1"/>
    <xf numFmtId="169" fontId="90" fillId="0" borderId="0" xfId="4" applyNumberFormat="1" applyFont="1" applyFill="1" applyProtection="1"/>
    <xf numFmtId="0" fontId="90" fillId="0" borderId="0" xfId="4" applyFont="1" applyFill="1" applyProtection="1"/>
    <xf numFmtId="0" fontId="96" fillId="0" borderId="28" xfId="4" applyFont="1" applyFill="1" applyBorder="1" applyAlignment="1" applyProtection="1">
      <alignment horizontal="center" vertical="center"/>
      <protection locked="0"/>
    </xf>
    <xf numFmtId="0" fontId="90" fillId="0" borderId="0" xfId="4" applyFont="1" applyProtection="1"/>
    <xf numFmtId="0" fontId="90" fillId="0" borderId="32" xfId="4" applyFont="1" applyBorder="1" applyProtection="1"/>
    <xf numFmtId="0" fontId="90" fillId="0" borderId="33" xfId="4" applyFont="1" applyBorder="1" applyProtection="1">
      <protection locked="0"/>
    </xf>
    <xf numFmtId="0" fontId="90" fillId="0" borderId="32" xfId="4" applyFont="1" applyBorder="1" applyAlignment="1" applyProtection="1">
      <alignment horizontal="center"/>
      <protection locked="0"/>
    </xf>
    <xf numFmtId="0" fontId="105" fillId="0" borderId="0" xfId="4" applyFont="1" applyAlignment="1" applyProtection="1">
      <alignment horizontal="center"/>
    </xf>
    <xf numFmtId="0" fontId="89" fillId="0" borderId="0" xfId="4" applyFont="1" applyBorder="1" applyProtection="1"/>
    <xf numFmtId="5" fontId="90" fillId="0" borderId="15" xfId="4" applyNumberFormat="1" applyFont="1" applyBorder="1" applyAlignment="1" applyProtection="1">
      <protection locked="0"/>
    </xf>
    <xf numFmtId="5" fontId="90" fillId="0" borderId="51" xfId="4" applyNumberFormat="1" applyFont="1" applyBorder="1" applyAlignment="1" applyProtection="1">
      <protection locked="0"/>
    </xf>
    <xf numFmtId="5" fontId="105" fillId="0" borderId="0" xfId="4" applyNumberFormat="1" applyFont="1" applyAlignment="1" applyProtection="1"/>
    <xf numFmtId="0" fontId="105" fillId="0" borderId="0" xfId="4" applyFont="1" applyAlignment="1" applyProtection="1"/>
    <xf numFmtId="5" fontId="90" fillId="0" borderId="15" xfId="4" applyNumberFormat="1" applyFont="1" applyBorder="1" applyAlignment="1" applyProtection="1">
      <alignment horizontal="center"/>
      <protection locked="0"/>
    </xf>
    <xf numFmtId="5" fontId="90" fillId="0" borderId="51" xfId="4" applyNumberFormat="1" applyFont="1" applyBorder="1" applyAlignment="1" applyProtection="1">
      <alignment horizontal="center"/>
      <protection locked="0"/>
    </xf>
    <xf numFmtId="0" fontId="105" fillId="0" borderId="0" xfId="4" applyFont="1" applyBorder="1" applyProtection="1"/>
    <xf numFmtId="0" fontId="94" fillId="0" borderId="0" xfId="4" applyFont="1" applyAlignment="1" applyProtection="1">
      <alignment vertical="top"/>
    </xf>
    <xf numFmtId="0" fontId="94" fillId="0" borderId="15" xfId="4" applyFont="1" applyBorder="1" applyAlignment="1" applyProtection="1">
      <alignment vertical="top"/>
    </xf>
    <xf numFmtId="0" fontId="96" fillId="0" borderId="15" xfId="4" applyFont="1" applyBorder="1" applyProtection="1"/>
    <xf numFmtId="0" fontId="94" fillId="0" borderId="0" xfId="4" applyFont="1" applyBorder="1" applyAlignment="1" applyProtection="1">
      <alignment vertical="top"/>
    </xf>
    <xf numFmtId="0" fontId="134" fillId="0" borderId="0" xfId="4" applyFont="1" applyAlignment="1" applyProtection="1">
      <alignment vertical="top"/>
    </xf>
    <xf numFmtId="0" fontId="94" fillId="0" borderId="0" xfId="4" applyFont="1" applyProtection="1"/>
    <xf numFmtId="0" fontId="134" fillId="0" borderId="0" xfId="4" applyFont="1" applyAlignment="1" applyProtection="1">
      <alignment horizontal="right" vertical="top"/>
    </xf>
    <xf numFmtId="0" fontId="103" fillId="0" borderId="0" xfId="4" applyFont="1" applyAlignment="1" applyProtection="1">
      <alignment horizontal="center" vertical="center"/>
    </xf>
    <xf numFmtId="0" fontId="96" fillId="0" borderId="30" xfId="4" applyFont="1" applyBorder="1" applyProtection="1"/>
    <xf numFmtId="169" fontId="95" fillId="0" borderId="30" xfId="4" applyNumberFormat="1" applyFont="1" applyBorder="1" applyAlignment="1" applyProtection="1">
      <alignment horizontal="center"/>
    </xf>
    <xf numFmtId="1" fontId="95" fillId="0" borderId="48" xfId="4" applyNumberFormat="1" applyFont="1" applyBorder="1" applyAlignment="1" applyProtection="1">
      <alignment horizontal="center"/>
    </xf>
    <xf numFmtId="0" fontId="95" fillId="0" borderId="16" xfId="4" applyFont="1" applyBorder="1" applyAlignment="1" applyProtection="1">
      <alignment horizontal="centerContinuous"/>
    </xf>
    <xf numFmtId="0" fontId="95" fillId="0" borderId="48" xfId="4" applyFont="1" applyBorder="1" applyAlignment="1" applyProtection="1">
      <alignment horizontal="centerContinuous"/>
    </xf>
    <xf numFmtId="0" fontId="95" fillId="0" borderId="52" xfId="4" applyFont="1" applyBorder="1" applyAlignment="1" applyProtection="1">
      <alignment horizontal="centerContinuous"/>
    </xf>
    <xf numFmtId="0" fontId="95" fillId="0" borderId="30" xfId="4" applyFont="1" applyBorder="1" applyAlignment="1" applyProtection="1">
      <alignment horizontal="center"/>
    </xf>
    <xf numFmtId="0" fontId="95" fillId="8" borderId="30" xfId="4" applyFont="1" applyFill="1" applyBorder="1" applyAlignment="1" applyProtection="1">
      <alignment horizontal="center"/>
    </xf>
    <xf numFmtId="0" fontId="95" fillId="8" borderId="48" xfId="4" applyFont="1" applyFill="1" applyBorder="1" applyAlignment="1" applyProtection="1">
      <alignment horizontal="center"/>
    </xf>
    <xf numFmtId="0" fontId="95" fillId="0" borderId="38" xfId="4" applyFont="1" applyBorder="1" applyAlignment="1" applyProtection="1">
      <alignment horizontal="left"/>
    </xf>
    <xf numFmtId="169" fontId="95" fillId="0" borderId="35" xfId="4" applyNumberFormat="1" applyFont="1" applyBorder="1" applyAlignment="1" applyProtection="1">
      <alignment horizontal="center"/>
    </xf>
    <xf numFmtId="1" fontId="95" fillId="0" borderId="37" xfId="4" applyNumberFormat="1" applyFont="1" applyBorder="1" applyAlignment="1" applyProtection="1">
      <alignment horizontal="center"/>
    </xf>
    <xf numFmtId="0" fontId="95" fillId="0" borderId="0" xfId="4" applyFont="1" applyBorder="1" applyAlignment="1" applyProtection="1">
      <alignment horizontal="centerContinuous"/>
    </xf>
    <xf numFmtId="0" fontId="95" fillId="0" borderId="37" xfId="4" applyFont="1" applyBorder="1" applyAlignment="1" applyProtection="1">
      <alignment horizontal="centerContinuous"/>
    </xf>
    <xf numFmtId="0" fontId="95" fillId="12" borderId="53" xfId="4" applyFont="1" applyFill="1" applyBorder="1" applyAlignment="1" applyProtection="1">
      <alignment horizontal="center"/>
    </xf>
    <xf numFmtId="0" fontId="95" fillId="13" borderId="53" xfId="4" applyFont="1" applyFill="1" applyBorder="1" applyAlignment="1" applyProtection="1">
      <alignment horizontal="center"/>
    </xf>
    <xf numFmtId="0" fontId="95" fillId="0" borderId="53" xfId="4" applyFont="1" applyBorder="1" applyAlignment="1" applyProtection="1">
      <alignment horizontal="center"/>
    </xf>
    <xf numFmtId="0" fontId="95" fillId="8" borderId="53" xfId="4" applyFont="1" applyFill="1" applyBorder="1" applyAlignment="1" applyProtection="1">
      <alignment horizontal="center"/>
    </xf>
    <xf numFmtId="0" fontId="95" fillId="8" borderId="37" xfId="4" applyFont="1" applyFill="1" applyBorder="1" applyAlignment="1" applyProtection="1">
      <alignment horizontal="center"/>
    </xf>
    <xf numFmtId="0" fontId="95" fillId="0" borderId="35" xfId="4" applyFont="1" applyBorder="1" applyAlignment="1" applyProtection="1">
      <alignment horizontal="center"/>
    </xf>
    <xf numFmtId="0" fontId="95" fillId="0" borderId="37" xfId="4" applyFont="1" applyBorder="1" applyAlignment="1" applyProtection="1">
      <alignment horizontal="center"/>
    </xf>
    <xf numFmtId="0" fontId="95" fillId="0" borderId="38" xfId="4" applyFont="1" applyBorder="1" applyAlignment="1" applyProtection="1">
      <alignment horizontal="center"/>
    </xf>
    <xf numFmtId="0" fontId="95" fillId="0" borderId="54" xfId="4" applyFont="1" applyBorder="1" applyAlignment="1" applyProtection="1"/>
    <xf numFmtId="0" fontId="95" fillId="8" borderId="53" xfId="4" quotePrefix="1" applyFont="1" applyFill="1" applyBorder="1" applyAlignment="1" applyProtection="1">
      <alignment horizontal="center"/>
    </xf>
    <xf numFmtId="169" fontId="95" fillId="0" borderId="31" xfId="4" applyNumberFormat="1" applyFont="1" applyBorder="1" applyAlignment="1" applyProtection="1">
      <alignment horizontal="center"/>
    </xf>
    <xf numFmtId="1" fontId="95" fillId="0" borderId="34" xfId="4" applyNumberFormat="1" applyFont="1" applyBorder="1" applyAlignment="1" applyProtection="1">
      <alignment horizontal="center"/>
    </xf>
    <xf numFmtId="0" fontId="95" fillId="0" borderId="31" xfId="4" applyFont="1" applyBorder="1" applyAlignment="1" applyProtection="1">
      <alignment horizontal="center"/>
    </xf>
    <xf numFmtId="0" fontId="95" fillId="0" borderId="34" xfId="4" applyFont="1" applyBorder="1" applyAlignment="1" applyProtection="1">
      <alignment horizontal="center"/>
    </xf>
    <xf numFmtId="0" fontId="95" fillId="0" borderId="36" xfId="4" applyFont="1" applyBorder="1" applyAlignment="1" applyProtection="1">
      <alignment horizontal="center"/>
    </xf>
    <xf numFmtId="0" fontId="95" fillId="12" borderId="55" xfId="4" applyFont="1" applyFill="1" applyBorder="1" applyAlignment="1" applyProtection="1">
      <alignment horizontal="center"/>
    </xf>
    <xf numFmtId="0" fontId="95" fillId="8" borderId="55" xfId="4" applyFont="1" applyFill="1" applyBorder="1" applyAlignment="1" applyProtection="1">
      <alignment horizontal="center"/>
    </xf>
    <xf numFmtId="0" fontId="95" fillId="13" borderId="55" xfId="4" applyFont="1" applyFill="1" applyBorder="1" applyAlignment="1" applyProtection="1">
      <alignment horizontal="center"/>
    </xf>
    <xf numFmtId="0" fontId="95" fillId="0" borderId="55" xfId="4" applyFont="1" applyBorder="1" applyAlignment="1" applyProtection="1">
      <alignment horizontal="center"/>
    </xf>
    <xf numFmtId="0" fontId="95" fillId="8" borderId="34" xfId="4" applyFont="1" applyFill="1" applyBorder="1" applyAlignment="1" applyProtection="1">
      <alignment horizontal="center"/>
    </xf>
    <xf numFmtId="3" fontId="94" fillId="0" borderId="11" xfId="4" applyNumberFormat="1" applyFont="1" applyBorder="1" applyAlignment="1" applyProtection="1">
      <alignment horizontal="left" vertical="center" wrapText="1"/>
      <protection locked="0"/>
    </xf>
    <xf numFmtId="0" fontId="96" fillId="0" borderId="0" xfId="4" applyFont="1" applyAlignment="1" applyProtection="1">
      <alignment textRotation="180" wrapText="1"/>
    </xf>
    <xf numFmtId="3" fontId="94" fillId="0" borderId="0" xfId="4" applyNumberFormat="1" applyFont="1" applyBorder="1" applyAlignment="1" applyProtection="1">
      <alignment horizontal="left" vertical="center" wrapText="1"/>
      <protection locked="0"/>
    </xf>
    <xf numFmtId="169" fontId="94" fillId="0" borderId="0" xfId="4" applyNumberFormat="1" applyFont="1" applyBorder="1" applyAlignment="1" applyProtection="1">
      <alignment horizontal="center"/>
      <protection locked="0"/>
    </xf>
    <xf numFmtId="1" fontId="94" fillId="0" borderId="0" xfId="4" applyNumberFormat="1" applyFont="1" applyBorder="1" applyAlignment="1" applyProtection="1">
      <alignment horizontal="center"/>
      <protection locked="0"/>
    </xf>
    <xf numFmtId="3" fontId="94" fillId="0" borderId="0" xfId="4" applyNumberFormat="1" applyFont="1" applyBorder="1" applyAlignment="1" applyProtection="1">
      <alignment horizontal="center"/>
      <protection locked="0"/>
    </xf>
    <xf numFmtId="169" fontId="94" fillId="0" borderId="0" xfId="4" applyNumberFormat="1" applyFont="1" applyBorder="1" applyProtection="1"/>
    <xf numFmtId="1" fontId="94" fillId="0" borderId="0" xfId="4" applyNumberFormat="1" applyFont="1" applyBorder="1" applyProtection="1"/>
    <xf numFmtId="0" fontId="89" fillId="12" borderId="0" xfId="4" applyFont="1" applyFill="1" applyProtection="1"/>
    <xf numFmtId="169" fontId="96" fillId="12" borderId="0" xfId="4" applyNumberFormat="1" applyFont="1" applyFill="1" applyProtection="1"/>
    <xf numFmtId="1" fontId="96" fillId="12" borderId="0" xfId="4" applyNumberFormat="1" applyFont="1" applyFill="1" applyProtection="1"/>
    <xf numFmtId="0" fontId="96" fillId="12" borderId="0" xfId="4" applyFont="1" applyFill="1" applyProtection="1"/>
    <xf numFmtId="169" fontId="96" fillId="0" borderId="0" xfId="4" applyNumberFormat="1" applyFont="1" applyFill="1" applyProtection="1"/>
    <xf numFmtId="1" fontId="96" fillId="0" borderId="0" xfId="4" applyNumberFormat="1" applyFont="1" applyFill="1" applyProtection="1"/>
    <xf numFmtId="169" fontId="96" fillId="0" borderId="0" xfId="4" applyNumberFormat="1" applyFont="1" applyProtection="1"/>
    <xf numFmtId="1" fontId="96" fillId="0" borderId="0" xfId="4" applyNumberFormat="1" applyFont="1" applyProtection="1"/>
    <xf numFmtId="0" fontId="89" fillId="0" borderId="15" xfId="4" applyFont="1" applyBorder="1" applyProtection="1"/>
    <xf numFmtId="169" fontId="96" fillId="0" borderId="15" xfId="4" applyNumberFormat="1" applyFont="1" applyBorder="1" applyProtection="1"/>
    <xf numFmtId="1" fontId="96" fillId="0" borderId="15" xfId="4" applyNumberFormat="1" applyFont="1" applyBorder="1" applyProtection="1"/>
    <xf numFmtId="0" fontId="96" fillId="0" borderId="15" xfId="4" applyFont="1" applyBorder="1" applyAlignment="1" applyProtection="1">
      <alignment horizontal="center"/>
    </xf>
    <xf numFmtId="0" fontId="134" fillId="0" borderId="0" xfId="4" applyFont="1" applyAlignment="1" applyProtection="1">
      <alignment horizontal="left" wrapText="1"/>
    </xf>
    <xf numFmtId="0" fontId="134" fillId="0" borderId="0" xfId="4" applyFont="1" applyAlignment="1" applyProtection="1"/>
    <xf numFmtId="0" fontId="134" fillId="0" borderId="0" xfId="4" applyFont="1" applyAlignment="1" applyProtection="1">
      <alignment wrapText="1"/>
    </xf>
    <xf numFmtId="0" fontId="94" fillId="0" borderId="0" xfId="4" applyFont="1" applyAlignment="1" applyProtection="1">
      <alignment horizontal="left" wrapText="1"/>
    </xf>
    <xf numFmtId="0" fontId="94" fillId="0" borderId="0" xfId="4" applyFont="1" applyAlignment="1" applyProtection="1">
      <alignment horizontal="left"/>
    </xf>
    <xf numFmtId="169" fontId="94" fillId="0" borderId="0" xfId="4" applyNumberFormat="1" applyFont="1" applyProtection="1"/>
    <xf numFmtId="1" fontId="94" fillId="0" borderId="0" xfId="4" applyNumberFormat="1" applyFont="1" applyProtection="1"/>
    <xf numFmtId="0" fontId="94" fillId="0" borderId="0" xfId="4" applyFont="1" applyAlignment="1" applyProtection="1">
      <alignment horizontal="center"/>
    </xf>
    <xf numFmtId="0" fontId="134" fillId="0" borderId="0" xfId="4" applyFont="1" applyAlignment="1" applyProtection="1">
      <alignment vertical="center"/>
    </xf>
    <xf numFmtId="0" fontId="135" fillId="0" borderId="0" xfId="4" applyFont="1" applyFill="1" applyProtection="1"/>
    <xf numFmtId="0" fontId="105" fillId="0" borderId="0" xfId="4" applyFont="1" applyAlignment="1" applyProtection="1">
      <alignment vertical="center"/>
    </xf>
    <xf numFmtId="49" fontId="105" fillId="0" borderId="0" xfId="4" applyNumberFormat="1" applyFont="1" applyBorder="1" applyAlignment="1" applyProtection="1">
      <alignment horizontal="center" vertical="top"/>
    </xf>
    <xf numFmtId="165" fontId="89"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top"/>
    </xf>
    <xf numFmtId="0" fontId="89" fillId="0" borderId="0" xfId="4" applyFont="1" applyAlignment="1" applyProtection="1">
      <alignment horizontal="center" vertical="center"/>
    </xf>
    <xf numFmtId="0" fontId="105" fillId="0" borderId="16" xfId="4" applyFont="1" applyBorder="1" applyProtection="1"/>
    <xf numFmtId="0" fontId="96" fillId="0" borderId="16" xfId="4" applyFont="1" applyBorder="1" applyProtection="1"/>
    <xf numFmtId="0" fontId="96" fillId="0" borderId="16" xfId="4" applyFont="1" applyBorder="1" applyAlignment="1" applyProtection="1">
      <alignment horizontal="center"/>
    </xf>
    <xf numFmtId="0" fontId="96" fillId="0" borderId="0" xfId="4" applyFont="1" applyFill="1" applyBorder="1" applyProtection="1"/>
    <xf numFmtId="0" fontId="105" fillId="0" borderId="0" xfId="4" applyFont="1" applyFill="1" applyBorder="1" applyAlignment="1" applyProtection="1">
      <alignment horizontal="centerContinuous"/>
    </xf>
    <xf numFmtId="0" fontId="96" fillId="0" borderId="0" xfId="4" applyFont="1" applyBorder="1" applyAlignment="1" applyProtection="1">
      <alignment horizontal="center"/>
    </xf>
    <xf numFmtId="0" fontId="95" fillId="0" borderId="0" xfId="4" applyFont="1" applyBorder="1" applyProtection="1"/>
    <xf numFmtId="178" fontId="105" fillId="0" borderId="28" xfId="4" applyNumberFormat="1" applyFont="1" applyBorder="1" applyAlignment="1" applyProtection="1">
      <alignment horizontal="left"/>
      <protection locked="0"/>
    </xf>
    <xf numFmtId="0" fontId="95" fillId="0" borderId="0" xfId="4" applyFont="1" applyProtection="1"/>
    <xf numFmtId="0" fontId="96" fillId="0" borderId="11" xfId="4" applyFont="1" applyBorder="1" applyAlignment="1" applyProtection="1">
      <alignment horizontal="center" vertical="center"/>
      <protection locked="0"/>
    </xf>
    <xf numFmtId="0" fontId="96" fillId="0" borderId="0" xfId="4" applyFont="1" applyBorder="1" applyAlignment="1" applyProtection="1">
      <alignment horizontal="left" indent="1"/>
    </xf>
    <xf numFmtId="0" fontId="95" fillId="0" borderId="0" xfId="4" applyFont="1" applyBorder="1" applyAlignment="1" applyProtection="1">
      <alignment horizontal="left" indent="1"/>
    </xf>
    <xf numFmtId="0" fontId="95" fillId="0" borderId="0" xfId="4" applyFont="1" applyBorder="1" applyAlignment="1" applyProtection="1">
      <alignment horizontal="left"/>
    </xf>
    <xf numFmtId="0" fontId="96" fillId="0" borderId="28" xfId="4" applyFont="1" applyBorder="1" applyProtection="1">
      <protection locked="0"/>
    </xf>
    <xf numFmtId="0" fontId="95" fillId="0" borderId="16" xfId="4" quotePrefix="1" applyFont="1" applyBorder="1" applyAlignment="1" applyProtection="1">
      <alignment horizontal="left"/>
    </xf>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6" fillId="0" borderId="0" xfId="4" applyFont="1" applyFill="1" applyBorder="1" applyAlignment="1" applyProtection="1"/>
    <xf numFmtId="0" fontId="96" fillId="0" borderId="0" xfId="4" applyFont="1" applyAlignment="1" applyProtection="1">
      <alignment horizontal="left"/>
    </xf>
    <xf numFmtId="0" fontId="96" fillId="0" borderId="0" xfId="4" applyFont="1" applyAlignment="1" applyProtection="1"/>
    <xf numFmtId="8" fontId="96" fillId="0" borderId="0" xfId="4" applyNumberFormat="1" applyFont="1" applyAlignment="1" applyProtection="1">
      <alignment horizontal="left"/>
    </xf>
    <xf numFmtId="0" fontId="95" fillId="0" borderId="16" xfId="4" applyFont="1" applyBorder="1" applyProtection="1"/>
    <xf numFmtId="0" fontId="96" fillId="0" borderId="0" xfId="4" applyFont="1" applyBorder="1" applyAlignment="1" applyProtection="1">
      <alignment horizontal="left"/>
    </xf>
    <xf numFmtId="0" fontId="95" fillId="0" borderId="16" xfId="4" applyFont="1" applyBorder="1" applyAlignment="1" applyProtection="1">
      <alignment horizontal="left"/>
    </xf>
    <xf numFmtId="0" fontId="96" fillId="0" borderId="15" xfId="4" applyFont="1" applyFill="1" applyBorder="1" applyProtection="1"/>
    <xf numFmtId="0" fontId="96" fillId="0" borderId="15" xfId="4" applyFont="1" applyFill="1" applyBorder="1" applyAlignment="1" applyProtection="1">
      <alignment horizontal="center"/>
    </xf>
    <xf numFmtId="0" fontId="134" fillId="0" borderId="0" xfId="4" applyFont="1" applyBorder="1" applyProtection="1"/>
    <xf numFmtId="0" fontId="134" fillId="0" borderId="0" xfId="4" applyFont="1" applyProtection="1"/>
    <xf numFmtId="0" fontId="95" fillId="0" borderId="0" xfId="4" applyFont="1" applyAlignment="1" applyProtection="1">
      <alignment horizontal="center" vertical="top" textRotation="180"/>
    </xf>
    <xf numFmtId="0" fontId="95" fillId="0" borderId="0" xfId="4" applyFont="1" applyAlignment="1" applyProtection="1">
      <alignment horizontal="right" vertical="center" textRotation="180"/>
    </xf>
    <xf numFmtId="0" fontId="105" fillId="0" borderId="0" xfId="4" applyFont="1" applyAlignment="1" applyProtection="1">
      <alignment vertical="center" textRotation="180"/>
    </xf>
    <xf numFmtId="169" fontId="105" fillId="0" borderId="0" xfId="4" applyNumberFormat="1" applyFont="1" applyBorder="1" applyProtection="1"/>
    <xf numFmtId="169" fontId="96" fillId="0" borderId="16" xfId="4" applyNumberFormat="1" applyFont="1" applyBorder="1" applyProtection="1"/>
    <xf numFmtId="169" fontId="96" fillId="0" borderId="28" xfId="4" applyNumberFormat="1" applyFont="1" applyBorder="1" applyProtection="1"/>
    <xf numFmtId="0" fontId="96" fillId="0" borderId="28" xfId="4" applyFont="1" applyBorder="1" applyProtection="1"/>
    <xf numFmtId="0" fontId="96" fillId="0" borderId="28" xfId="4" applyFont="1" applyBorder="1" applyAlignment="1" applyProtection="1">
      <alignment horizontal="center"/>
    </xf>
    <xf numFmtId="169" fontId="96" fillId="0" borderId="0" xfId="4" applyNumberFormat="1" applyFont="1" applyBorder="1" applyProtection="1"/>
    <xf numFmtId="169" fontId="117" fillId="0" borderId="0" xfId="4" applyNumberFormat="1" applyFont="1" applyBorder="1" applyAlignment="1" applyProtection="1">
      <alignment horizontal="left"/>
    </xf>
    <xf numFmtId="0" fontId="110" fillId="0" borderId="0" xfId="4" applyFont="1" applyBorder="1" applyAlignment="1" applyProtection="1">
      <alignment horizontal="left"/>
    </xf>
    <xf numFmtId="0" fontId="96" fillId="0" borderId="0" xfId="4" applyFont="1" applyBorder="1" applyAlignment="1" applyProtection="1"/>
    <xf numFmtId="0" fontId="94" fillId="0" borderId="0" xfId="4" applyFont="1" applyBorder="1" applyAlignment="1" applyProtection="1">
      <alignment horizontal="centerContinuous"/>
    </xf>
    <xf numFmtId="0" fontId="96" fillId="0" borderId="0" xfId="4" applyFont="1" applyBorder="1" applyAlignment="1" applyProtection="1">
      <alignment horizontal="centerContinuous"/>
    </xf>
    <xf numFmtId="169" fontId="95" fillId="0" borderId="0" xfId="4" applyNumberFormat="1" applyFont="1" applyProtection="1"/>
    <xf numFmtId="169" fontId="94" fillId="0" borderId="0" xfId="4" applyNumberFormat="1" applyFont="1" applyAlignment="1" applyProtection="1">
      <alignment horizontal="left"/>
    </xf>
    <xf numFmtId="0" fontId="90" fillId="0" borderId="0" xfId="4" applyFont="1" applyAlignment="1" applyProtection="1">
      <alignment horizontal="left"/>
    </xf>
    <xf numFmtId="0" fontId="96" fillId="0" borderId="28" xfId="4" applyFont="1" applyBorder="1" applyAlignment="1" applyProtection="1">
      <alignment horizontal="center" vertical="center"/>
      <protection locked="0"/>
    </xf>
    <xf numFmtId="0" fontId="96" fillId="0" borderId="0" xfId="4" applyFont="1" applyBorder="1" applyAlignment="1" applyProtection="1">
      <alignment horizontal="center" vertical="center"/>
      <protection locked="0"/>
    </xf>
    <xf numFmtId="0" fontId="136" fillId="0" borderId="0" xfId="4" applyFont="1" applyBorder="1" applyAlignment="1" applyProtection="1">
      <alignment horizontal="left"/>
    </xf>
    <xf numFmtId="169" fontId="124" fillId="0" borderId="0" xfId="4" applyNumberFormat="1" applyFont="1" applyProtection="1"/>
    <xf numFmtId="0" fontId="93" fillId="0" borderId="0" xfId="4" applyFont="1" applyProtection="1"/>
    <xf numFmtId="169" fontId="94" fillId="0" borderId="56" xfId="4" applyNumberFormat="1" applyFont="1" applyBorder="1" applyAlignment="1" applyProtection="1">
      <alignment horizontal="center"/>
    </xf>
    <xf numFmtId="169" fontId="94" fillId="0" borderId="57" xfId="4" applyNumberFormat="1" applyFont="1" applyBorder="1" applyAlignment="1" applyProtection="1">
      <alignment horizontal="center"/>
      <protection locked="0"/>
    </xf>
    <xf numFmtId="169" fontId="137" fillId="0" borderId="0" xfId="4" applyNumberFormat="1" applyFont="1" applyProtection="1"/>
    <xf numFmtId="6" fontId="133" fillId="0" borderId="51" xfId="4" applyNumberFormat="1" applyFont="1" applyBorder="1" applyProtection="1"/>
    <xf numFmtId="6" fontId="133" fillId="0" borderId="0" xfId="4" applyNumberFormat="1" applyFont="1" applyBorder="1" applyProtection="1"/>
    <xf numFmtId="10" fontId="95" fillId="0" borderId="57" xfId="4" applyNumberFormat="1" applyFont="1" applyBorder="1" applyProtection="1"/>
    <xf numFmtId="6" fontId="94" fillId="0" borderId="0" xfId="4" applyNumberFormat="1" applyFont="1" applyProtection="1"/>
    <xf numFmtId="0" fontId="133" fillId="0" borderId="0" xfId="4" applyFont="1" applyProtection="1"/>
    <xf numFmtId="10" fontId="137"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4" fillId="0" borderId="0" xfId="4" applyFont="1" applyAlignment="1" applyProtection="1">
      <alignment horizontal="left" vertical="center"/>
    </xf>
    <xf numFmtId="169" fontId="134" fillId="0" borderId="0" xfId="4" applyNumberFormat="1" applyFont="1" applyBorder="1" applyAlignment="1" applyProtection="1">
      <alignment horizontal="left" vertical="center"/>
    </xf>
    <xf numFmtId="0" fontId="134" fillId="0" borderId="0" xfId="4" applyFont="1" applyBorder="1" applyAlignment="1" applyProtection="1">
      <alignment horizontal="left" vertical="center"/>
    </xf>
    <xf numFmtId="0" fontId="96" fillId="0" borderId="0" xfId="4" applyFont="1" applyAlignment="1" applyProtection="1">
      <alignment horizontal="left" vertical="center"/>
    </xf>
    <xf numFmtId="169" fontId="94" fillId="0" borderId="0" xfId="4" applyNumberFormat="1" applyFont="1" applyAlignment="1" applyProtection="1">
      <alignment horizontal="left" vertical="center"/>
    </xf>
    <xf numFmtId="169" fontId="134" fillId="0" borderId="0" xfId="4" applyNumberFormat="1" applyFont="1" applyAlignment="1" applyProtection="1">
      <alignment horizontal="left" vertical="center"/>
    </xf>
    <xf numFmtId="0" fontId="134" fillId="0" borderId="0" xfId="4" applyFont="1" applyAlignment="1" applyProtection="1">
      <alignment horizontal="left" vertical="center"/>
    </xf>
    <xf numFmtId="49" fontId="105"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center"/>
    </xf>
    <xf numFmtId="178" fontId="105" fillId="0" borderId="58" xfId="4" applyNumberFormat="1" applyFont="1" applyBorder="1" applyAlignment="1" applyProtection="1">
      <alignment horizontal="center"/>
      <protection locked="0"/>
    </xf>
    <xf numFmtId="0" fontId="96" fillId="0" borderId="11" xfId="4" applyFont="1" applyBorder="1" applyAlignment="1" applyProtection="1">
      <alignment horizontal="center"/>
      <protection locked="0"/>
    </xf>
    <xf numFmtId="0" fontId="94" fillId="0" borderId="0" xfId="4" applyFont="1" applyAlignment="1" applyProtection="1">
      <alignment horizontal="left" vertical="center" indent="1"/>
    </xf>
    <xf numFmtId="0" fontId="94" fillId="0" borderId="0" xfId="4" applyFont="1" applyAlignment="1" applyProtection="1">
      <alignment horizontal="left" indent="1"/>
    </xf>
    <xf numFmtId="0" fontId="94" fillId="0" borderId="0" xfId="4" applyFont="1" applyBorder="1" applyAlignment="1" applyProtection="1">
      <alignment horizontal="left"/>
    </xf>
    <xf numFmtId="0" fontId="96" fillId="0" borderId="58" xfId="4" applyFont="1" applyBorder="1" applyProtection="1">
      <protection locked="0"/>
    </xf>
    <xf numFmtId="0" fontId="105" fillId="0" borderId="28" xfId="4" applyFont="1" applyBorder="1" applyProtection="1"/>
    <xf numFmtId="0" fontId="95" fillId="0" borderId="0" xfId="4" applyFont="1" applyAlignment="1" applyProtection="1">
      <alignment horizontal="center"/>
    </xf>
    <xf numFmtId="0" fontId="105" fillId="0" borderId="0" xfId="4" applyFont="1" applyBorder="1" applyAlignment="1" applyProtection="1">
      <alignment horizontal="center"/>
    </xf>
    <xf numFmtId="0" fontId="95" fillId="0" borderId="0" xfId="4" quotePrefix="1" applyFont="1" applyBorder="1" applyAlignment="1" applyProtection="1">
      <alignment horizontal="left"/>
    </xf>
    <xf numFmtId="0" fontId="90" fillId="0" borderId="0" xfId="4" applyFont="1" applyBorder="1" applyAlignment="1" applyProtection="1">
      <alignment horizontal="center"/>
    </xf>
    <xf numFmtId="0" fontId="96" fillId="0" borderId="28" xfId="4" applyFont="1" applyBorder="1" applyAlignment="1" applyProtection="1">
      <alignment horizontal="left"/>
    </xf>
    <xf numFmtId="0" fontId="96" fillId="0" borderId="28" xfId="4" applyFont="1" applyBorder="1" applyAlignment="1" applyProtection="1"/>
    <xf numFmtId="170" fontId="96" fillId="0" borderId="28" xfId="4" applyNumberFormat="1" applyFont="1" applyBorder="1" applyAlignment="1" applyProtection="1">
      <alignment horizontal="centerContinuous"/>
    </xf>
    <xf numFmtId="0" fontId="103" fillId="0" borderId="59" xfId="4" applyFont="1" applyBorder="1" applyAlignment="1" applyProtection="1">
      <alignment horizontal="left"/>
    </xf>
    <xf numFmtId="0" fontId="96" fillId="0" borderId="59" xfId="4" applyFont="1" applyBorder="1" applyProtection="1"/>
    <xf numFmtId="0" fontId="96" fillId="0" borderId="59" xfId="4" applyFont="1" applyBorder="1" applyAlignment="1" applyProtection="1">
      <alignment horizontal="center"/>
    </xf>
    <xf numFmtId="49" fontId="89" fillId="0" borderId="0" xfId="4" applyNumberFormat="1" applyFont="1" applyBorder="1" applyAlignment="1" applyProtection="1">
      <alignment horizontal="center" vertical="center"/>
    </xf>
    <xf numFmtId="166" fontId="89" fillId="0" borderId="0" xfId="4" applyNumberFormat="1" applyFont="1" applyBorder="1" applyAlignment="1" applyProtection="1">
      <alignment horizontal="center" vertical="center"/>
    </xf>
    <xf numFmtId="49" fontId="89" fillId="0" borderId="0" xfId="4" applyNumberFormat="1" applyFont="1" applyAlignment="1" applyProtection="1">
      <alignment horizontal="center" vertical="center"/>
    </xf>
    <xf numFmtId="0" fontId="90" fillId="0" borderId="0" xfId="4" applyFont="1" applyBorder="1" applyAlignment="1" applyProtection="1">
      <alignment vertical="center"/>
    </xf>
    <xf numFmtId="0" fontId="124" fillId="0" borderId="0" xfId="4" applyFont="1" applyBorder="1" applyAlignment="1" applyProtection="1">
      <alignment horizontal="center"/>
    </xf>
    <xf numFmtId="179" fontId="96" fillId="0" borderId="0" xfId="4" applyNumberFormat="1" applyFont="1" applyBorder="1" applyProtection="1">
      <protection locked="0"/>
    </xf>
    <xf numFmtId="179" fontId="96" fillId="0" borderId="0" xfId="4" applyNumberFormat="1" applyFont="1" applyBorder="1" applyAlignment="1" applyProtection="1">
      <alignment horizontal="left"/>
      <protection locked="0"/>
    </xf>
    <xf numFmtId="179" fontId="95" fillId="0" borderId="0" xfId="4" applyNumberFormat="1" applyFont="1" applyProtection="1">
      <protection locked="0"/>
    </xf>
    <xf numFmtId="179" fontId="96" fillId="0" borderId="0" xfId="4" applyNumberFormat="1" applyFont="1" applyProtection="1">
      <protection locked="0"/>
    </xf>
    <xf numFmtId="179" fontId="96" fillId="0" borderId="0" xfId="4" applyNumberFormat="1" applyFont="1" applyAlignment="1" applyProtection="1">
      <alignment horizontal="left"/>
      <protection locked="0"/>
    </xf>
    <xf numFmtId="49" fontId="110" fillId="0" borderId="0" xfId="4" applyNumberFormat="1" applyFont="1" applyBorder="1" applyAlignment="1" applyProtection="1">
      <alignment horizontal="left"/>
      <protection locked="0"/>
    </xf>
    <xf numFmtId="49" fontId="96" fillId="0" borderId="0" xfId="4" applyNumberFormat="1" applyFont="1" applyProtection="1">
      <protection locked="0"/>
    </xf>
    <xf numFmtId="49" fontId="96" fillId="0" borderId="15" xfId="4" applyNumberFormat="1" applyFont="1" applyBorder="1" applyAlignment="1" applyProtection="1">
      <protection locked="0"/>
    </xf>
    <xf numFmtId="0" fontId="96" fillId="0" borderId="15" xfId="4" applyFont="1" applyBorder="1" applyProtection="1">
      <protection locked="0"/>
    </xf>
    <xf numFmtId="0" fontId="134" fillId="0" borderId="0" xfId="4" applyFont="1" applyAlignment="1" applyProtection="1">
      <alignment horizontal="left"/>
    </xf>
    <xf numFmtId="0" fontId="94" fillId="0" borderId="0" xfId="4" applyFont="1" applyAlignment="1" applyProtection="1">
      <alignment horizontal="left" vertical="center" indent="2"/>
    </xf>
    <xf numFmtId="49" fontId="138" fillId="0" borderId="0" xfId="0" applyNumberFormat="1" applyFont="1" applyBorder="1" applyAlignment="1">
      <alignment horizontal="left"/>
    </xf>
    <xf numFmtId="49" fontId="92" fillId="0" borderId="0" xfId="2" applyNumberFormat="1" applyFont="1" applyBorder="1" applyAlignment="1" applyProtection="1">
      <alignment horizontal="left" indent="4"/>
    </xf>
    <xf numFmtId="49" fontId="99" fillId="0" borderId="0" xfId="0" applyNumberFormat="1" applyFont="1" applyBorder="1" applyAlignment="1">
      <alignment horizontal="left" indent="1"/>
    </xf>
    <xf numFmtId="0" fontId="138" fillId="0" borderId="0" xfId="0" applyFont="1" applyBorder="1" applyProtection="1"/>
    <xf numFmtId="164" fontId="94" fillId="0" borderId="9"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indent="1"/>
    </xf>
    <xf numFmtId="0" fontId="94" fillId="0" borderId="0" xfId="0" applyFont="1" applyFill="1" applyAlignment="1" applyProtection="1">
      <alignment horizontal="left" vertical="center" indent="1"/>
    </xf>
    <xf numFmtId="164" fontId="94" fillId="0" borderId="0" xfId="0" applyNumberFormat="1" applyFont="1" applyFill="1" applyBorder="1" applyAlignment="1" applyProtection="1">
      <alignment horizontal="left" vertical="center" wrapText="1" indent="1"/>
    </xf>
    <xf numFmtId="0" fontId="94" fillId="0" borderId="0" xfId="0" applyFont="1" applyFill="1" applyBorder="1" applyAlignment="1" applyProtection="1">
      <alignment horizontal="left" vertical="center" indent="1"/>
    </xf>
    <xf numFmtId="0" fontId="94" fillId="0" borderId="14" xfId="0" applyFont="1" applyBorder="1" applyAlignment="1" applyProtection="1">
      <alignment horizontal="left" vertical="top" indent="1"/>
    </xf>
    <xf numFmtId="0" fontId="94" fillId="0" borderId="0" xfId="0" applyFont="1" applyFill="1" applyBorder="1" applyAlignment="1" applyProtection="1">
      <alignment horizontal="left" vertical="top" indent="1"/>
    </xf>
    <xf numFmtId="0" fontId="94" fillId="0" borderId="6" xfId="0" applyFont="1" applyBorder="1" applyAlignment="1" applyProtection="1">
      <alignment horizontal="left" vertical="center" indent="1"/>
    </xf>
    <xf numFmtId="0" fontId="94" fillId="0" borderId="45" xfId="0" applyFont="1" applyBorder="1" applyAlignment="1" applyProtection="1">
      <alignment horizontal="left" vertical="center" indent="1"/>
    </xf>
    <xf numFmtId="0" fontId="94" fillId="0" borderId="60" xfId="0" applyFont="1" applyBorder="1" applyAlignment="1" applyProtection="1">
      <alignment horizontal="left" vertical="center" indent="1"/>
    </xf>
    <xf numFmtId="0" fontId="94" fillId="0" borderId="14" xfId="0" applyFont="1" applyBorder="1" applyAlignment="1" applyProtection="1">
      <alignment horizontal="left" vertical="center" wrapText="1" indent="1"/>
    </xf>
    <xf numFmtId="0" fontId="94" fillId="0" borderId="143" xfId="0" applyFont="1" applyFill="1" applyBorder="1" applyAlignment="1" applyProtection="1">
      <alignment horizontal="left" vertical="center" indent="1"/>
    </xf>
    <xf numFmtId="0" fontId="94" fillId="0" borderId="132" xfId="0" applyFont="1" applyFill="1" applyBorder="1" applyAlignment="1" applyProtection="1">
      <alignment horizontal="left" vertical="center" indent="1"/>
    </xf>
    <xf numFmtId="3" fontId="94" fillId="0" borderId="2" xfId="0" applyNumberFormat="1" applyFont="1" applyBorder="1" applyAlignment="1">
      <alignment horizontal="left" vertical="center" wrapText="1" indent="1"/>
    </xf>
    <xf numFmtId="3" fontId="94" fillId="0" borderId="8" xfId="0" applyNumberFormat="1" applyFont="1" applyBorder="1" applyAlignment="1">
      <alignment horizontal="left" vertical="center" wrapText="1" indent="1"/>
    </xf>
    <xf numFmtId="3" fontId="94" fillId="0" borderId="8" xfId="0" applyNumberFormat="1" applyFont="1" applyBorder="1" applyAlignment="1">
      <alignment horizontal="left" vertical="center" indent="1"/>
    </xf>
    <xf numFmtId="3" fontId="95" fillId="6" borderId="61"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wrapText="1" indent="1"/>
    </xf>
    <xf numFmtId="3" fontId="94" fillId="0" borderId="18" xfId="0" applyNumberFormat="1" applyFont="1" applyBorder="1" applyAlignment="1">
      <alignment horizontal="left" vertical="center" wrapText="1" indent="1"/>
    </xf>
    <xf numFmtId="3" fontId="94" fillId="0" borderId="9" xfId="0" applyNumberFormat="1" applyFont="1" applyFill="1" applyBorder="1" applyAlignment="1">
      <alignment horizontal="left" vertical="center" wrapText="1" indent="1"/>
    </xf>
    <xf numFmtId="3" fontId="94" fillId="0" borderId="27" xfId="0" applyNumberFormat="1" applyFont="1" applyFill="1" applyBorder="1" applyAlignment="1">
      <alignment horizontal="left" vertical="center" wrapText="1" indent="1"/>
    </xf>
    <xf numFmtId="3" fontId="94" fillId="0" borderId="18" xfId="0" applyNumberFormat="1" applyFont="1" applyFill="1" applyBorder="1" applyAlignment="1">
      <alignment horizontal="left" vertical="center" wrapText="1" indent="1"/>
    </xf>
    <xf numFmtId="3" fontId="94" fillId="0" borderId="2" xfId="0" applyNumberFormat="1" applyFont="1" applyFill="1" applyBorder="1" applyAlignment="1">
      <alignment horizontal="left" vertical="center" wrapText="1" indent="1"/>
    </xf>
    <xf numFmtId="3" fontId="95" fillId="0" borderId="20" xfId="0" applyNumberFormat="1" applyFont="1" applyFill="1" applyBorder="1" applyAlignment="1">
      <alignment horizontal="left" vertical="center" wrapText="1" indent="1"/>
    </xf>
    <xf numFmtId="3" fontId="95" fillId="5" borderId="26" xfId="0" applyNumberFormat="1" applyFont="1" applyFill="1" applyBorder="1" applyAlignment="1">
      <alignment horizontal="left" vertical="center" wrapText="1" indent="1"/>
    </xf>
    <xf numFmtId="3" fontId="94" fillId="0" borderId="2" xfId="0" applyNumberFormat="1" applyFont="1" applyBorder="1" applyAlignment="1">
      <alignment horizontal="left" vertical="center" indent="1"/>
    </xf>
    <xf numFmtId="3" fontId="94" fillId="0" borderId="23" xfId="0" applyNumberFormat="1" applyFont="1" applyBorder="1" applyAlignment="1">
      <alignment horizontal="left" vertical="center" wrapText="1" indent="1"/>
    </xf>
    <xf numFmtId="164" fontId="94" fillId="0" borderId="23" xfId="0" applyNumberFormat="1" applyFont="1" applyFill="1" applyBorder="1" applyAlignment="1">
      <alignment horizontal="left" vertical="center" wrapText="1" indent="1"/>
    </xf>
    <xf numFmtId="0" fontId="94" fillId="0" borderId="2" xfId="0" applyFont="1" applyFill="1" applyBorder="1" applyAlignment="1">
      <alignment horizontal="left" vertical="center" wrapText="1" indent="1"/>
    </xf>
    <xf numFmtId="0" fontId="94" fillId="0" borderId="8" xfId="0" applyFont="1" applyFill="1" applyBorder="1" applyAlignment="1">
      <alignment horizontal="left" vertical="center" wrapText="1" indent="1"/>
    </xf>
    <xf numFmtId="3" fontId="95" fillId="5" borderId="44"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indent="1"/>
    </xf>
    <xf numFmtId="0" fontId="94" fillId="0" borderId="2" xfId="0" applyFont="1" applyFill="1" applyBorder="1" applyAlignment="1">
      <alignment horizontal="left" vertical="center" indent="1"/>
    </xf>
    <xf numFmtId="38" fontId="89" fillId="2" borderId="144" xfId="0" applyNumberFormat="1" applyFont="1" applyFill="1" applyBorder="1" applyAlignment="1">
      <alignment horizontal="center" vertical="center" wrapText="1"/>
    </xf>
    <xf numFmtId="38" fontId="89" fillId="2" borderId="144" xfId="0" applyNumberFormat="1" applyFont="1" applyFill="1" applyBorder="1" applyAlignment="1">
      <alignment horizontal="center" vertical="top" wrapText="1"/>
    </xf>
    <xf numFmtId="38" fontId="95" fillId="2" borderId="144" xfId="0" applyNumberFormat="1" applyFont="1" applyFill="1" applyBorder="1" applyAlignment="1">
      <alignment horizontal="center" vertical="center" wrapText="1"/>
    </xf>
    <xf numFmtId="0" fontId="89" fillId="0" borderId="2" xfId="16" applyFont="1" applyFill="1" applyBorder="1" applyAlignment="1">
      <alignment horizontal="center" vertical="center"/>
    </xf>
    <xf numFmtId="0" fontId="96" fillId="0" borderId="36" xfId="0" applyFont="1" applyBorder="1" applyAlignment="1">
      <alignment horizontal="left" wrapText="1"/>
    </xf>
    <xf numFmtId="0" fontId="122" fillId="0" borderId="0" xfId="0" applyFont="1" applyAlignment="1" applyProtection="1">
      <alignment horizontal="right"/>
    </xf>
    <xf numFmtId="0" fontId="122" fillId="0" borderId="0" xfId="0" applyFont="1" applyAlignment="1" applyProtection="1">
      <alignment horizontal="right" vertical="top"/>
    </xf>
    <xf numFmtId="3" fontId="90" fillId="14" borderId="145" xfId="0" applyNumberFormat="1" applyFont="1" applyFill="1" applyBorder="1" applyAlignment="1">
      <alignment horizontal="center"/>
    </xf>
    <xf numFmtId="3" fontId="90" fillId="14" borderId="145" xfId="0" applyNumberFormat="1" applyFont="1" applyFill="1" applyBorder="1" applyAlignment="1">
      <alignment horizontal="right"/>
    </xf>
    <xf numFmtId="3" fontId="90" fillId="14" borderId="146" xfId="0" applyNumberFormat="1" applyFont="1" applyFill="1" applyBorder="1" applyAlignment="1">
      <alignment horizontal="center"/>
    </xf>
    <xf numFmtId="3" fontId="105" fillId="14" borderId="9" xfId="0" applyNumberFormat="1" applyFont="1" applyFill="1" applyBorder="1" applyAlignment="1">
      <alignment horizontal="center" vertical="center" wrapText="1"/>
    </xf>
    <xf numFmtId="49" fontId="94" fillId="14" borderId="10" xfId="0" applyNumberFormat="1" applyFont="1" applyFill="1" applyBorder="1" applyAlignment="1">
      <alignment horizontal="center" vertical="center"/>
    </xf>
    <xf numFmtId="38" fontId="89" fillId="14" borderId="23" xfId="0" applyNumberFormat="1" applyFont="1" applyFill="1" applyBorder="1" applyAlignment="1" applyProtection="1">
      <alignment horizontal="right"/>
    </xf>
    <xf numFmtId="38" fontId="89" fillId="14" borderId="14" xfId="0" applyNumberFormat="1" applyFont="1" applyFill="1" applyBorder="1" applyAlignment="1" applyProtection="1">
      <alignment horizontal="right"/>
    </xf>
    <xf numFmtId="38" fontId="89" fillId="14" borderId="14" xfId="1" applyNumberFormat="1" applyFont="1" applyFill="1" applyBorder="1" applyAlignment="1" applyProtection="1">
      <alignment horizontal="right"/>
    </xf>
    <xf numFmtId="38" fontId="89" fillId="14" borderId="19" xfId="0" applyNumberFormat="1" applyFont="1" applyFill="1" applyBorder="1" applyAlignment="1" applyProtection="1">
      <alignment horizontal="right"/>
    </xf>
    <xf numFmtId="0" fontId="96" fillId="14" borderId="21" xfId="0" applyFont="1" applyFill="1" applyBorder="1" applyAlignment="1">
      <alignment horizontal="center" vertical="center"/>
    </xf>
    <xf numFmtId="3" fontId="89" fillId="14" borderId="23" xfId="0" applyNumberFormat="1" applyFont="1" applyFill="1" applyBorder="1" applyAlignment="1" applyProtection="1">
      <alignment horizontal="right" vertical="center"/>
    </xf>
    <xf numFmtId="3" fontId="89" fillId="14" borderId="14" xfId="0" applyNumberFormat="1" applyFont="1" applyFill="1" applyBorder="1" applyAlignment="1" applyProtection="1">
      <alignment horizontal="right" vertical="center"/>
    </xf>
    <xf numFmtId="3" fontId="89" fillId="14" borderId="19" xfId="0" applyNumberFormat="1" applyFont="1" applyFill="1" applyBorder="1" applyAlignment="1" applyProtection="1">
      <alignment horizontal="right" vertical="center"/>
    </xf>
    <xf numFmtId="0" fontId="95" fillId="10" borderId="19" xfId="0" applyFont="1" applyFill="1" applyBorder="1" applyAlignment="1" applyProtection="1">
      <alignment horizontal="left" vertical="center"/>
    </xf>
    <xf numFmtId="0" fontId="95" fillId="10" borderId="2" xfId="0" applyFont="1" applyFill="1" applyBorder="1" applyAlignment="1" applyProtection="1">
      <alignment horizontal="center" vertical="top"/>
    </xf>
    <xf numFmtId="0" fontId="95" fillId="10" borderId="2" xfId="0" applyFont="1" applyFill="1" applyBorder="1" applyAlignment="1" applyProtection="1">
      <alignment horizontal="center" vertical="center"/>
    </xf>
    <xf numFmtId="3" fontId="89" fillId="14" borderId="23" xfId="0" applyNumberFormat="1" applyFont="1" applyFill="1" applyBorder="1" applyAlignment="1" applyProtection="1">
      <alignment horizontal="center" vertical="center"/>
    </xf>
    <xf numFmtId="49" fontId="95" fillId="14" borderId="14" xfId="0" applyNumberFormat="1" applyFont="1" applyFill="1" applyBorder="1" applyAlignment="1" applyProtection="1">
      <alignment horizontal="center" vertical="center"/>
    </xf>
    <xf numFmtId="3" fontId="90" fillId="14" borderId="14" xfId="0" applyNumberFormat="1" applyFont="1" applyFill="1" applyBorder="1" applyAlignment="1" applyProtection="1">
      <alignment horizontal="center"/>
    </xf>
    <xf numFmtId="3" fontId="96" fillId="14" borderId="14" xfId="0" applyNumberFormat="1" applyFont="1" applyFill="1" applyBorder="1" applyAlignment="1" applyProtection="1">
      <alignment horizontal="center"/>
    </xf>
    <xf numFmtId="38" fontId="96" fillId="14" borderId="14" xfId="0" applyNumberFormat="1" applyFont="1" applyFill="1" applyBorder="1" applyAlignment="1" applyProtection="1">
      <alignment horizontal="center"/>
    </xf>
    <xf numFmtId="3" fontId="96" fillId="14" borderId="19" xfId="0" applyNumberFormat="1" applyFont="1" applyFill="1" applyBorder="1" applyAlignment="1" applyProtection="1">
      <alignment horizontal="center"/>
    </xf>
    <xf numFmtId="0" fontId="89" fillId="14" borderId="20" xfId="0" applyFont="1" applyFill="1" applyBorder="1" applyAlignment="1" applyProtection="1">
      <alignment horizontal="center" vertical="center" wrapText="1"/>
    </xf>
    <xf numFmtId="0" fontId="90" fillId="14" borderId="62"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wrapText="1"/>
    </xf>
    <xf numFmtId="0" fontId="96" fillId="14" borderId="21"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xf>
    <xf numFmtId="3" fontId="95" fillId="10" borderId="6" xfId="0" applyNumberFormat="1" applyFont="1" applyFill="1" applyBorder="1" applyAlignment="1" applyProtection="1">
      <alignment horizontal="left" vertical="center"/>
    </xf>
    <xf numFmtId="0" fontId="95" fillId="10" borderId="2" xfId="0" applyFont="1" applyFill="1" applyBorder="1" applyAlignment="1">
      <alignment horizontal="center" vertical="center"/>
    </xf>
    <xf numFmtId="164" fontId="95" fillId="10" borderId="6" xfId="0" applyNumberFormat="1" applyFont="1" applyFill="1" applyBorder="1" applyAlignment="1" applyProtection="1">
      <alignment horizontal="left" vertical="center"/>
    </xf>
    <xf numFmtId="0" fontId="95" fillId="10" borderId="27" xfId="0" applyFont="1" applyFill="1" applyBorder="1" applyAlignment="1" applyProtection="1">
      <alignment horizontal="center" vertical="center"/>
    </xf>
    <xf numFmtId="0" fontId="95" fillId="10" borderId="18" xfId="0" applyFont="1" applyFill="1" applyBorder="1" applyAlignment="1" applyProtection="1">
      <alignment horizontal="center" vertical="center"/>
    </xf>
    <xf numFmtId="164" fontId="95" fillId="10" borderId="14" xfId="0" applyNumberFormat="1" applyFont="1" applyFill="1" applyBorder="1" applyAlignment="1" applyProtection="1">
      <alignment horizontal="left" vertical="center"/>
    </xf>
    <xf numFmtId="0" fontId="95" fillId="10" borderId="19" xfId="0" applyFont="1" applyFill="1" applyBorder="1" applyAlignment="1" applyProtection="1">
      <alignment horizontal="center" vertical="center"/>
    </xf>
    <xf numFmtId="0" fontId="95" fillId="10" borderId="21" xfId="0" applyFont="1" applyFill="1" applyBorder="1" applyAlignment="1" applyProtection="1">
      <alignment horizontal="center" vertical="center"/>
    </xf>
    <xf numFmtId="164" fontId="95" fillId="15" borderId="14" xfId="0" applyNumberFormat="1" applyFont="1" applyFill="1" applyBorder="1" applyAlignment="1" applyProtection="1">
      <alignment horizontal="left" vertical="center" indent="1"/>
    </xf>
    <xf numFmtId="0" fontId="94" fillId="15" borderId="19" xfId="0" applyFont="1" applyFill="1" applyBorder="1" applyAlignment="1" applyProtection="1">
      <alignment horizontal="center" vertical="center"/>
    </xf>
    <xf numFmtId="164" fontId="95" fillId="15" borderId="6" xfId="0" applyNumberFormat="1" applyFont="1" applyFill="1" applyBorder="1" applyAlignment="1" applyProtection="1">
      <alignment horizontal="left" vertical="center" indent="1"/>
    </xf>
    <xf numFmtId="1" fontId="94" fillId="15" borderId="10" xfId="0" applyNumberFormat="1" applyFont="1" applyFill="1" applyBorder="1" applyAlignment="1" applyProtection="1">
      <alignment horizontal="center" vertical="center"/>
    </xf>
    <xf numFmtId="1" fontId="94" fillId="15" borderId="18" xfId="0" applyNumberFormat="1" applyFont="1" applyFill="1" applyBorder="1" applyAlignment="1" applyProtection="1">
      <alignment horizontal="center" vertical="center"/>
    </xf>
    <xf numFmtId="0" fontId="95" fillId="15" borderId="14" xfId="0" applyFont="1" applyFill="1" applyBorder="1" applyAlignment="1">
      <alignment horizontal="left" vertical="center" indent="1"/>
    </xf>
    <xf numFmtId="0" fontId="94" fillId="15" borderId="19" xfId="0" applyFont="1" applyFill="1" applyBorder="1" applyAlignment="1">
      <alignment horizontal="left" vertical="center"/>
    </xf>
    <xf numFmtId="0" fontId="94" fillId="15" borderId="10" xfId="0" applyFont="1" applyFill="1" applyBorder="1" applyAlignment="1" applyProtection="1">
      <alignment horizontal="center" vertical="center"/>
    </xf>
    <xf numFmtId="3"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0" fontId="95" fillId="10" borderId="7" xfId="0" applyFont="1" applyFill="1" applyBorder="1" applyAlignment="1">
      <alignment horizontal="left" vertical="center" wrapText="1"/>
    </xf>
    <xf numFmtId="49" fontId="95" fillId="10" borderId="27" xfId="0" applyNumberFormat="1" applyFont="1" applyFill="1" applyBorder="1" applyAlignment="1">
      <alignment horizontal="center" vertical="center"/>
    </xf>
    <xf numFmtId="3" fontId="95" fillId="10" borderId="22" xfId="0" applyNumberFormat="1" applyFont="1" applyFill="1" applyBorder="1" applyAlignment="1">
      <alignment horizontal="left" vertical="center" wrapText="1"/>
    </xf>
    <xf numFmtId="49" fontId="95" fillId="10" borderId="22" xfId="0" applyNumberFormat="1" applyFont="1" applyFill="1" applyBorder="1" applyAlignment="1">
      <alignment horizontal="center" vertical="center"/>
    </xf>
    <xf numFmtId="164"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3" fontId="95" fillId="10" borderId="23" xfId="0" applyNumberFormat="1" applyFont="1" applyFill="1" applyBorder="1" applyAlignment="1">
      <alignment horizontal="left" vertical="center" wrapText="1"/>
    </xf>
    <xf numFmtId="49" fontId="95" fillId="10" borderId="2" xfId="0" applyNumberFormat="1" applyFont="1" applyFill="1" applyBorder="1" applyAlignment="1">
      <alignment horizontal="center" vertical="center"/>
    </xf>
    <xf numFmtId="164" fontId="95" fillId="10" borderId="7" xfId="0" applyNumberFormat="1" applyFont="1" applyFill="1" applyBorder="1" applyAlignment="1">
      <alignment horizontal="left" vertical="center" wrapText="1"/>
    </xf>
    <xf numFmtId="0" fontId="95" fillId="10" borderId="61" xfId="0" applyFont="1" applyFill="1" applyBorder="1" applyAlignment="1">
      <alignment horizontal="left" vertical="center" wrapText="1"/>
    </xf>
    <xf numFmtId="49" fontId="95" fillId="10" borderId="26" xfId="0" applyNumberFormat="1" applyFont="1" applyFill="1" applyBorder="1" applyAlignment="1">
      <alignment horizontal="center" vertical="center"/>
    </xf>
    <xf numFmtId="3" fontId="95" fillId="10" borderId="63" xfId="0" applyNumberFormat="1" applyFont="1" applyFill="1" applyBorder="1" applyAlignment="1">
      <alignment horizontal="left" vertical="center" wrapText="1"/>
    </xf>
    <xf numFmtId="0" fontId="95" fillId="10" borderId="23" xfId="0" applyFont="1" applyFill="1" applyBorder="1" applyAlignment="1">
      <alignment horizontal="left" vertical="center" wrapText="1"/>
    </xf>
    <xf numFmtId="49" fontId="95" fillId="10" borderId="19" xfId="0" applyNumberFormat="1" applyFont="1" applyFill="1" applyBorder="1" applyAlignment="1">
      <alignment horizontal="center" vertical="center"/>
    </xf>
    <xf numFmtId="0" fontId="95" fillId="10" borderId="63" xfId="0" applyFont="1" applyFill="1" applyBorder="1" applyAlignment="1">
      <alignment horizontal="left" vertical="center" wrapText="1"/>
    </xf>
    <xf numFmtId="164" fontId="95" fillId="10" borderId="23" xfId="0" applyNumberFormat="1" applyFont="1" applyFill="1" applyBorder="1" applyAlignment="1">
      <alignment horizontal="left" vertical="center" wrapText="1"/>
    </xf>
    <xf numFmtId="0" fontId="95" fillId="10" borderId="18" xfId="0" applyFont="1" applyFill="1" applyBorder="1" applyAlignment="1">
      <alignment horizontal="left" vertical="center" wrapText="1"/>
    </xf>
    <xf numFmtId="3" fontId="95" fillId="10" borderId="18" xfId="0" applyNumberFormat="1" applyFont="1" applyFill="1" applyBorder="1" applyAlignment="1">
      <alignment horizontal="left" vertical="center" wrapText="1"/>
    </xf>
    <xf numFmtId="0" fontId="95" fillId="10" borderId="36" xfId="0" applyFont="1" applyFill="1" applyBorder="1" applyAlignment="1" applyProtection="1">
      <alignment horizontal="left" vertical="center"/>
    </xf>
    <xf numFmtId="0" fontId="95" fillId="10" borderId="11" xfId="0" applyFont="1" applyFill="1" applyBorder="1" applyAlignment="1" applyProtection="1">
      <alignment horizontal="center" vertical="center"/>
    </xf>
    <xf numFmtId="0" fontId="95" fillId="10" borderId="32" xfId="0" applyFont="1" applyFill="1" applyBorder="1" applyAlignment="1" applyProtection="1">
      <alignment horizontal="left" vertical="center"/>
    </xf>
    <xf numFmtId="0" fontId="95" fillId="10" borderId="32" xfId="0" applyFont="1" applyFill="1" applyBorder="1" applyAlignment="1" applyProtection="1">
      <alignment horizontal="left" vertical="center" wrapText="1"/>
    </xf>
    <xf numFmtId="0" fontId="95" fillId="10" borderId="32" xfId="0" applyFont="1" applyFill="1" applyBorder="1" applyAlignment="1" applyProtection="1">
      <alignment horizontal="left" vertical="center" indent="1"/>
    </xf>
    <xf numFmtId="0" fontId="105" fillId="14" borderId="23" xfId="0" applyFont="1" applyFill="1" applyBorder="1" applyAlignment="1">
      <alignment horizontal="left" vertical="center"/>
    </xf>
    <xf numFmtId="0" fontId="105" fillId="14" borderId="14" xfId="0" applyFont="1" applyFill="1" applyBorder="1" applyAlignment="1">
      <alignment horizontal="left" vertical="center"/>
    </xf>
    <xf numFmtId="0" fontId="105" fillId="14" borderId="19" xfId="0" applyFont="1" applyFill="1" applyBorder="1" applyAlignment="1">
      <alignment horizontal="left" vertical="center"/>
    </xf>
    <xf numFmtId="0" fontId="89" fillId="15" borderId="8" xfId="0" applyFont="1" applyFill="1" applyBorder="1" applyAlignment="1" applyProtection="1">
      <alignment vertical="center"/>
    </xf>
    <xf numFmtId="0" fontId="95" fillId="0" borderId="147" xfId="0" applyFont="1" applyBorder="1" applyAlignment="1">
      <alignment horizontal="centerContinuous" vertical="center"/>
    </xf>
    <xf numFmtId="0" fontId="90" fillId="0" borderId="148" xfId="0" applyFont="1" applyBorder="1" applyAlignment="1">
      <alignment horizontal="centerContinuous" vertical="center"/>
    </xf>
    <xf numFmtId="0" fontId="96" fillId="0" borderId="148" xfId="0" applyFont="1" applyBorder="1" applyAlignment="1">
      <alignment horizontal="centerContinuous" vertical="center"/>
    </xf>
    <xf numFmtId="0" fontId="95" fillId="0" borderId="149" xfId="0" applyFont="1" applyBorder="1" applyAlignment="1">
      <alignment horizontal="center"/>
    </xf>
    <xf numFmtId="0" fontId="96" fillId="14" borderId="3" xfId="4" applyFont="1" applyFill="1" applyBorder="1" applyAlignment="1">
      <alignment horizontal="left" vertical="center"/>
    </xf>
    <xf numFmtId="0" fontId="96" fillId="14" borderId="4" xfId="4" applyFont="1" applyFill="1" applyBorder="1" applyAlignment="1">
      <alignment horizontal="left" vertical="center"/>
    </xf>
    <xf numFmtId="0" fontId="95" fillId="0" borderId="38" xfId="4" applyFont="1" applyFill="1" applyBorder="1" applyAlignment="1" applyProtection="1"/>
    <xf numFmtId="3" fontId="95" fillId="16" borderId="61" xfId="0" applyNumberFormat="1" applyFont="1" applyFill="1" applyBorder="1" applyAlignment="1">
      <alignment horizontal="left" vertical="center" wrapText="1" indent="1"/>
    </xf>
    <xf numFmtId="49" fontId="95" fillId="16" borderId="26" xfId="0" applyNumberFormat="1" applyFont="1" applyFill="1" applyBorder="1" applyAlignment="1">
      <alignment horizontal="center" vertical="center"/>
    </xf>
    <xf numFmtId="49" fontId="95" fillId="16" borderId="61" xfId="0" applyNumberFormat="1" applyFont="1" applyFill="1" applyBorder="1" applyAlignment="1">
      <alignment horizontal="center" vertical="center"/>
    </xf>
    <xf numFmtId="49" fontId="95" fillId="16" borderId="64" xfId="0" applyNumberFormat="1" applyFont="1" applyFill="1" applyBorder="1" applyAlignment="1">
      <alignment horizontal="center" vertical="center"/>
    </xf>
    <xf numFmtId="0" fontId="95" fillId="16" borderId="25" xfId="0" applyNumberFormat="1" applyFont="1" applyFill="1" applyBorder="1" applyAlignment="1">
      <alignment horizontal="center" vertical="center"/>
    </xf>
    <xf numFmtId="0" fontId="95" fillId="16" borderId="26" xfId="0" applyFont="1" applyFill="1" applyBorder="1" applyAlignment="1">
      <alignment horizontal="center" vertical="center"/>
    </xf>
    <xf numFmtId="3" fontId="95" fillId="16" borderId="26" xfId="0" applyNumberFormat="1" applyFont="1" applyFill="1" applyBorder="1" applyAlignment="1">
      <alignment horizontal="left" vertical="center" indent="1"/>
    </xf>
    <xf numFmtId="0" fontId="95" fillId="16" borderId="26" xfId="0" applyFont="1" applyFill="1" applyBorder="1" applyAlignment="1">
      <alignment horizontal="center" vertical="top"/>
    </xf>
    <xf numFmtId="0" fontId="96" fillId="16" borderId="64" xfId="0" applyFont="1" applyFill="1" applyBorder="1" applyAlignment="1">
      <alignment horizontal="left" vertical="center" indent="1"/>
    </xf>
    <xf numFmtId="3" fontId="95" fillId="16" borderId="44" xfId="0" applyNumberFormat="1" applyFont="1" applyFill="1" applyBorder="1" applyAlignment="1">
      <alignment horizontal="left" vertical="center" wrapText="1" indent="1"/>
    </xf>
    <xf numFmtId="49" fontId="95" fillId="16" borderId="25" xfId="0" applyNumberFormat="1" applyFont="1" applyFill="1" applyBorder="1" applyAlignment="1">
      <alignment horizontal="center" vertical="center"/>
    </xf>
    <xf numFmtId="3" fontId="95" fillId="16" borderId="44" xfId="0" applyNumberFormat="1" applyFont="1" applyFill="1" applyBorder="1" applyAlignment="1">
      <alignment horizontal="left" vertical="top" wrapText="1" indent="1"/>
    </xf>
    <xf numFmtId="49" fontId="94" fillId="16" borderId="65" xfId="0" applyNumberFormat="1" applyFont="1" applyFill="1" applyBorder="1" applyAlignment="1">
      <alignment horizontal="center" vertical="top"/>
    </xf>
    <xf numFmtId="3" fontId="95" fillId="16" borderId="26" xfId="0" applyNumberFormat="1" applyFont="1" applyFill="1" applyBorder="1" applyAlignment="1">
      <alignment horizontal="left" vertical="center" wrapText="1" indent="1"/>
    </xf>
    <xf numFmtId="3" fontId="95" fillId="16" borderId="61" xfId="0" applyNumberFormat="1" applyFont="1" applyFill="1" applyBorder="1" applyAlignment="1">
      <alignment horizontal="left" vertical="top" wrapText="1" indent="1"/>
    </xf>
    <xf numFmtId="0" fontId="94" fillId="16" borderId="64" xfId="0" applyFont="1" applyFill="1" applyBorder="1" applyAlignment="1">
      <alignment vertical="top"/>
    </xf>
    <xf numFmtId="3" fontId="95" fillId="16" borderId="61" xfId="0" applyNumberFormat="1" applyFont="1" applyFill="1" applyBorder="1" applyAlignment="1">
      <alignment horizontal="left" vertical="center" indent="1"/>
    </xf>
    <xf numFmtId="0" fontId="95" fillId="16" borderId="64" xfId="0" applyFont="1" applyFill="1" applyBorder="1" applyAlignment="1">
      <alignment horizontal="center" vertical="center"/>
    </xf>
    <xf numFmtId="0" fontId="95" fillId="16" borderId="26" xfId="0" applyFont="1" applyFill="1" applyBorder="1" applyAlignment="1">
      <alignment horizontal="center" vertical="center" wrapText="1"/>
    </xf>
    <xf numFmtId="49" fontId="95" fillId="16" borderId="26" xfId="0" applyNumberFormat="1" applyFont="1" applyFill="1" applyBorder="1" applyAlignment="1">
      <alignment horizontal="center" vertical="top" wrapText="1"/>
    </xf>
    <xf numFmtId="3" fontId="95" fillId="16" borderId="61" xfId="0" applyNumberFormat="1" applyFont="1" applyFill="1" applyBorder="1" applyAlignment="1">
      <alignment horizontal="left" vertical="top" indent="1"/>
    </xf>
    <xf numFmtId="0" fontId="95" fillId="16" borderId="61" xfId="0" applyFont="1" applyFill="1" applyBorder="1" applyAlignment="1">
      <alignment horizontal="left" vertical="center" wrapText="1" indent="1"/>
    </xf>
    <xf numFmtId="49" fontId="94" fillId="16" borderId="65" xfId="0" applyNumberFormat="1" applyFont="1" applyFill="1" applyBorder="1" applyAlignment="1">
      <alignment horizontal="center" vertical="center"/>
    </xf>
    <xf numFmtId="0" fontId="94"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center" wrapText="1" indent="1"/>
    </xf>
    <xf numFmtId="0" fontId="94" fillId="16" borderId="64" xfId="0" applyFont="1" applyFill="1" applyBorder="1" applyAlignment="1" applyProtection="1">
      <alignment horizontal="left" vertical="center"/>
    </xf>
    <xf numFmtId="0" fontId="95" fillId="16" borderId="66" xfId="0" applyFont="1" applyFill="1" applyBorder="1" applyAlignment="1" applyProtection="1">
      <alignment horizontal="left" vertical="center" indent="1"/>
    </xf>
    <xf numFmtId="0" fontId="94" fillId="16" borderId="64" xfId="0" applyFont="1" applyFill="1" applyBorder="1" applyAlignment="1" applyProtection="1">
      <alignment horizontal="center" vertical="center"/>
    </xf>
    <xf numFmtId="0" fontId="94" fillId="16" borderId="64" xfId="0" applyFont="1" applyFill="1" applyBorder="1" applyAlignment="1" applyProtection="1">
      <alignment horizontal="left" vertical="center" indent="2"/>
    </xf>
    <xf numFmtId="0" fontId="95" fillId="16" borderId="60" xfId="0" applyFont="1" applyFill="1" applyBorder="1" applyAlignment="1" applyProtection="1">
      <alignment horizontal="left" vertical="top" wrapText="1" indent="1"/>
    </xf>
    <xf numFmtId="49" fontId="95" fillId="16" borderId="22" xfId="0" applyNumberFormat="1" applyFont="1" applyFill="1" applyBorder="1" applyAlignment="1">
      <alignment horizontal="center" vertical="center"/>
    </xf>
    <xf numFmtId="49" fontId="95" fillId="16" borderId="66" xfId="0" applyNumberFormat="1" applyFont="1" applyFill="1" applyBorder="1" applyAlignment="1" applyProtection="1">
      <alignment horizontal="left" vertical="top" indent="1"/>
    </xf>
    <xf numFmtId="49" fontId="95" fillId="16" borderId="26" xfId="0" applyNumberFormat="1" applyFont="1" applyFill="1" applyBorder="1" applyAlignment="1">
      <alignment horizontal="center" vertical="top"/>
    </xf>
    <xf numFmtId="49" fontId="94" fillId="16" borderId="64" xfId="0" applyNumberFormat="1" applyFont="1" applyFill="1" applyBorder="1" applyAlignment="1" applyProtection="1">
      <alignment horizontal="center" vertical="center"/>
    </xf>
    <xf numFmtId="1" fontId="94" fillId="16" borderId="64" xfId="0" applyNumberFormat="1" applyFont="1" applyFill="1" applyBorder="1" applyAlignment="1" applyProtection="1">
      <alignment horizontal="center" vertical="center"/>
    </xf>
    <xf numFmtId="0" fontId="95" fillId="16" borderId="66" xfId="0" applyFont="1" applyFill="1" applyBorder="1" applyAlignment="1" applyProtection="1">
      <alignment horizontal="left" indent="1"/>
    </xf>
    <xf numFmtId="0" fontId="94" fillId="16" borderId="64" xfId="0" applyFont="1" applyFill="1" applyBorder="1" applyAlignment="1" applyProtection="1">
      <alignment horizontal="center"/>
    </xf>
    <xf numFmtId="0" fontId="95" fillId="16" borderId="61" xfId="0" applyFont="1" applyFill="1" applyBorder="1" applyAlignment="1" applyProtection="1">
      <alignment horizontal="left" vertical="center" indent="1"/>
    </xf>
    <xf numFmtId="0" fontId="94" fillId="16" borderId="26" xfId="0" applyFont="1" applyFill="1" applyBorder="1" applyAlignment="1" applyProtection="1">
      <alignment horizontal="center" vertical="center"/>
    </xf>
    <xf numFmtId="0" fontId="95" fillId="16" borderId="64" xfId="0" applyFont="1" applyFill="1" applyBorder="1" applyAlignment="1">
      <alignment vertical="center"/>
    </xf>
    <xf numFmtId="49" fontId="95" fillId="16" borderId="22" xfId="0" applyNumberFormat="1" applyFont="1" applyFill="1" applyBorder="1" applyAlignment="1" applyProtection="1">
      <alignment horizontal="left" vertical="center" wrapText="1" indent="1"/>
    </xf>
    <xf numFmtId="49" fontId="95" fillId="16" borderId="67" xfId="0" applyNumberFormat="1" applyFont="1" applyFill="1" applyBorder="1" applyAlignment="1">
      <alignment horizontal="center" vertical="center"/>
    </xf>
    <xf numFmtId="0" fontId="95" fillId="16" borderId="60" xfId="0" applyFont="1" applyFill="1" applyBorder="1" applyAlignment="1" applyProtection="1">
      <alignment horizontal="left" wrapText="1" indent="1"/>
    </xf>
    <xf numFmtId="0" fontId="94" fillId="16" borderId="67" xfId="0" applyFont="1" applyFill="1" applyBorder="1" applyAlignment="1" applyProtection="1">
      <alignment horizontal="left" indent="2"/>
    </xf>
    <xf numFmtId="176" fontId="96" fillId="16" borderId="2" xfId="0" applyNumberFormat="1" applyFont="1" applyFill="1" applyBorder="1" applyAlignment="1" applyProtection="1">
      <alignment vertical="center"/>
    </xf>
    <xf numFmtId="37" fontId="96" fillId="16" borderId="23" xfId="12" applyNumberFormat="1" applyFont="1" applyFill="1" applyBorder="1" applyAlignment="1" applyProtection="1">
      <alignment horizontal="right"/>
    </xf>
    <xf numFmtId="0" fontId="95" fillId="16" borderId="66" xfId="0" applyFont="1" applyFill="1" applyBorder="1" applyAlignment="1" applyProtection="1">
      <alignment horizontal="left" vertical="center" indent="2"/>
    </xf>
    <xf numFmtId="0" fontId="95" fillId="16" borderId="6" xfId="0" applyFont="1" applyFill="1" applyBorder="1" applyAlignment="1" applyProtection="1">
      <alignment horizontal="left" vertical="center" indent="2"/>
    </xf>
    <xf numFmtId="0" fontId="95" fillId="16" borderId="19" xfId="0" applyFont="1" applyFill="1" applyBorder="1" applyAlignment="1" applyProtection="1">
      <alignment horizontal="center" vertical="center"/>
    </xf>
    <xf numFmtId="0" fontId="95" fillId="16" borderId="64" xfId="0" applyFont="1" applyFill="1" applyBorder="1" applyAlignment="1" applyProtection="1">
      <alignment horizontal="center" vertical="center"/>
    </xf>
    <xf numFmtId="0" fontId="104" fillId="16" borderId="6" xfId="0" applyFont="1" applyFill="1" applyBorder="1" applyAlignment="1" applyProtection="1">
      <alignment horizontal="left" vertical="center" indent="1"/>
    </xf>
    <xf numFmtId="0" fontId="94" fillId="16" borderId="18" xfId="0" applyFont="1" applyFill="1" applyBorder="1" applyAlignment="1" applyProtection="1">
      <alignment horizontal="center"/>
    </xf>
    <xf numFmtId="0" fontId="95" fillId="16" borderId="26" xfId="0" applyFont="1" applyFill="1" applyBorder="1" applyAlignment="1">
      <alignment horizontal="left" vertical="center" wrapText="1" indent="1"/>
    </xf>
    <xf numFmtId="49" fontId="94" fillId="16" borderId="68" xfId="0" applyNumberFormat="1" applyFont="1" applyFill="1" applyBorder="1" applyAlignment="1" applyProtection="1">
      <alignment horizontal="center" vertical="center"/>
    </xf>
    <xf numFmtId="49" fontId="94" fillId="16" borderId="29" xfId="0" applyNumberFormat="1" applyFont="1" applyFill="1" applyBorder="1" applyAlignment="1" applyProtection="1">
      <alignment horizontal="center" vertical="center"/>
    </xf>
    <xf numFmtId="38" fontId="90" fillId="16" borderId="68" xfId="0" applyNumberFormat="1" applyFont="1" applyFill="1" applyBorder="1" applyAlignment="1" applyProtection="1">
      <alignment horizontal="right" vertical="center"/>
    </xf>
    <xf numFmtId="49" fontId="94" fillId="16" borderId="29" xfId="0" applyNumberFormat="1" applyFont="1" applyFill="1" applyBorder="1" applyAlignment="1" applyProtection="1">
      <alignment horizontal="left" vertical="center" indent="2"/>
    </xf>
    <xf numFmtId="0" fontId="96" fillId="16" borderId="29" xfId="0" applyFont="1" applyFill="1" applyBorder="1" applyAlignment="1">
      <alignment horizontal="left" indent="2"/>
    </xf>
    <xf numFmtId="0" fontId="95" fillId="16" borderId="69" xfId="0" applyFont="1" applyFill="1" applyBorder="1" applyAlignment="1" applyProtection="1">
      <alignment horizontal="left" vertical="center" indent="2"/>
    </xf>
    <xf numFmtId="0" fontId="95" fillId="16" borderId="68" xfId="0" applyFont="1" applyFill="1" applyBorder="1" applyAlignment="1" applyProtection="1">
      <alignment horizontal="center" vertical="center"/>
    </xf>
    <xf numFmtId="0" fontId="95" fillId="16" borderId="68" xfId="0" applyFont="1" applyFill="1" applyBorder="1" applyAlignment="1" applyProtection="1">
      <alignment horizontal="left" vertical="center" indent="1"/>
    </xf>
    <xf numFmtId="0" fontId="96" fillId="16" borderId="68" xfId="0" applyFont="1" applyFill="1" applyBorder="1" applyAlignment="1" applyProtection="1">
      <alignment vertical="center"/>
    </xf>
    <xf numFmtId="38" fontId="90" fillId="16" borderId="11" xfId="0" applyNumberFormat="1" applyFont="1" applyFill="1" applyBorder="1" applyAlignment="1" applyProtection="1">
      <alignment horizontal="right" vertical="center"/>
    </xf>
    <xf numFmtId="0" fontId="94" fillId="16" borderId="0" xfId="17" applyFont="1" applyFill="1" applyAlignment="1">
      <alignment vertical="center"/>
    </xf>
    <xf numFmtId="0" fontId="94" fillId="16" borderId="0" xfId="17" applyFont="1" applyFill="1" applyAlignment="1">
      <alignment horizontal="center" vertical="center"/>
    </xf>
    <xf numFmtId="0" fontId="94" fillId="16" borderId="0" xfId="17" applyFont="1" applyFill="1" applyAlignment="1">
      <alignment horizontal="right" vertical="center"/>
    </xf>
    <xf numFmtId="0" fontId="95" fillId="16" borderId="0" xfId="17" applyFont="1" applyFill="1" applyAlignment="1">
      <alignment horizontal="right" vertical="center" indent="3"/>
    </xf>
    <xf numFmtId="0" fontId="94" fillId="16" borderId="0" xfId="17" applyFont="1" applyFill="1" applyBorder="1" applyAlignment="1">
      <alignment horizontal="right" vertical="center"/>
    </xf>
    <xf numFmtId="0" fontId="94" fillId="16" borderId="0" xfId="17" applyFont="1" applyFill="1" applyAlignment="1">
      <alignment horizontal="left" vertical="center"/>
    </xf>
    <xf numFmtId="0" fontId="95" fillId="16" borderId="0" xfId="17" applyFont="1" applyFill="1" applyAlignment="1">
      <alignment horizontal="right" vertical="center"/>
    </xf>
    <xf numFmtId="0" fontId="94" fillId="16" borderId="0" xfId="17" quotePrefix="1" applyFont="1" applyFill="1" applyAlignment="1">
      <alignment horizontal="left" vertical="center"/>
    </xf>
    <xf numFmtId="0" fontId="94" fillId="16" borderId="0" xfId="18" quotePrefix="1" applyFont="1" applyFill="1" applyAlignment="1">
      <alignment horizontal="left" vertical="center"/>
    </xf>
    <xf numFmtId="0" fontId="95" fillId="16" borderId="0" xfId="17" quotePrefix="1" applyFont="1" applyFill="1" applyAlignment="1">
      <alignment horizontal="left" vertical="center"/>
    </xf>
    <xf numFmtId="0" fontId="94" fillId="16" borderId="0" xfId="18" applyFont="1" applyFill="1" applyAlignment="1">
      <alignment horizontal="left" vertical="center"/>
    </xf>
    <xf numFmtId="0" fontId="94" fillId="16" borderId="0" xfId="18" applyFont="1" applyFill="1" applyAlignment="1">
      <alignment horizontal="right" vertical="center"/>
    </xf>
    <xf numFmtId="0" fontId="95" fillId="16" borderId="0" xfId="18" applyFont="1" applyFill="1" applyAlignment="1">
      <alignment horizontal="right" vertical="center"/>
    </xf>
    <xf numFmtId="0" fontId="94" fillId="16" borderId="0" xfId="18" applyFont="1" applyFill="1" applyBorder="1" applyAlignment="1">
      <alignment horizontal="right" vertical="center"/>
    </xf>
    <xf numFmtId="0" fontId="94" fillId="16" borderId="0" xfId="18" applyFont="1" applyFill="1" applyAlignment="1">
      <alignment vertical="center"/>
    </xf>
    <xf numFmtId="0" fontId="94" fillId="16" borderId="0" xfId="0" applyFont="1" applyFill="1" applyBorder="1" applyAlignment="1">
      <alignment horizontal="right"/>
    </xf>
    <xf numFmtId="0" fontId="90" fillId="16" borderId="23" xfId="0" applyFont="1" applyFill="1" applyBorder="1" applyAlignment="1">
      <alignment horizontal="right"/>
    </xf>
    <xf numFmtId="0" fontId="95" fillId="15" borderId="7" xfId="0" applyFont="1" applyFill="1" applyBorder="1" applyAlignment="1">
      <alignment horizontal="left" vertical="center" wrapText="1"/>
    </xf>
    <xf numFmtId="49" fontId="95" fillId="15" borderId="24" xfId="0" applyNumberFormat="1" applyFont="1" applyFill="1" applyBorder="1" applyAlignment="1">
      <alignment horizontal="center" vertical="center"/>
    </xf>
    <xf numFmtId="0" fontId="95" fillId="0" borderId="23" xfId="0" applyFont="1" applyFill="1" applyBorder="1" applyAlignment="1">
      <alignment horizontal="left" vertical="center" wrapText="1"/>
    </xf>
    <xf numFmtId="49" fontId="95" fillId="0" borderId="2" xfId="0" applyNumberFormat="1" applyFont="1" applyFill="1" applyBorder="1" applyAlignment="1">
      <alignment horizontal="center" vertical="center"/>
    </xf>
    <xf numFmtId="0" fontId="95" fillId="16" borderId="23" xfId="0" applyFont="1" applyFill="1" applyBorder="1" applyAlignment="1">
      <alignment horizontal="left" vertical="center" wrapText="1"/>
    </xf>
    <xf numFmtId="49" fontId="95" fillId="16" borderId="2" xfId="0" applyNumberFormat="1" applyFont="1" applyFill="1" applyBorder="1" applyAlignment="1">
      <alignment horizontal="center" vertical="center"/>
    </xf>
    <xf numFmtId="3" fontId="94" fillId="0" borderId="23" xfId="0" applyNumberFormat="1"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3" xfId="0" applyFont="1" applyFill="1" applyBorder="1" applyAlignment="1">
      <alignment horizontal="left" vertical="center" wrapText="1" indent="1"/>
    </xf>
    <xf numFmtId="3" fontId="94"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6" fillId="0" borderId="0" xfId="0" applyNumberFormat="1" applyFont="1" applyBorder="1" applyAlignment="1" applyProtection="1">
      <alignment vertical="center"/>
      <protection locked="0"/>
    </xf>
    <xf numFmtId="0" fontId="104" fillId="0" borderId="0" xfId="4" applyFont="1" applyBorder="1" applyAlignment="1" applyProtection="1">
      <alignment horizontal="center" vertical="top"/>
    </xf>
    <xf numFmtId="0" fontId="96" fillId="0" borderId="150" xfId="4" applyFont="1" applyBorder="1" applyProtection="1"/>
    <xf numFmtId="49" fontId="94" fillId="0" borderId="19" xfId="0" applyNumberFormat="1" applyFont="1" applyFill="1" applyBorder="1" applyAlignment="1" applyProtection="1">
      <alignment horizontal="center" vertical="center"/>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139" fillId="0" borderId="0" xfId="7" applyFont="1"/>
    <xf numFmtId="0" fontId="140" fillId="14" borderId="0" xfId="7" applyFont="1" applyFill="1" applyAlignment="1">
      <alignment horizontal="centerContinuous" vertical="center"/>
    </xf>
    <xf numFmtId="0" fontId="139" fillId="14" borderId="0" xfId="7" applyFont="1" applyFill="1" applyAlignment="1">
      <alignment horizontal="centerContinuous"/>
    </xf>
    <xf numFmtId="0" fontId="118" fillId="0" borderId="151" xfId="7" applyFont="1" applyFill="1" applyBorder="1" applyAlignment="1">
      <alignment horizontal="center" vertical="top" wrapText="1"/>
    </xf>
    <xf numFmtId="0" fontId="118" fillId="0" borderId="0" xfId="7" applyFont="1" applyFill="1" applyBorder="1" applyAlignment="1">
      <alignment horizontal="center" vertical="top" wrapText="1"/>
    </xf>
    <xf numFmtId="0" fontId="84" fillId="0" borderId="0" xfId="7" applyFont="1" applyAlignment="1">
      <alignment wrapText="1"/>
    </xf>
    <xf numFmtId="0" fontId="141" fillId="0" borderId="70" xfId="7" applyFont="1" applyFill="1" applyBorder="1" applyAlignment="1" applyProtection="1">
      <alignment horizontal="center" vertical="center"/>
      <protection locked="0"/>
    </xf>
    <xf numFmtId="0" fontId="142" fillId="0" borderId="0" xfId="7" applyNumberFormat="1" applyFont="1"/>
    <xf numFmtId="0" fontId="143" fillId="0" borderId="152" xfId="7" applyFont="1" applyBorder="1" applyAlignment="1">
      <alignment horizontal="left" vertical="center" wrapText="1"/>
    </xf>
    <xf numFmtId="0" fontId="143" fillId="0" borderId="153" xfId="7" applyFont="1" applyBorder="1" applyAlignment="1">
      <alignment horizontal="left" vertical="center" wrapText="1"/>
    </xf>
    <xf numFmtId="49" fontId="144" fillId="0" borderId="154" xfId="7" applyNumberFormat="1" applyFont="1" applyBorder="1" applyAlignment="1" applyProtection="1">
      <alignment horizontal="center" vertical="center"/>
      <protection locked="0"/>
    </xf>
    <xf numFmtId="0" fontId="144" fillId="0" borderId="154" xfId="7" applyFont="1" applyFill="1" applyBorder="1" applyAlignment="1" applyProtection="1">
      <alignment horizontal="center" vertical="center" wrapText="1"/>
      <protection locked="0"/>
    </xf>
    <xf numFmtId="0" fontId="139" fillId="0" borderId="154" xfId="7" applyFont="1" applyFill="1" applyBorder="1"/>
    <xf numFmtId="0" fontId="145" fillId="0" borderId="147" xfId="7" applyFont="1" applyBorder="1" applyAlignment="1">
      <alignment horizontal="left" vertical="center" wrapText="1"/>
    </xf>
    <xf numFmtId="0" fontId="145" fillId="0" borderId="148" xfId="7" applyFont="1" applyBorder="1" applyAlignment="1">
      <alignment horizontal="left" vertical="center" wrapText="1"/>
    </xf>
    <xf numFmtId="49" fontId="145" fillId="10" borderId="154" xfId="7" applyNumberFormat="1" applyFont="1" applyFill="1" applyBorder="1" applyAlignment="1">
      <alignment horizontal="center" vertical="center"/>
    </xf>
    <xf numFmtId="0" fontId="143" fillId="0" borderId="152" xfId="7" applyFont="1" applyFill="1" applyBorder="1" applyAlignment="1">
      <alignment horizontal="left" vertical="center" wrapText="1"/>
    </xf>
    <xf numFmtId="0" fontId="143" fillId="0" borderId="146" xfId="7" applyFont="1" applyFill="1" applyBorder="1" applyAlignment="1">
      <alignment horizontal="left" vertical="center" wrapText="1"/>
    </xf>
    <xf numFmtId="49" fontId="146" fillId="0" borderId="149" xfId="7" applyNumberFormat="1" applyFont="1" applyBorder="1" applyAlignment="1" applyProtection="1">
      <alignment horizontal="center" vertical="center"/>
      <protection locked="0"/>
    </xf>
    <xf numFmtId="49" fontId="146" fillId="0" borderId="155" xfId="7" applyNumberFormat="1" applyFont="1" applyFill="1" applyBorder="1" applyAlignment="1" applyProtection="1">
      <alignment horizontal="center" vertical="center"/>
      <protection locked="0"/>
    </xf>
    <xf numFmtId="0" fontId="139" fillId="0" borderId="149" xfId="7" applyFont="1" applyBorder="1" applyProtection="1">
      <protection locked="0"/>
    </xf>
    <xf numFmtId="49" fontId="146" fillId="0" borderId="152" xfId="7" applyNumberFormat="1" applyFont="1" applyFill="1" applyBorder="1" applyAlignment="1" applyProtection="1">
      <alignment horizontal="center" vertical="center"/>
      <protection locked="0"/>
    </xf>
    <xf numFmtId="0" fontId="84" fillId="0" borderId="0" xfId="7" applyFont="1"/>
    <xf numFmtId="0" fontId="147" fillId="0" borderId="71" xfId="7" applyFont="1" applyBorder="1" applyAlignment="1">
      <alignment vertical="top"/>
    </xf>
    <xf numFmtId="0" fontId="147" fillId="0" borderId="72" xfId="7" applyFont="1" applyBorder="1" applyAlignment="1">
      <alignment vertical="top"/>
    </xf>
    <xf numFmtId="0" fontId="109" fillId="15" borderId="51" xfId="7" applyFont="1" applyFill="1" applyBorder="1" applyAlignment="1">
      <alignment vertical="top"/>
    </xf>
    <xf numFmtId="0" fontId="147" fillId="0" borderId="71" xfId="7" applyFont="1" applyBorder="1" applyAlignment="1">
      <alignment vertical="top" wrapText="1"/>
    </xf>
    <xf numFmtId="0" fontId="147" fillId="0" borderId="72"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5" fillId="0" borderId="0" xfId="7" applyFont="1"/>
    <xf numFmtId="0" fontId="105" fillId="17" borderId="32" xfId="0" applyFont="1" applyFill="1" applyBorder="1" applyAlignment="1" applyProtection="1">
      <alignment horizontal="left" vertical="center"/>
    </xf>
    <xf numFmtId="0" fontId="95" fillId="17" borderId="33" xfId="0" applyFont="1" applyFill="1" applyBorder="1" applyAlignment="1" applyProtection="1">
      <alignment horizontal="left" vertical="center"/>
    </xf>
    <xf numFmtId="0" fontId="94" fillId="17" borderId="29" xfId="0" applyFont="1" applyFill="1" applyBorder="1" applyAlignment="1" applyProtection="1">
      <alignment horizontal="left" vertical="center" indent="2"/>
    </xf>
    <xf numFmtId="0" fontId="105" fillId="17" borderId="2" xfId="0" applyFont="1" applyFill="1" applyBorder="1" applyAlignment="1">
      <alignment horizontal="center" vertical="center"/>
    </xf>
    <xf numFmtId="0" fontId="139" fillId="14" borderId="0" xfId="7" applyFont="1" applyFill="1" applyAlignment="1">
      <alignment horizontal="centerContinuous" vertical="center"/>
    </xf>
    <xf numFmtId="0" fontId="145" fillId="14" borderId="156" xfId="7" applyFont="1" applyFill="1" applyBorder="1" applyAlignment="1">
      <alignment horizontal="center" vertical="center" wrapText="1"/>
    </xf>
    <xf numFmtId="0" fontId="145" fillId="14" borderId="157" xfId="7" applyFont="1" applyFill="1" applyBorder="1" applyAlignment="1">
      <alignment horizontal="center" vertical="center" wrapText="1"/>
    </xf>
    <xf numFmtId="0" fontId="145" fillId="10" borderId="158" xfId="7" applyFont="1" applyFill="1" applyBorder="1" applyAlignment="1">
      <alignment horizontal="center" vertical="center" wrapText="1"/>
    </xf>
    <xf numFmtId="49" fontId="145" fillId="10" borderId="152" xfId="7" applyNumberFormat="1" applyFont="1" applyFill="1" applyBorder="1" applyAlignment="1">
      <alignment horizontal="center" vertical="center" wrapText="1"/>
    </xf>
    <xf numFmtId="0" fontId="109" fillId="10" borderId="159" xfId="7" applyFont="1" applyFill="1" applyBorder="1" applyAlignment="1">
      <alignment horizontal="center"/>
    </xf>
    <xf numFmtId="0" fontId="148" fillId="0" borderId="158" xfId="7" applyFont="1" applyFill="1" applyBorder="1" applyAlignment="1" applyProtection="1">
      <alignment horizontal="right"/>
    </xf>
    <xf numFmtId="0" fontId="90" fillId="17" borderId="73" xfId="0" applyFont="1" applyFill="1" applyBorder="1"/>
    <xf numFmtId="0" fontId="90" fillId="17" borderId="74" xfId="0" applyFont="1" applyFill="1" applyBorder="1" applyAlignment="1">
      <alignment horizontal="left" vertical="top"/>
    </xf>
    <xf numFmtId="0" fontId="90" fillId="17" borderId="74" xfId="0" applyFont="1" applyFill="1" applyBorder="1" applyAlignment="1">
      <alignment vertical="top" wrapText="1"/>
    </xf>
    <xf numFmtId="0" fontId="95" fillId="17" borderId="75" xfId="0" applyFont="1" applyFill="1" applyBorder="1" applyAlignment="1">
      <alignment vertical="top"/>
    </xf>
    <xf numFmtId="6" fontId="90" fillId="0" borderId="15" xfId="4" applyNumberFormat="1" applyFont="1" applyBorder="1" applyAlignment="1" applyProtection="1">
      <alignment horizontal="center"/>
      <protection locked="0"/>
    </xf>
    <xf numFmtId="0" fontId="96" fillId="0" borderId="0" xfId="4" applyFont="1" applyFill="1" applyBorder="1" applyAlignment="1" applyProtection="1">
      <alignment horizontal="center" vertical="center"/>
    </xf>
    <xf numFmtId="3" fontId="90" fillId="0" borderId="0" xfId="4" applyNumberFormat="1" applyFont="1" applyBorder="1" applyAlignment="1" applyProtection="1">
      <alignment horizontal="right" indent="1"/>
    </xf>
    <xf numFmtId="5" fontId="90" fillId="0" borderId="0" xfId="4" applyNumberFormat="1" applyFont="1" applyBorder="1" applyAlignment="1" applyProtection="1"/>
    <xf numFmtId="5" fontId="90" fillId="0" borderId="0" xfId="4" applyNumberFormat="1" applyFont="1" applyBorder="1" applyAlignment="1" applyProtection="1">
      <alignment horizontal="center"/>
    </xf>
    <xf numFmtId="0" fontId="95" fillId="0" borderId="0" xfId="18" quotePrefix="1" applyFont="1" applyAlignment="1">
      <alignment horizontal="left" vertical="top"/>
    </xf>
    <xf numFmtId="0" fontId="95" fillId="0" borderId="0" xfId="18" applyFont="1" applyAlignment="1">
      <alignment horizontal="left" vertical="top"/>
    </xf>
    <xf numFmtId="0" fontId="95" fillId="0" borderId="0" xfId="18" applyFont="1" applyAlignment="1">
      <alignment horizontal="center" vertical="top"/>
    </xf>
    <xf numFmtId="0" fontId="95" fillId="0" borderId="0" xfId="18" applyFont="1" applyAlignment="1">
      <alignment horizontal="left" vertical="top" wrapText="1"/>
    </xf>
    <xf numFmtId="0" fontId="95" fillId="0" borderId="0" xfId="17" applyFont="1" applyAlignment="1">
      <alignment vertical="center"/>
    </xf>
    <xf numFmtId="0" fontId="95" fillId="0" borderId="0" xfId="18" applyFont="1" applyAlignment="1">
      <alignment vertical="center"/>
    </xf>
    <xf numFmtId="0" fontId="117" fillId="0" borderId="0" xfId="2" applyFont="1" applyAlignment="1" applyProtection="1">
      <alignment horizontal="right" vertical="center"/>
    </xf>
    <xf numFmtId="0" fontId="25" fillId="0" borderId="0" xfId="2" applyAlignment="1" applyProtection="1">
      <alignment vertical="center"/>
    </xf>
    <xf numFmtId="0" fontId="95" fillId="10" borderId="14" xfId="0" applyFont="1" applyFill="1" applyBorder="1" applyAlignment="1" applyProtection="1">
      <alignment vertical="center"/>
    </xf>
    <xf numFmtId="0" fontId="95" fillId="10" borderId="2" xfId="0" applyFont="1" applyFill="1" applyBorder="1" applyAlignment="1" applyProtection="1">
      <alignment vertical="center"/>
    </xf>
    <xf numFmtId="0" fontId="94" fillId="0" borderId="14" xfId="0" applyFont="1" applyBorder="1" applyAlignment="1" applyProtection="1">
      <alignment horizontal="left" vertical="center" indent="1"/>
    </xf>
    <xf numFmtId="0" fontId="74" fillId="0" borderId="14" xfId="0" applyFont="1" applyBorder="1" applyAlignment="1" applyProtection="1">
      <alignment horizontal="left" vertical="center" indent="1"/>
    </xf>
    <xf numFmtId="0" fontId="96" fillId="0" borderId="57" xfId="4" applyNumberFormat="1" applyFont="1" applyBorder="1" applyAlignment="1" applyProtection="1">
      <alignment horizontal="center"/>
      <protection locked="0"/>
    </xf>
    <xf numFmtId="0" fontId="81" fillId="12" borderId="0" xfId="0" applyFont="1" applyFill="1" applyAlignment="1">
      <alignment horizontal="center"/>
    </xf>
    <xf numFmtId="0" fontId="82" fillId="0" borderId="0" xfId="0" applyFont="1" applyAlignment="1">
      <alignment horizontal="center"/>
    </xf>
    <xf numFmtId="41" fontId="109" fillId="18" borderId="137" xfId="0" applyNumberFormat="1" applyFont="1" applyFill="1" applyBorder="1" applyAlignment="1" applyProtection="1">
      <alignment horizontal="right" shrinkToFit="1"/>
      <protection locked="0"/>
    </xf>
    <xf numFmtId="41" fontId="109" fillId="11" borderId="139" xfId="0" applyNumberFormat="1" applyFont="1" applyFill="1" applyBorder="1" applyAlignment="1">
      <alignment horizontal="right" shrinkToFit="1"/>
    </xf>
    <xf numFmtId="38" fontId="96" fillId="16" borderId="2" xfId="0" applyNumberFormat="1" applyFont="1" applyFill="1" applyBorder="1" applyAlignment="1" applyProtection="1">
      <alignment horizontal="right" vertical="center" shrinkToFit="1"/>
    </xf>
    <xf numFmtId="0" fontId="90" fillId="0" borderId="0" xfId="0" applyFont="1" applyBorder="1" applyAlignment="1" applyProtection="1">
      <alignment horizontal="center" vertical="center" shrinkToFit="1"/>
    </xf>
    <xf numFmtId="0" fontId="90" fillId="0" borderId="0" xfId="0" applyFont="1" applyBorder="1" applyAlignment="1" applyProtection="1">
      <alignment vertical="center" shrinkToFit="1"/>
    </xf>
    <xf numFmtId="38" fontId="96" fillId="16" borderId="2" xfId="0" applyNumberFormat="1" applyFont="1" applyFill="1" applyBorder="1" applyAlignment="1" applyProtection="1">
      <alignment vertical="center" shrinkToFit="1"/>
    </xf>
    <xf numFmtId="41" fontId="96" fillId="0" borderId="2" xfId="0" applyNumberFormat="1" applyFont="1" applyBorder="1" applyAlignment="1" applyProtection="1">
      <alignment vertical="center" shrinkToFit="1"/>
      <protection locked="0"/>
    </xf>
    <xf numFmtId="40" fontId="94" fillId="0" borderId="0" xfId="0" applyNumberFormat="1" applyFont="1" applyBorder="1" applyAlignment="1" applyProtection="1">
      <alignment horizontal="right" shrinkToFit="1"/>
    </xf>
    <xf numFmtId="0" fontId="90" fillId="0" borderId="0" xfId="0" applyFont="1" applyBorder="1" applyAlignment="1" applyProtection="1">
      <alignment horizontal="right" shrinkToFit="1"/>
    </xf>
    <xf numFmtId="0" fontId="89" fillId="0" borderId="0" xfId="0" applyFont="1" applyBorder="1" applyAlignment="1" applyProtection="1">
      <alignment horizontal="center" shrinkToFit="1"/>
    </xf>
    <xf numFmtId="37" fontId="94" fillId="0" borderId="0" xfId="0" applyNumberFormat="1" applyFont="1" applyBorder="1" applyAlignment="1" applyProtection="1">
      <alignment horizontal="right" shrinkToFit="1"/>
    </xf>
    <xf numFmtId="40" fontId="94" fillId="0" borderId="0" xfId="0" applyNumberFormat="1" applyFont="1" applyFill="1" applyBorder="1" applyAlignment="1" applyProtection="1">
      <alignment horizontal="right" shrinkToFit="1"/>
    </xf>
    <xf numFmtId="40" fontId="94" fillId="0" borderId="0" xfId="0" applyNumberFormat="1" applyFont="1" applyBorder="1" applyAlignment="1" applyProtection="1">
      <alignment horizontal="right" vertical="center" shrinkToFit="1"/>
    </xf>
    <xf numFmtId="40" fontId="94" fillId="0" borderId="0" xfId="0" applyNumberFormat="1" applyFont="1" applyFill="1" applyBorder="1" applyAlignment="1" applyProtection="1">
      <alignment horizontal="right" vertical="center" shrinkToFit="1"/>
    </xf>
    <xf numFmtId="0" fontId="94" fillId="0" borderId="0" xfId="0" applyFont="1" applyBorder="1" applyAlignment="1" applyProtection="1">
      <alignment horizontal="right" shrinkToFit="1"/>
    </xf>
    <xf numFmtId="175" fontId="94" fillId="0" borderId="0" xfId="0" applyNumberFormat="1" applyFont="1" applyFill="1" applyBorder="1" applyAlignment="1" applyProtection="1">
      <alignment horizontal="right" shrinkToFit="1"/>
    </xf>
    <xf numFmtId="0" fontId="89" fillId="0" borderId="0" xfId="0" applyFont="1" applyBorder="1" applyAlignment="1" applyProtection="1">
      <alignment horizontal="right" shrinkToFit="1"/>
    </xf>
    <xf numFmtId="0" fontId="96" fillId="0" borderId="0" xfId="12" applyNumberFormat="1" applyFont="1" applyBorder="1" applyAlignment="1" applyProtection="1">
      <alignment horizontal="right" shrinkToFit="1"/>
    </xf>
    <xf numFmtId="0" fontId="94"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shrinkToFit="1"/>
    </xf>
    <xf numFmtId="0" fontId="90" fillId="0" borderId="0" xfId="0" applyFont="1" applyBorder="1" applyAlignment="1" applyProtection="1">
      <alignment shrinkToFit="1"/>
    </xf>
    <xf numFmtId="0" fontId="94" fillId="0" borderId="0" xfId="12" quotePrefix="1" applyNumberFormat="1" applyFont="1" applyBorder="1" applyAlignment="1" applyProtection="1">
      <alignment horizontal="right" shrinkToFit="1"/>
    </xf>
    <xf numFmtId="1" fontId="96"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vertical="center" shrinkToFit="1"/>
    </xf>
    <xf numFmtId="172" fontId="94" fillId="0" borderId="0" xfId="0" applyNumberFormat="1" applyFont="1" applyBorder="1" applyAlignment="1" applyProtection="1">
      <alignment horizontal="right" shrinkToFit="1"/>
    </xf>
    <xf numFmtId="2" fontId="105" fillId="0" borderId="0" xfId="0" applyNumberFormat="1" applyFont="1" applyFill="1" applyBorder="1" applyAlignment="1" applyProtection="1">
      <alignment horizontal="right" shrinkToFit="1"/>
    </xf>
    <xf numFmtId="0" fontId="90" fillId="0" borderId="0" xfId="0" applyFont="1" applyFill="1" applyBorder="1" applyAlignment="1" applyProtection="1">
      <alignment shrinkToFit="1"/>
    </xf>
    <xf numFmtId="0" fontId="102" fillId="0" borderId="0" xfId="12" applyNumberFormat="1" applyFont="1" applyFill="1" applyBorder="1" applyAlignment="1" applyProtection="1">
      <alignment horizontal="right" shrinkToFit="1"/>
    </xf>
    <xf numFmtId="38" fontId="90" fillId="0" borderId="19" xfId="0" applyNumberFormat="1" applyFont="1" applyBorder="1" applyAlignment="1" applyProtection="1">
      <alignment horizontal="right" shrinkToFit="1"/>
      <protection locked="0"/>
    </xf>
    <xf numFmtId="38" fontId="90" fillId="0" borderId="2" xfId="0" applyNumberFormat="1" applyFont="1" applyBorder="1" applyAlignment="1" applyProtection="1">
      <alignment horizontal="right" shrinkToFit="1"/>
      <protection locked="0"/>
    </xf>
    <xf numFmtId="38" fontId="90" fillId="0" borderId="2" xfId="0" applyNumberFormat="1" applyFont="1" applyFill="1" applyBorder="1" applyAlignment="1" applyProtection="1">
      <alignment horizontal="right" shrinkToFit="1"/>
      <protection locked="0"/>
    </xf>
    <xf numFmtId="38" fontId="90" fillId="3" borderId="24" xfId="0" applyNumberFormat="1" applyFont="1" applyFill="1" applyBorder="1" applyAlignment="1" applyProtection="1">
      <alignment horizontal="right" shrinkToFit="1"/>
    </xf>
    <xf numFmtId="38" fontId="90" fillId="3" borderId="5" xfId="0" applyNumberFormat="1" applyFont="1" applyFill="1" applyBorder="1" applyAlignment="1" applyProtection="1">
      <alignment horizontal="right" shrinkToFit="1"/>
    </xf>
    <xf numFmtId="38" fontId="90" fillId="0" borderId="17" xfId="0" applyNumberFormat="1" applyFont="1" applyBorder="1" applyAlignment="1" applyProtection="1">
      <alignment horizontal="right" shrinkToFit="1"/>
      <protection locked="0"/>
    </xf>
    <xf numFmtId="38" fontId="90" fillId="0" borderId="0" xfId="0" applyNumberFormat="1" applyFont="1" applyBorder="1" applyAlignment="1" applyProtection="1">
      <alignment horizontal="right" shrinkToFit="1"/>
      <protection locked="0"/>
    </xf>
    <xf numFmtId="38" fontId="90" fillId="0" borderId="17" xfId="0" applyNumberFormat="1" applyFont="1" applyFill="1" applyBorder="1" applyAlignment="1" applyProtection="1">
      <alignment horizontal="right" shrinkToFit="1"/>
      <protection locked="0"/>
    </xf>
    <xf numFmtId="38" fontId="90" fillId="2" borderId="17" xfId="0" applyNumberFormat="1" applyFont="1" applyFill="1" applyBorder="1" applyAlignment="1" applyProtection="1">
      <alignment horizontal="right" shrinkToFit="1"/>
    </xf>
    <xf numFmtId="38" fontId="90" fillId="0" borderId="19" xfId="0" applyNumberFormat="1" applyFont="1" applyFill="1" applyBorder="1" applyAlignment="1" applyProtection="1">
      <alignment horizontal="right" shrinkToFit="1"/>
      <protection locked="0"/>
    </xf>
    <xf numFmtId="38" fontId="90" fillId="2" borderId="24" xfId="0" applyNumberFormat="1" applyFont="1" applyFill="1" applyBorder="1" applyAlignment="1" applyProtection="1">
      <alignment horizontal="right" shrinkToFit="1"/>
    </xf>
    <xf numFmtId="38" fontId="90" fillId="0" borderId="18" xfId="0" applyNumberFormat="1" applyFont="1" applyFill="1" applyBorder="1" applyAlignment="1" applyProtection="1">
      <alignment horizontal="right" shrinkToFit="1"/>
      <protection locked="0"/>
    </xf>
    <xf numFmtId="38" fontId="90" fillId="0" borderId="24" xfId="0" applyNumberFormat="1" applyFont="1" applyFill="1" applyBorder="1" applyAlignment="1" applyProtection="1">
      <alignment horizontal="right" shrinkToFit="1"/>
      <protection locked="0"/>
    </xf>
    <xf numFmtId="38" fontId="90" fillId="2" borderId="18"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16" borderId="64" xfId="0" applyNumberFormat="1" applyFont="1" applyFill="1" applyBorder="1" applyAlignment="1" applyProtection="1">
      <alignment horizontal="right" shrinkToFit="1"/>
    </xf>
    <xf numFmtId="38" fontId="90" fillId="14" borderId="9" xfId="0" applyNumberFormat="1" applyFont="1" applyFill="1" applyBorder="1" applyAlignment="1" applyProtection="1">
      <alignment horizontal="right" shrinkToFit="1"/>
    </xf>
    <xf numFmtId="38" fontId="90" fillId="14" borderId="6" xfId="0" applyNumberFormat="1" applyFont="1" applyFill="1" applyBorder="1" applyAlignment="1" applyProtection="1">
      <alignment horizontal="right" shrinkToFit="1"/>
    </xf>
    <xf numFmtId="38" fontId="90" fillId="14" borderId="14" xfId="0" applyNumberFormat="1" applyFont="1" applyFill="1" applyBorder="1" applyAlignment="1" applyProtection="1">
      <alignment horizontal="right" shrinkToFit="1"/>
    </xf>
    <xf numFmtId="38" fontId="90" fillId="14" borderId="19" xfId="0" applyNumberFormat="1" applyFont="1" applyFill="1" applyBorder="1" applyAlignment="1" applyProtection="1">
      <alignment horizontal="right" shrinkToFit="1"/>
    </xf>
    <xf numFmtId="38" fontId="90" fillId="2" borderId="5" xfId="0" applyNumberFormat="1" applyFont="1" applyFill="1" applyBorder="1" applyAlignment="1" applyProtection="1">
      <alignment horizontal="right" shrinkToFit="1"/>
    </xf>
    <xf numFmtId="38" fontId="90" fillId="2" borderId="0" xfId="0" applyNumberFormat="1" applyFont="1" applyFill="1" applyBorder="1" applyAlignment="1" applyProtection="1">
      <alignment horizontal="right" shrinkToFit="1"/>
    </xf>
    <xf numFmtId="38" fontId="90" fillId="16" borderId="26" xfId="0" applyNumberFormat="1" applyFont="1" applyFill="1" applyBorder="1" applyAlignment="1" applyProtection="1">
      <alignment horizontal="right" shrinkToFit="1"/>
    </xf>
    <xf numFmtId="38" fontId="90" fillId="14" borderId="23" xfId="0" applyNumberFormat="1" applyFont="1" applyFill="1" applyBorder="1" applyAlignment="1" applyProtection="1">
      <alignment horizontal="right" shrinkToFit="1"/>
    </xf>
    <xf numFmtId="38" fontId="90" fillId="14" borderId="10" xfId="0" applyNumberFormat="1" applyFont="1" applyFill="1" applyBorder="1" applyAlignment="1" applyProtection="1">
      <alignment horizontal="right" shrinkToFit="1"/>
    </xf>
    <xf numFmtId="38" fontId="90" fillId="0" borderId="8" xfId="0" applyNumberFormat="1" applyFont="1" applyFill="1" applyBorder="1" applyAlignment="1" applyProtection="1">
      <alignment horizontal="right" shrinkToFit="1"/>
      <protection locked="0"/>
    </xf>
    <xf numFmtId="38" fontId="90" fillId="0" borderId="23" xfId="0" applyNumberFormat="1" applyFont="1" applyFill="1" applyBorder="1" applyAlignment="1" applyProtection="1">
      <alignment horizontal="right" shrinkToFit="1"/>
      <protection locked="0"/>
    </xf>
    <xf numFmtId="38" fontId="90" fillId="0" borderId="24" xfId="0" applyNumberFormat="1" applyFont="1" applyBorder="1" applyAlignment="1" applyProtection="1">
      <alignment horizontal="right" shrinkToFit="1"/>
      <protection locked="0"/>
    </xf>
    <xf numFmtId="38" fontId="90" fillId="16" borderId="24" xfId="0" applyNumberFormat="1" applyFont="1" applyFill="1" applyBorder="1" applyAlignment="1" applyProtection="1">
      <alignment horizontal="right" shrinkToFit="1"/>
    </xf>
    <xf numFmtId="38" fontId="90" fillId="16" borderId="17" xfId="0" applyNumberFormat="1" applyFont="1" applyFill="1" applyBorder="1" applyAlignment="1" applyProtection="1">
      <alignment horizontal="right" shrinkToFit="1"/>
    </xf>
    <xf numFmtId="38" fontId="90" fillId="14" borderId="20" xfId="0" applyNumberFormat="1" applyFont="1" applyFill="1" applyBorder="1" applyAlignment="1" applyProtection="1">
      <alignment horizontal="right" shrinkToFit="1"/>
    </xf>
    <xf numFmtId="38" fontId="90" fillId="14" borderId="62" xfId="0" applyNumberFormat="1" applyFont="1" applyFill="1" applyBorder="1" applyAlignment="1" applyProtection="1">
      <alignment horizontal="right" shrinkToFit="1"/>
    </xf>
    <xf numFmtId="38" fontId="96" fillId="2" borderId="24" xfId="0" applyNumberFormat="1" applyFont="1" applyFill="1" applyBorder="1" applyAlignment="1">
      <alignment horizontal="right" shrinkToFit="1"/>
    </xf>
    <xf numFmtId="38" fontId="90" fillId="2" borderId="1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16" borderId="2" xfId="0" applyNumberFormat="1" applyFont="1" applyFill="1" applyBorder="1" applyAlignment="1" applyProtection="1">
      <alignment horizontal="right" shrinkToFit="1"/>
    </xf>
    <xf numFmtId="38" fontId="90" fillId="3" borderId="14" xfId="0" applyNumberFormat="1" applyFont="1" applyFill="1" applyBorder="1" applyAlignment="1" applyProtection="1">
      <alignment horizontal="right" shrinkToFit="1"/>
    </xf>
    <xf numFmtId="38" fontId="90" fillId="3" borderId="0" xfId="0" applyNumberFormat="1" applyFont="1" applyFill="1" applyBorder="1" applyAlignment="1" applyProtection="1">
      <alignment horizontal="right" shrinkToFit="1"/>
    </xf>
    <xf numFmtId="38" fontId="90" fillId="3" borderId="17" xfId="0" applyNumberFormat="1" applyFont="1" applyFill="1" applyBorder="1" applyAlignment="1" applyProtection="1">
      <alignment horizontal="right" shrinkToFit="1"/>
    </xf>
    <xf numFmtId="38" fontId="90" fillId="3" borderId="23" xfId="0" applyNumberFormat="1" applyFont="1" applyFill="1" applyBorder="1" applyAlignment="1" applyProtection="1">
      <alignment horizontal="right" shrinkToFit="1"/>
    </xf>
    <xf numFmtId="38" fontId="90" fillId="3" borderId="2" xfId="0" applyNumberFormat="1" applyFont="1" applyFill="1" applyBorder="1" applyAlignment="1" applyProtection="1">
      <alignment horizontal="right" shrinkToFit="1"/>
    </xf>
    <xf numFmtId="38" fontId="90" fillId="0" borderId="9" xfId="0" applyNumberFormat="1" applyFont="1" applyBorder="1" applyAlignment="1" applyProtection="1">
      <alignment horizontal="right" shrinkToFit="1"/>
      <protection locked="0"/>
    </xf>
    <xf numFmtId="38" fontId="90" fillId="0" borderId="10" xfId="0" applyNumberFormat="1" applyFont="1" applyBorder="1" applyAlignment="1" applyProtection="1">
      <alignment horizontal="right" shrinkToFit="1"/>
      <protection locked="0"/>
    </xf>
    <xf numFmtId="38" fontId="90" fillId="14" borderId="21" xfId="0" applyNumberFormat="1" applyFont="1" applyFill="1" applyBorder="1" applyAlignment="1" applyProtection="1">
      <alignment horizontal="right" shrinkToFit="1"/>
    </xf>
    <xf numFmtId="38" fontId="90" fillId="3" borderId="10" xfId="0" applyNumberFormat="1" applyFont="1" applyFill="1" applyBorder="1" applyAlignment="1" applyProtection="1">
      <alignment horizontal="right" shrinkToFit="1"/>
    </xf>
    <xf numFmtId="38" fontId="90" fillId="3" borderId="18" xfId="0" applyNumberFormat="1" applyFont="1" applyFill="1" applyBorder="1" applyAlignment="1" applyProtection="1">
      <alignment horizontal="right" shrinkToFit="1"/>
    </xf>
    <xf numFmtId="38" fontId="90" fillId="16" borderId="5" xfId="0" applyNumberFormat="1" applyFont="1" applyFill="1" applyBorder="1" applyAlignment="1" applyProtection="1">
      <alignment horizontal="right" shrinkToFit="1"/>
    </xf>
    <xf numFmtId="38" fontId="90" fillId="16" borderId="9" xfId="0" applyNumberFormat="1" applyFont="1" applyFill="1" applyBorder="1" applyAlignment="1" applyProtection="1">
      <alignment horizontal="right" shrinkToFit="1"/>
    </xf>
    <xf numFmtId="38" fontId="90" fillId="3" borderId="19" xfId="0" applyNumberFormat="1" applyFont="1" applyFill="1" applyBorder="1" applyAlignment="1" applyProtection="1">
      <alignment horizontal="right" shrinkToFit="1"/>
    </xf>
    <xf numFmtId="38" fontId="90" fillId="16" borderId="0" xfId="0" applyNumberFormat="1" applyFont="1" applyFill="1" applyAlignment="1" applyProtection="1">
      <alignment horizontal="right" shrinkToFit="1"/>
    </xf>
    <xf numFmtId="38" fontId="90" fillId="16" borderId="76" xfId="0" applyNumberFormat="1" applyFont="1" applyFill="1" applyBorder="1" applyAlignment="1" applyProtection="1">
      <alignment horizontal="right" shrinkToFit="1"/>
    </xf>
    <xf numFmtId="38" fontId="90" fillId="2" borderId="2" xfId="0" applyNumberFormat="1" applyFont="1" applyFill="1" applyBorder="1" applyAlignment="1" applyProtection="1">
      <alignment horizontal="right" shrinkToFit="1"/>
    </xf>
    <xf numFmtId="38" fontId="90" fillId="16" borderId="25" xfId="0" applyNumberFormat="1" applyFont="1" applyFill="1" applyBorder="1" applyAlignment="1" applyProtection="1">
      <alignment horizontal="right" shrinkToFit="1"/>
    </xf>
    <xf numFmtId="38" fontId="90" fillId="2" borderId="76" xfId="0" applyNumberFormat="1" applyFont="1" applyFill="1" applyBorder="1" applyAlignment="1" applyProtection="1">
      <alignment horizontal="right" shrinkToFit="1"/>
    </xf>
    <xf numFmtId="38" fontId="90" fillId="0" borderId="26" xfId="0" applyNumberFormat="1" applyFont="1" applyFill="1" applyBorder="1" applyAlignment="1" applyProtection="1">
      <alignment horizontal="right" shrinkToFit="1"/>
      <protection locked="0"/>
    </xf>
    <xf numFmtId="38" fontId="90" fillId="0" borderId="22" xfId="0" applyNumberFormat="1" applyFont="1" applyFill="1" applyBorder="1" applyAlignment="1" applyProtection="1">
      <alignment horizontal="right" shrinkToFit="1"/>
      <protection locked="0"/>
    </xf>
    <xf numFmtId="38" fontId="90" fillId="0" borderId="25" xfId="0" applyNumberFormat="1" applyFont="1" applyFill="1" applyBorder="1" applyAlignment="1" applyProtection="1">
      <alignment horizontal="right" shrinkToFit="1"/>
      <protection locked="0"/>
    </xf>
    <xf numFmtId="38" fontId="90" fillId="16" borderId="22" xfId="0" applyNumberFormat="1" applyFont="1" applyFill="1" applyBorder="1" applyAlignment="1" applyProtection="1">
      <alignment horizontal="right" shrinkToFit="1"/>
    </xf>
    <xf numFmtId="38" fontId="90" fillId="0" borderId="27" xfId="0" applyNumberFormat="1" applyFont="1" applyFill="1" applyBorder="1" applyAlignment="1" applyProtection="1">
      <alignment horizontal="right" shrinkToFit="1"/>
      <protection locked="0"/>
    </xf>
    <xf numFmtId="38" fontId="90" fillId="0" borderId="0" xfId="0" applyNumberFormat="1" applyFont="1" applyAlignment="1" applyProtection="1">
      <alignment horizontal="right" shrinkToFit="1"/>
      <protection locked="0"/>
    </xf>
    <xf numFmtId="38" fontId="90" fillId="0" borderId="23" xfId="0" applyNumberFormat="1" applyFont="1" applyBorder="1" applyAlignment="1" applyProtection="1">
      <alignment horizontal="right" shrinkToFit="1"/>
      <protection locked="0"/>
    </xf>
    <xf numFmtId="38" fontId="90" fillId="16" borderId="61" xfId="0" applyNumberFormat="1" applyFont="1" applyFill="1" applyBorder="1" applyAlignment="1" applyProtection="1">
      <alignment horizontal="right" shrinkToFit="1"/>
    </xf>
    <xf numFmtId="38" fontId="90" fillId="3" borderId="7" xfId="0" applyNumberFormat="1" applyFont="1" applyFill="1" applyBorder="1" applyAlignment="1" applyProtection="1">
      <alignment horizontal="right" shrinkToFit="1"/>
    </xf>
    <xf numFmtId="37" fontId="90" fillId="16" borderId="61" xfId="0" applyNumberFormat="1" applyFont="1" applyFill="1" applyBorder="1" applyAlignment="1" applyProtection="1">
      <alignment horizontal="right" shrinkToFit="1"/>
    </xf>
    <xf numFmtId="37" fontId="90" fillId="16" borderId="26" xfId="0" applyNumberFormat="1" applyFont="1" applyFill="1" applyBorder="1" applyAlignment="1" applyProtection="1">
      <alignment horizontal="right" shrinkToFit="1"/>
    </xf>
    <xf numFmtId="37" fontId="90" fillId="3" borderId="7" xfId="0" applyNumberFormat="1" applyFont="1" applyFill="1" applyBorder="1" applyAlignment="1" applyProtection="1">
      <alignment horizontal="right" shrinkToFit="1"/>
    </xf>
    <xf numFmtId="37" fontId="90" fillId="3" borderId="24" xfId="0" applyNumberFormat="1" applyFont="1" applyFill="1" applyBorder="1" applyAlignment="1" applyProtection="1">
      <alignment horizontal="right" shrinkToFit="1"/>
    </xf>
    <xf numFmtId="38" fontId="90" fillId="0" borderId="9" xfId="0" applyNumberFormat="1" applyFont="1" applyFill="1" applyBorder="1" applyAlignment="1" applyProtection="1">
      <alignment horizontal="right" shrinkToFit="1"/>
      <protection locked="0"/>
    </xf>
    <xf numFmtId="38" fontId="90" fillId="3" borderId="0" xfId="0" applyNumberFormat="1" applyFont="1" applyFill="1" applyAlignment="1" applyProtection="1">
      <alignment horizontal="right" shrinkToFit="1"/>
    </xf>
    <xf numFmtId="38" fontId="90" fillId="16" borderId="63" xfId="0" applyNumberFormat="1" applyFont="1" applyFill="1" applyBorder="1" applyAlignment="1" applyProtection="1">
      <alignment horizontal="right" shrinkToFit="1"/>
    </xf>
    <xf numFmtId="38" fontId="90" fillId="16" borderId="8" xfId="0" applyNumberFormat="1" applyFont="1" applyFill="1" applyBorder="1" applyAlignment="1" applyProtection="1">
      <alignment horizontal="right" shrinkToFit="1"/>
    </xf>
    <xf numFmtId="38" fontId="90" fillId="3" borderId="9" xfId="0" applyNumberFormat="1" applyFont="1" applyFill="1" applyBorder="1" applyAlignment="1" applyProtection="1">
      <alignment horizontal="right" shrinkToFit="1"/>
    </xf>
    <xf numFmtId="38" fontId="90" fillId="3" borderId="77" xfId="0" applyNumberFormat="1" applyFont="1" applyFill="1" applyBorder="1" applyAlignment="1" applyProtection="1">
      <alignment horizontal="right" shrinkToFit="1"/>
    </xf>
    <xf numFmtId="38" fontId="90" fillId="3" borderId="76"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3" borderId="18" xfId="0" applyNumberFormat="1" applyFont="1" applyFill="1" applyBorder="1" applyAlignment="1" applyProtection="1">
      <alignment horizontal="right" shrinkToFit="1"/>
    </xf>
    <xf numFmtId="38" fontId="90" fillId="3" borderId="27" xfId="0" applyNumberFormat="1" applyFont="1" applyFill="1" applyBorder="1" applyAlignment="1" applyProtection="1">
      <alignment horizontal="right" shrinkToFit="1"/>
    </xf>
    <xf numFmtId="38" fontId="90" fillId="0" borderId="25" xfId="0" applyNumberFormat="1" applyFont="1" applyBorder="1" applyAlignment="1" applyProtection="1">
      <alignment horizontal="right" shrinkToFit="1"/>
      <protection locked="0"/>
    </xf>
    <xf numFmtId="38" fontId="90" fillId="0" borderId="63" xfId="0" applyNumberFormat="1" applyFont="1" applyBorder="1" applyAlignment="1" applyProtection="1">
      <alignment horizontal="right" shrinkToFit="1"/>
      <protection locked="0"/>
    </xf>
    <xf numFmtId="38" fontId="90" fillId="0" borderId="22" xfId="0" applyNumberFormat="1" applyFont="1" applyBorder="1" applyAlignment="1" applyProtection="1">
      <alignment horizontal="right" shrinkToFit="1"/>
      <protection locked="0"/>
    </xf>
    <xf numFmtId="38" fontId="90" fillId="0" borderId="61" xfId="0" applyNumberFormat="1" applyFont="1" applyFill="1" applyBorder="1" applyAlignment="1" applyProtection="1">
      <alignment horizontal="right" shrinkToFit="1"/>
      <protection locked="0"/>
    </xf>
    <xf numFmtId="38" fontId="90" fillId="0" borderId="26" xfId="0" applyNumberFormat="1" applyFont="1" applyBorder="1" applyAlignment="1" applyProtection="1">
      <alignment horizontal="right" shrinkToFit="1"/>
      <protection locked="0"/>
    </xf>
    <xf numFmtId="38" fontId="90" fillId="0" borderId="44" xfId="0" applyNumberFormat="1" applyFont="1" applyBorder="1" applyAlignment="1" applyProtection="1">
      <alignment horizontal="right" vertical="center" shrinkToFit="1"/>
      <protection locked="0"/>
    </xf>
    <xf numFmtId="38" fontId="90" fillId="0" borderId="25" xfId="0" applyNumberFormat="1" applyFont="1" applyBorder="1" applyAlignment="1" applyProtection="1">
      <alignment horizontal="right" vertical="center" shrinkToFit="1"/>
      <protection locked="0"/>
    </xf>
    <xf numFmtId="38" fontId="90" fillId="0" borderId="26" xfId="0" applyNumberFormat="1" applyFont="1" applyFill="1" applyBorder="1" applyAlignment="1" applyProtection="1">
      <alignment horizontal="right" vertical="center" shrinkToFit="1"/>
      <protection locked="0"/>
    </xf>
    <xf numFmtId="38" fontId="90" fillId="0" borderId="25" xfId="0" applyNumberFormat="1" applyFont="1" applyFill="1" applyBorder="1" applyAlignment="1" applyProtection="1">
      <alignment horizontal="right" vertical="center" shrinkToFit="1"/>
      <protection locked="0"/>
    </xf>
    <xf numFmtId="38" fontId="90" fillId="16" borderId="44" xfId="0" applyNumberFormat="1" applyFont="1" applyFill="1" applyBorder="1" applyAlignment="1" applyProtection="1">
      <alignment horizontal="right" shrinkToFit="1"/>
    </xf>
    <xf numFmtId="38" fontId="90" fillId="3" borderId="21" xfId="0" applyNumberFormat="1" applyFont="1" applyFill="1" applyBorder="1" applyAlignment="1" applyProtection="1">
      <alignment horizontal="right" vertical="center" shrinkToFit="1"/>
    </xf>
    <xf numFmtId="38" fontId="90" fillId="3" borderId="76" xfId="0" applyNumberFormat="1" applyFont="1" applyFill="1" applyBorder="1" applyAlignment="1" applyProtection="1">
      <alignment horizontal="right" vertical="center" shrinkToFit="1"/>
    </xf>
    <xf numFmtId="38" fontId="90" fillId="3" borderId="0" xfId="0" applyNumberFormat="1" applyFont="1" applyFill="1" applyAlignment="1" applyProtection="1">
      <alignment horizontal="right" vertical="center" shrinkToFit="1"/>
    </xf>
    <xf numFmtId="38" fontId="90" fillId="3" borderId="24" xfId="0" applyNumberFormat="1" applyFont="1" applyFill="1" applyBorder="1" applyAlignment="1" applyProtection="1">
      <alignment horizontal="right" vertical="center" shrinkToFit="1"/>
    </xf>
    <xf numFmtId="38" fontId="90" fillId="3" borderId="73" xfId="0" applyNumberFormat="1" applyFont="1" applyFill="1" applyBorder="1" applyAlignment="1" applyProtection="1">
      <alignment horizontal="right" shrinkToFit="1"/>
    </xf>
    <xf numFmtId="38" fontId="90" fillId="0" borderId="2" xfId="0" applyNumberFormat="1" applyFont="1" applyFill="1" applyBorder="1" applyAlignment="1" applyProtection="1">
      <alignment horizontal="right" vertical="center" shrinkToFit="1"/>
      <protection locked="0"/>
    </xf>
    <xf numFmtId="38" fontId="90" fillId="2" borderId="2" xfId="0" applyNumberFormat="1" applyFont="1" applyFill="1" applyBorder="1" applyAlignment="1" applyProtection="1">
      <alignment horizontal="right" vertical="center" shrinkToFit="1"/>
    </xf>
    <xf numFmtId="38" fontId="90" fillId="0" borderId="160" xfId="0" applyNumberFormat="1" applyFont="1" applyFill="1" applyBorder="1" applyAlignment="1" applyProtection="1">
      <alignment horizontal="right" shrinkToFit="1"/>
      <protection locked="0"/>
    </xf>
    <xf numFmtId="38" fontId="90" fillId="0" borderId="161" xfId="0" applyNumberFormat="1" applyFont="1" applyFill="1" applyBorder="1" applyAlignment="1" applyProtection="1">
      <alignment horizontal="right" shrinkToFit="1"/>
      <protection locked="0"/>
    </xf>
    <xf numFmtId="38" fontId="90" fillId="0" borderId="162" xfId="0" applyNumberFormat="1" applyFont="1" applyFill="1" applyBorder="1" applyAlignment="1" applyProtection="1">
      <alignment horizontal="right" shrinkToFit="1"/>
      <protection locked="0"/>
    </xf>
    <xf numFmtId="3" fontId="90" fillId="3" borderId="18" xfId="0" applyNumberFormat="1" applyFont="1" applyFill="1" applyBorder="1" applyAlignment="1">
      <alignment horizontal="center" shrinkToFit="1"/>
    </xf>
    <xf numFmtId="3" fontId="90" fillId="3" borderId="24" xfId="0" applyNumberFormat="1" applyFont="1" applyFill="1" applyBorder="1" applyAlignment="1">
      <alignment horizontal="center" shrinkToFit="1"/>
    </xf>
    <xf numFmtId="3" fontId="90" fillId="3" borderId="18" xfId="0" applyNumberFormat="1" applyFont="1" applyFill="1" applyBorder="1" applyAlignment="1">
      <alignment horizontal="right" shrinkToFit="1"/>
    </xf>
    <xf numFmtId="38" fontId="90" fillId="16" borderId="2" xfId="0" applyNumberFormat="1" applyFont="1" applyFill="1" applyBorder="1" applyAlignment="1">
      <alignment horizontal="right" shrinkToFit="1"/>
    </xf>
    <xf numFmtId="38" fontId="90" fillId="3" borderId="24" xfId="0" applyNumberFormat="1" applyFont="1" applyFill="1" applyBorder="1" applyAlignment="1">
      <alignment horizontal="right" shrinkToFit="1"/>
    </xf>
    <xf numFmtId="38" fontId="90" fillId="16" borderId="26" xfId="0" applyNumberFormat="1" applyFont="1" applyFill="1" applyBorder="1" applyAlignment="1">
      <alignment horizontal="right" shrinkToFit="1"/>
    </xf>
    <xf numFmtId="38" fontId="90" fillId="3" borderId="76"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27" xfId="0" applyNumberFormat="1" applyFont="1" applyFill="1" applyBorder="1" applyAlignment="1">
      <alignment horizontal="right" shrinkToFit="1"/>
    </xf>
    <xf numFmtId="38" fontId="90" fillId="16" borderId="18" xfId="0" applyNumberFormat="1" applyFont="1" applyFill="1" applyBorder="1" applyAlignment="1">
      <alignment horizontal="right" shrinkToFit="1"/>
    </xf>
    <xf numFmtId="38" fontId="90" fillId="16" borderId="64" xfId="0" applyNumberFormat="1" applyFont="1" applyFill="1" applyBorder="1" applyAlignment="1">
      <alignment horizontal="right" shrinkToFit="1"/>
    </xf>
    <xf numFmtId="38" fontId="90" fillId="3" borderId="21" xfId="0" applyNumberFormat="1" applyFont="1" applyFill="1" applyBorder="1" applyAlignment="1">
      <alignment horizontal="right" shrinkToFit="1"/>
    </xf>
    <xf numFmtId="38" fontId="90" fillId="16" borderId="25" xfId="0" applyNumberFormat="1" applyFont="1" applyFill="1" applyBorder="1" applyAlignment="1">
      <alignment horizontal="right" shrinkToFit="1"/>
    </xf>
    <xf numFmtId="38" fontId="90" fillId="8" borderId="18" xfId="0" applyNumberFormat="1" applyFont="1" applyFill="1" applyBorder="1" applyAlignment="1" applyProtection="1">
      <alignment horizontal="right" shrinkToFit="1"/>
      <protection locked="0"/>
    </xf>
    <xf numFmtId="38" fontId="90" fillId="2" borderId="76" xfId="0" applyNumberFormat="1" applyFont="1" applyFill="1" applyBorder="1" applyAlignment="1">
      <alignment horizontal="right" shrinkToFit="1"/>
    </xf>
    <xf numFmtId="38" fontId="90" fillId="2" borderId="24" xfId="0" applyNumberFormat="1" applyFont="1" applyFill="1" applyBorder="1" applyAlignment="1">
      <alignment horizontal="right" shrinkToFit="1"/>
    </xf>
    <xf numFmtId="38" fontId="90" fillId="0" borderId="18" xfId="0" applyNumberFormat="1" applyFont="1" applyFill="1" applyBorder="1" applyAlignment="1" applyProtection="1">
      <alignment horizontal="right" shrinkToFit="1"/>
      <protection locked="0"/>
    </xf>
    <xf numFmtId="38" fontId="90" fillId="2" borderId="18" xfId="0" applyNumberFormat="1" applyFont="1" applyFill="1" applyBorder="1" applyAlignment="1">
      <alignment horizontal="right" shrinkToFit="1"/>
    </xf>
    <xf numFmtId="38" fontId="90" fillId="16" borderId="22" xfId="0" applyNumberFormat="1" applyFont="1" applyFill="1" applyBorder="1" applyAlignment="1">
      <alignment horizontal="right" shrinkToFit="1"/>
    </xf>
    <xf numFmtId="38" fontId="90" fillId="16" borderId="24" xfId="0" applyNumberFormat="1" applyFont="1" applyFill="1" applyBorder="1" applyAlignment="1">
      <alignment horizontal="right" shrinkToFit="1"/>
    </xf>
    <xf numFmtId="38" fontId="90" fillId="16" borderId="76" xfId="0" applyNumberFormat="1" applyFont="1" applyFill="1" applyBorder="1" applyAlignment="1">
      <alignment horizontal="right" shrinkToFit="1"/>
    </xf>
    <xf numFmtId="38" fontId="90" fillId="0" borderId="14" xfId="0" applyNumberFormat="1" applyFont="1" applyFill="1" applyBorder="1" applyAlignment="1">
      <alignment horizontal="right" shrinkToFit="1"/>
    </xf>
    <xf numFmtId="38" fontId="90" fillId="19" borderId="9" xfId="0" applyNumberFormat="1" applyFont="1" applyFill="1" applyBorder="1" applyAlignment="1">
      <alignment horizontal="right" shrinkToFit="1"/>
    </xf>
    <xf numFmtId="38" fontId="90" fillId="19" borderId="6" xfId="0" applyNumberFormat="1" applyFont="1" applyFill="1" applyBorder="1" applyAlignment="1">
      <alignment horizontal="right" shrinkToFit="1"/>
    </xf>
    <xf numFmtId="38" fontId="90" fillId="19" borderId="10" xfId="0" applyNumberFormat="1" applyFont="1" applyFill="1" applyBorder="1" applyAlignment="1">
      <alignment horizontal="right" shrinkToFit="1"/>
    </xf>
    <xf numFmtId="38" fontId="90" fillId="3" borderId="2" xfId="0" applyNumberFormat="1" applyFont="1" applyFill="1" applyBorder="1" applyAlignment="1">
      <alignment horizontal="right" shrinkToFit="1"/>
    </xf>
    <xf numFmtId="38" fontId="90" fillId="0" borderId="27" xfId="0" applyNumberFormat="1" applyFont="1" applyBorder="1" applyAlignment="1" applyProtection="1">
      <alignment horizontal="right" shrinkToFit="1"/>
      <protection locked="0"/>
    </xf>
    <xf numFmtId="38" fontId="90" fillId="16" borderId="2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2" borderId="27" xfId="0" applyNumberFormat="1" applyFont="1" applyFill="1" applyBorder="1" applyAlignment="1">
      <alignment horizontal="right" shrinkToFit="1"/>
    </xf>
    <xf numFmtId="38" fontId="90" fillId="15" borderId="17" xfId="0" applyNumberFormat="1" applyFont="1" applyFill="1" applyBorder="1" applyAlignment="1" applyProtection="1">
      <alignment horizontal="right" shrinkToFit="1"/>
    </xf>
    <xf numFmtId="38" fontId="90" fillId="15" borderId="17" xfId="0" applyNumberFormat="1" applyFont="1" applyFill="1" applyBorder="1" applyAlignment="1">
      <alignment horizontal="right" shrinkToFit="1"/>
    </xf>
    <xf numFmtId="38" fontId="90" fillId="15" borderId="24" xfId="0" applyNumberFormat="1" applyFont="1" applyFill="1" applyBorder="1" applyAlignment="1" applyProtection="1">
      <alignment horizontal="right" shrinkToFit="1"/>
    </xf>
    <xf numFmtId="38" fontId="90" fillId="15" borderId="24" xfId="0" applyNumberFormat="1" applyFont="1" applyFill="1" applyBorder="1" applyAlignment="1">
      <alignment horizontal="right" shrinkToFit="1"/>
    </xf>
    <xf numFmtId="38" fontId="90" fillId="14" borderId="9" xfId="0" applyNumberFormat="1" applyFont="1" applyFill="1" applyBorder="1" applyAlignment="1">
      <alignment horizontal="right" shrinkToFit="1"/>
    </xf>
    <xf numFmtId="38" fontId="90" fillId="14" borderId="6" xfId="0" applyNumberFormat="1" applyFont="1" applyFill="1" applyBorder="1" applyAlignment="1">
      <alignment horizontal="right" shrinkToFit="1"/>
    </xf>
    <xf numFmtId="38" fontId="90" fillId="14" borderId="10"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17" xfId="0" applyNumberFormat="1" applyFont="1" applyFill="1" applyBorder="1" applyAlignment="1">
      <alignment horizontal="right" shrinkToFit="1"/>
    </xf>
    <xf numFmtId="38" fontId="90" fillId="0" borderId="6" xfId="0" applyNumberFormat="1" applyFont="1" applyFill="1" applyBorder="1" applyAlignment="1">
      <alignment horizontal="right" shrinkToFit="1"/>
    </xf>
    <xf numFmtId="38" fontId="90" fillId="14" borderId="23" xfId="0" applyNumberFormat="1" applyFont="1" applyFill="1" applyBorder="1" applyAlignment="1">
      <alignment horizontal="right" shrinkToFit="1"/>
    </xf>
    <xf numFmtId="38" fontId="90" fillId="14" borderId="14" xfId="0" applyNumberFormat="1" applyFont="1" applyFill="1" applyBorder="1" applyAlignment="1">
      <alignment horizontal="right" shrinkToFit="1"/>
    </xf>
    <xf numFmtId="38" fontId="90" fillId="14" borderId="19" xfId="0" applyNumberFormat="1" applyFont="1" applyFill="1" applyBorder="1" applyAlignment="1">
      <alignment horizontal="right" shrinkToFit="1"/>
    </xf>
    <xf numFmtId="38" fontId="90" fillId="0" borderId="0" xfId="0" applyNumberFormat="1" applyFont="1" applyFill="1" applyBorder="1" applyAlignment="1">
      <alignment horizontal="right" shrinkToFit="1"/>
    </xf>
    <xf numFmtId="38" fontId="90" fillId="16" borderId="17" xfId="0" applyNumberFormat="1" applyFont="1" applyFill="1" applyBorder="1" applyAlignment="1">
      <alignment horizontal="right" shrinkToFit="1"/>
    </xf>
    <xf numFmtId="38" fontId="90" fillId="20" borderId="24" xfId="0" applyNumberFormat="1" applyFont="1" applyFill="1" applyBorder="1" applyAlignment="1">
      <alignment horizontal="right" shrinkToFit="1"/>
    </xf>
    <xf numFmtId="38" fontId="90" fillId="6" borderId="2" xfId="0" applyNumberFormat="1" applyFont="1" applyFill="1" applyBorder="1" applyAlignment="1">
      <alignment horizontal="right" shrinkToFit="1"/>
    </xf>
    <xf numFmtId="0" fontId="96" fillId="2" borderId="0" xfId="0" applyFont="1" applyFill="1" applyAlignment="1">
      <alignment vertical="center" shrinkToFit="1"/>
    </xf>
    <xf numFmtId="38" fontId="90" fillId="2" borderId="0" xfId="15" applyNumberFormat="1" applyFont="1" applyFill="1" applyBorder="1" applyAlignment="1" applyProtection="1">
      <alignment horizontal="right" shrinkToFit="1"/>
    </xf>
    <xf numFmtId="38" fontId="90" fillId="2" borderId="24" xfId="15" applyNumberFormat="1" applyFont="1" applyFill="1" applyBorder="1" applyAlignment="1" applyProtection="1">
      <alignment horizontal="right" shrinkToFit="1"/>
    </xf>
    <xf numFmtId="38" fontId="90" fillId="0" borderId="2" xfId="15" applyNumberFormat="1" applyFont="1" applyFill="1" applyBorder="1" applyAlignment="1" applyProtection="1">
      <alignment horizontal="right" shrinkToFit="1"/>
      <protection locked="0"/>
    </xf>
    <xf numFmtId="38" fontId="90" fillId="0" borderId="2" xfId="13" applyNumberFormat="1" applyFont="1" applyBorder="1" applyAlignment="1" applyProtection="1">
      <alignment shrinkToFit="1"/>
      <protection locked="0"/>
    </xf>
    <xf numFmtId="38" fontId="90" fillId="16" borderId="18" xfId="0" applyNumberFormat="1" applyFont="1" applyFill="1" applyBorder="1" applyAlignment="1" applyProtection="1">
      <alignment horizontal="right" vertical="center" shrinkToFit="1"/>
      <protection locked="0"/>
    </xf>
    <xf numFmtId="38" fontId="90" fillId="0" borderId="18" xfId="0" applyNumberFormat="1" applyFont="1" applyFill="1" applyBorder="1" applyAlignment="1" applyProtection="1">
      <alignment horizontal="right" vertical="center" shrinkToFit="1"/>
      <protection locked="0"/>
    </xf>
    <xf numFmtId="38" fontId="90" fillId="16" borderId="18" xfId="0" applyNumberFormat="1" applyFont="1" applyFill="1" applyBorder="1" applyAlignment="1" applyProtection="1">
      <alignment horizontal="right" vertical="center" shrinkToFit="1"/>
    </xf>
    <xf numFmtId="38" fontId="90" fillId="16" borderId="2" xfId="0" applyNumberFormat="1" applyFont="1" applyFill="1" applyBorder="1" applyAlignment="1" applyProtection="1">
      <alignment horizontal="right" vertical="center" shrinkToFit="1"/>
      <protection locked="0"/>
    </xf>
    <xf numFmtId="38" fontId="90" fillId="16" borderId="2" xfId="0" applyNumberFormat="1" applyFont="1" applyFill="1" applyBorder="1" applyAlignment="1" applyProtection="1">
      <alignment horizontal="right" vertical="center" shrinkToFit="1"/>
    </xf>
    <xf numFmtId="38" fontId="90" fillId="16" borderId="26" xfId="0" applyNumberFormat="1" applyFont="1" applyFill="1" applyBorder="1" applyAlignment="1" applyProtection="1">
      <alignment horizontal="right" vertical="center" shrinkToFit="1"/>
      <protection locked="0"/>
    </xf>
    <xf numFmtId="42" fontId="109" fillId="18" borderId="138" xfId="0" applyNumberFormat="1" applyFont="1" applyFill="1" applyBorder="1" applyAlignment="1" applyProtection="1">
      <alignment horizontal="right" shrinkToFit="1"/>
      <protection locked="0"/>
    </xf>
    <xf numFmtId="42" fontId="109" fillId="11" borderId="138" xfId="0" applyNumberFormat="1" applyFont="1" applyFill="1" applyBorder="1" applyAlignment="1">
      <alignment horizontal="right"/>
    </xf>
    <xf numFmtId="42" fontId="109" fillId="11" borderId="0" xfId="0" applyNumberFormat="1" applyFont="1" applyFill="1" applyBorder="1" applyAlignment="1" applyProtection="1">
      <alignment horizontal="right" shrinkToFit="1"/>
      <protection locked="0"/>
    </xf>
    <xf numFmtId="38" fontId="95" fillId="2" borderId="4" xfId="0" applyNumberFormat="1" applyFont="1" applyFill="1" applyBorder="1" applyAlignment="1" applyProtection="1">
      <alignment horizontal="center" vertical="center" wrapText="1"/>
      <protection hidden="1"/>
    </xf>
    <xf numFmtId="38" fontId="95" fillId="2" borderId="17" xfId="0" applyNumberFormat="1" applyFont="1" applyFill="1" applyBorder="1" applyAlignment="1" applyProtection="1">
      <alignment horizontal="center" vertical="center" wrapText="1"/>
      <protection hidden="1"/>
    </xf>
    <xf numFmtId="38" fontId="90" fillId="16" borderId="26" xfId="0" applyNumberFormat="1" applyFont="1" applyFill="1" applyBorder="1" applyAlignment="1" applyProtection="1">
      <alignment horizontal="right" vertical="center" shrinkToFit="1"/>
    </xf>
    <xf numFmtId="38" fontId="90" fillId="0" borderId="2" xfId="0" applyNumberFormat="1" applyFont="1" applyBorder="1" applyAlignment="1" applyProtection="1">
      <alignment horizontal="right" vertical="center" shrinkToFit="1"/>
      <protection locked="0"/>
    </xf>
    <xf numFmtId="38" fontId="90" fillId="0" borderId="2" xfId="16" applyNumberFormat="1" applyFont="1" applyFill="1" applyBorder="1" applyAlignment="1" applyProtection="1">
      <alignment horizontal="right" shrinkToFit="1"/>
      <protection locked="0"/>
    </xf>
    <xf numFmtId="3" fontId="90" fillId="0" borderId="2" xfId="16" applyNumberFormat="1" applyFont="1" applyFill="1" applyBorder="1" applyAlignment="1" applyProtection="1">
      <alignment horizontal="right" vertical="center" shrinkToFit="1"/>
      <protection locked="0"/>
    </xf>
    <xf numFmtId="38" fontId="90" fillId="16" borderId="2" xfId="16" applyNumberFormat="1" applyFont="1" applyFill="1" applyBorder="1" applyAlignment="1" applyProtection="1">
      <alignment horizontal="right" shrinkToFit="1"/>
    </xf>
    <xf numFmtId="38" fontId="90" fillId="0" borderId="2" xfId="16" applyNumberFormat="1" applyFont="1" applyFill="1" applyBorder="1" applyAlignment="1" applyProtection="1">
      <alignment horizontal="right" vertical="center" shrinkToFit="1"/>
      <protection locked="0"/>
    </xf>
    <xf numFmtId="0" fontId="90" fillId="0" borderId="2" xfId="0" applyFont="1" applyFill="1" applyBorder="1" applyAlignment="1" applyProtection="1">
      <alignment horizontal="right" shrinkToFit="1"/>
      <protection locked="0"/>
    </xf>
    <xf numFmtId="0" fontId="90" fillId="0" borderId="2" xfId="16" applyFont="1" applyFill="1" applyBorder="1" applyAlignment="1" applyProtection="1">
      <alignment horizontal="right" vertical="top" shrinkToFit="1"/>
      <protection locked="0"/>
    </xf>
    <xf numFmtId="38" fontId="90" fillId="0" borderId="2" xfId="16" applyNumberFormat="1" applyFont="1" applyFill="1" applyBorder="1" applyAlignment="1" applyProtection="1">
      <alignment horizontal="right" vertical="top" shrinkToFit="1"/>
      <protection locked="0"/>
    </xf>
    <xf numFmtId="38" fontId="90" fillId="0" borderId="2" xfId="16" quotePrefix="1" applyNumberFormat="1" applyFont="1" applyFill="1" applyBorder="1" applyAlignment="1" applyProtection="1">
      <alignment horizontal="right" shrinkToFit="1"/>
      <protection locked="0"/>
    </xf>
    <xf numFmtId="38" fontId="90" fillId="2" borderId="2" xfId="16" applyNumberFormat="1" applyFont="1" applyFill="1" applyBorder="1" applyAlignment="1" applyProtection="1">
      <alignment horizontal="right" shrinkToFit="1"/>
    </xf>
    <xf numFmtId="49" fontId="95" fillId="8" borderId="2" xfId="16" applyNumberFormat="1" applyFont="1" applyFill="1" applyBorder="1" applyAlignment="1" applyProtection="1">
      <alignment horizontal="center" vertical="center" wrapText="1"/>
    </xf>
    <xf numFmtId="38" fontId="90" fillId="0" borderId="11" xfId="0" applyNumberFormat="1" applyFont="1" applyBorder="1" applyAlignment="1" applyProtection="1">
      <alignment vertical="center" shrinkToFit="1"/>
      <protection locked="0"/>
    </xf>
    <xf numFmtId="38" fontId="90" fillId="0" borderId="11" xfId="0" applyNumberFormat="1" applyFont="1" applyFill="1" applyBorder="1" applyAlignment="1" applyProtection="1">
      <alignment horizontal="right" vertical="center" shrinkToFit="1"/>
      <protection locked="0"/>
    </xf>
    <xf numFmtId="38" fontId="90" fillId="2" borderId="30" xfId="0" applyNumberFormat="1" applyFont="1" applyFill="1" applyBorder="1" applyAlignment="1" applyProtection="1">
      <alignment vertical="center" shrinkToFit="1"/>
    </xf>
    <xf numFmtId="38" fontId="90" fillId="2" borderId="11" xfId="0" applyNumberFormat="1" applyFont="1" applyFill="1" applyBorder="1" applyAlignment="1" applyProtection="1">
      <alignment vertical="center" shrinkToFit="1"/>
    </xf>
    <xf numFmtId="38" fontId="90" fillId="2" borderId="30" xfId="0" applyNumberFormat="1" applyFont="1" applyFill="1" applyBorder="1" applyAlignment="1" applyProtection="1">
      <alignment horizontal="right" vertical="center" shrinkToFit="1"/>
    </xf>
    <xf numFmtId="38" fontId="90" fillId="2" borderId="31" xfId="0" applyNumberFormat="1" applyFont="1" applyFill="1" applyBorder="1" applyAlignment="1" applyProtection="1">
      <alignment vertical="center" shrinkToFit="1"/>
    </xf>
    <xf numFmtId="38" fontId="90" fillId="0" borderId="11" xfId="0" applyNumberFormat="1" applyFont="1" applyFill="1" applyBorder="1" applyAlignment="1" applyProtection="1">
      <alignment vertical="center" shrinkToFit="1"/>
      <protection locked="0"/>
    </xf>
    <xf numFmtId="38" fontId="90" fillId="2" borderId="31" xfId="0" applyNumberFormat="1" applyFont="1" applyFill="1" applyBorder="1" applyAlignment="1" applyProtection="1">
      <alignment horizontal="right" vertical="center" shrinkToFit="1"/>
    </xf>
    <xf numFmtId="38" fontId="90" fillId="2" borderId="11"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vertical="center" shrinkToFit="1"/>
    </xf>
    <xf numFmtId="38" fontId="90" fillId="0" borderId="29" xfId="0" applyNumberFormat="1" applyFont="1" applyBorder="1" applyAlignment="1" applyProtection="1">
      <alignment vertical="center" shrinkToFit="1"/>
      <protection locked="0"/>
    </xf>
    <xf numFmtId="38" fontId="90" fillId="16" borderId="68" xfId="0" applyNumberFormat="1" applyFont="1" applyFill="1" applyBorder="1" applyAlignment="1" applyProtection="1">
      <alignment vertical="center" shrinkToFit="1"/>
    </xf>
    <xf numFmtId="0" fontId="90" fillId="2" borderId="78" xfId="0" applyFont="1" applyFill="1" applyBorder="1" applyAlignment="1" applyProtection="1">
      <alignment horizontal="right" vertical="center" shrinkToFit="1"/>
    </xf>
    <xf numFmtId="0" fontId="90" fillId="2" borderId="39" xfId="0" applyFont="1" applyFill="1" applyBorder="1" applyAlignment="1" applyProtection="1">
      <alignment horizontal="right" vertical="center" shrinkToFit="1"/>
    </xf>
    <xf numFmtId="0" fontId="90" fillId="2" borderId="37" xfId="0" applyFont="1" applyFill="1" applyBorder="1" applyAlignment="1" applyProtection="1">
      <alignment horizontal="right" vertical="center" shrinkToFit="1"/>
    </xf>
    <xf numFmtId="38" fontId="90" fillId="3" borderId="30" xfId="0" applyNumberFormat="1" applyFont="1" applyFill="1" applyBorder="1" applyAlignment="1" applyProtection="1">
      <alignment vertical="center" shrinkToFit="1"/>
    </xf>
    <xf numFmtId="38" fontId="90" fillId="3" borderId="35" xfId="0" applyNumberFormat="1" applyFont="1" applyFill="1" applyBorder="1" applyAlignment="1" applyProtection="1">
      <alignment vertical="center" shrinkToFit="1"/>
    </xf>
    <xf numFmtId="38" fontId="90" fillId="3" borderId="31" xfId="0" applyNumberFormat="1" applyFont="1" applyFill="1" applyBorder="1" applyAlignment="1" applyProtection="1">
      <alignment horizontal="right" vertical="center" shrinkToFit="1"/>
    </xf>
    <xf numFmtId="38" fontId="90" fillId="3" borderId="35"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horizontal="right" vertical="center" shrinkToFit="1"/>
    </xf>
    <xf numFmtId="38" fontId="90" fillId="3" borderId="31" xfId="0" applyNumberFormat="1" applyFont="1" applyFill="1" applyBorder="1" applyAlignment="1" applyProtection="1">
      <alignment vertical="center" shrinkToFit="1"/>
    </xf>
    <xf numFmtId="38" fontId="90" fillId="16" borderId="68" xfId="0" applyNumberFormat="1" applyFont="1" applyFill="1" applyBorder="1" applyAlignment="1" applyProtection="1">
      <alignment horizontal="right" vertical="center" shrinkToFit="1"/>
    </xf>
    <xf numFmtId="38" fontId="90" fillId="0" borderId="31" xfId="0" applyNumberFormat="1" applyFont="1" applyFill="1" applyBorder="1" applyAlignment="1" applyProtection="1">
      <alignment horizontal="right" vertical="center" shrinkToFit="1"/>
      <protection locked="0"/>
    </xf>
    <xf numFmtId="38" fontId="90" fillId="16" borderId="79" xfId="0" applyNumberFormat="1" applyFont="1" applyFill="1" applyBorder="1" applyAlignment="1" applyProtection="1">
      <alignment shrinkToFit="1"/>
    </xf>
    <xf numFmtId="38" fontId="90" fillId="0" borderId="31" xfId="0" applyNumberFormat="1" applyFont="1" applyFill="1" applyBorder="1" applyAlignment="1" applyProtection="1">
      <alignment vertical="center" shrinkToFit="1"/>
      <protection locked="0"/>
    </xf>
    <xf numFmtId="38" fontId="90" fillId="0" borderId="35" xfId="0" applyNumberFormat="1" applyFont="1" applyFill="1" applyBorder="1" applyAlignment="1" applyProtection="1">
      <alignment horizontal="right" vertical="center" shrinkToFit="1"/>
      <protection locked="0"/>
    </xf>
    <xf numFmtId="38" fontId="90" fillId="0" borderId="3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shrinkToFit="1"/>
      <protection locked="0"/>
    </xf>
    <xf numFmtId="38" fontId="90" fillId="16" borderId="68" xfId="0" applyNumberFormat="1" applyFont="1" applyFill="1" applyBorder="1" applyAlignment="1" applyProtection="1">
      <alignment horizontal="right" shrinkToFit="1"/>
    </xf>
    <xf numFmtId="3" fontId="94" fillId="16" borderId="28" xfId="17" applyNumberFormat="1" applyFont="1" applyFill="1" applyBorder="1" applyAlignment="1" applyProtection="1">
      <alignment vertical="center" shrinkToFit="1"/>
    </xf>
    <xf numFmtId="3" fontId="94" fillId="16" borderId="33" xfId="17" applyNumberFormat="1" applyFont="1" applyFill="1" applyBorder="1" applyAlignment="1" applyProtection="1">
      <alignment vertical="center" shrinkToFit="1"/>
    </xf>
    <xf numFmtId="3" fontId="95" fillId="16" borderId="80" xfId="17" applyNumberFormat="1" applyFont="1" applyFill="1" applyBorder="1" applyAlignment="1" applyProtection="1">
      <alignment vertical="center" shrinkToFit="1"/>
    </xf>
    <xf numFmtId="0" fontId="94" fillId="0" borderId="0" xfId="17" applyFont="1" applyFill="1" applyAlignment="1">
      <alignment vertical="center" shrinkToFit="1"/>
    </xf>
    <xf numFmtId="0" fontId="94" fillId="0" borderId="0" xfId="17" applyFont="1" applyFill="1" applyBorder="1" applyAlignment="1">
      <alignment vertical="center" shrinkToFit="1"/>
    </xf>
    <xf numFmtId="38" fontId="94" fillId="16" borderId="28" xfId="17" applyNumberFormat="1" applyFont="1" applyFill="1" applyBorder="1" applyAlignment="1" applyProtection="1">
      <alignment horizontal="right" vertical="center" shrinkToFit="1"/>
    </xf>
    <xf numFmtId="38" fontId="94" fillId="16" borderId="0" xfId="17" applyNumberFormat="1" applyFont="1" applyFill="1" applyAlignment="1">
      <alignment vertical="top" shrinkToFit="1"/>
    </xf>
    <xf numFmtId="38" fontId="94" fillId="16" borderId="33" xfId="17" applyNumberFormat="1" applyFont="1" applyFill="1" applyBorder="1" applyAlignment="1" applyProtection="1">
      <alignment horizontal="right" vertical="center" shrinkToFit="1"/>
    </xf>
    <xf numFmtId="38" fontId="94" fillId="16" borderId="33" xfId="17" applyNumberFormat="1" applyFont="1" applyFill="1" applyBorder="1" applyAlignment="1" applyProtection="1">
      <alignment horizontal="right" shrinkToFit="1"/>
    </xf>
    <xf numFmtId="38" fontId="94" fillId="16"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38" fontId="94" fillId="16" borderId="33" xfId="17" applyNumberFormat="1" applyFont="1" applyFill="1" applyBorder="1" applyAlignment="1">
      <alignment horizontal="right" shrinkToFit="1"/>
    </xf>
    <xf numFmtId="38" fontId="94" fillId="16" borderId="33" xfId="17" applyNumberFormat="1" applyFont="1" applyFill="1" applyBorder="1" applyAlignment="1" applyProtection="1">
      <alignment horizontal="right" shrinkToFit="1"/>
    </xf>
    <xf numFmtId="38" fontId="95" fillId="16" borderId="12" xfId="17" applyNumberFormat="1" applyFont="1" applyFill="1" applyBorder="1" applyAlignment="1">
      <alignment horizontal="right" shrinkToFit="1"/>
    </xf>
    <xf numFmtId="38" fontId="94" fillId="16" borderId="81" xfId="17" applyNumberFormat="1" applyFont="1" applyFill="1" applyBorder="1" applyAlignment="1" applyProtection="1">
      <alignment horizontal="right" shrinkToFit="1"/>
    </xf>
    <xf numFmtId="40" fontId="94" fillId="0" borderId="28" xfId="17" applyNumberFormat="1" applyFont="1" applyFill="1" applyBorder="1" applyAlignment="1" applyProtection="1">
      <alignment horizontal="right" shrinkToFit="1"/>
      <protection locked="0"/>
    </xf>
    <xf numFmtId="40" fontId="95" fillId="16" borderId="12" xfId="17" applyNumberFormat="1" applyFont="1" applyFill="1" applyBorder="1" applyAlignment="1" applyProtection="1">
      <alignment horizontal="right" shrinkToFit="1"/>
    </xf>
    <xf numFmtId="4" fontId="95" fillId="0" borderId="0" xfId="17" applyNumberFormat="1" applyFont="1" applyFill="1" applyBorder="1" applyAlignment="1" applyProtection="1">
      <alignment vertical="center" shrinkToFit="1"/>
    </xf>
    <xf numFmtId="38" fontId="94" fillId="16" borderId="28" xfId="18" applyNumberFormat="1" applyFont="1" applyFill="1" applyBorder="1" applyAlignment="1" applyProtection="1">
      <alignment horizontal="right" shrinkToFit="1"/>
    </xf>
    <xf numFmtId="38" fontId="94" fillId="16" borderId="33" xfId="18" applyNumberFormat="1" applyFont="1" applyFill="1" applyBorder="1" applyAlignment="1" applyProtection="1">
      <alignment horizontal="right" shrinkToFit="1"/>
    </xf>
    <xf numFmtId="38" fontId="94" fillId="0" borderId="33" xfId="18" applyNumberFormat="1" applyFont="1" applyFill="1" applyBorder="1" applyAlignment="1" applyProtection="1">
      <alignment horizontal="right" shrinkToFit="1"/>
      <protection locked="0"/>
    </xf>
    <xf numFmtId="38" fontId="94" fillId="0" borderId="0" xfId="18" applyNumberFormat="1" applyFont="1" applyFill="1" applyAlignment="1">
      <alignment horizontal="right" shrinkToFit="1"/>
    </xf>
    <xf numFmtId="38" fontId="95" fillId="16" borderId="28" xfId="18" applyNumberFormat="1" applyFont="1" applyFill="1" applyBorder="1" applyAlignment="1" applyProtection="1">
      <alignment horizontal="right" shrinkToFit="1"/>
    </xf>
    <xf numFmtId="40" fontId="94" fillId="16" borderId="28" xfId="18" applyNumberFormat="1" applyFont="1" applyFill="1" applyBorder="1" applyAlignment="1" applyProtection="1">
      <alignment horizontal="right" shrinkToFit="1"/>
    </xf>
    <xf numFmtId="40" fontId="95" fillId="16" borderId="80" xfId="18" applyNumberFormat="1" applyFont="1" applyFill="1" applyBorder="1" applyAlignment="1" applyProtection="1">
      <alignment horizontal="right" shrinkToFit="1"/>
    </xf>
    <xf numFmtId="0" fontId="95" fillId="16" borderId="0" xfId="17" applyFont="1" applyFill="1" applyAlignment="1" applyProtection="1">
      <alignment horizontal="right" vertical="center"/>
      <protection hidden="1"/>
    </xf>
    <xf numFmtId="38" fontId="90" fillId="0" borderId="23" xfId="0" applyNumberFormat="1" applyFont="1" applyBorder="1" applyAlignment="1" applyProtection="1">
      <alignment vertical="center" shrinkToFit="1"/>
      <protection locked="0"/>
    </xf>
    <xf numFmtId="38" fontId="90" fillId="21" borderId="23" xfId="0" applyNumberFormat="1" applyFont="1" applyFill="1" applyBorder="1" applyAlignment="1" applyProtection="1">
      <alignment shrinkToFit="1"/>
      <protection locked="0"/>
    </xf>
    <xf numFmtId="0" fontId="90" fillId="16" borderId="10" xfId="0" applyFont="1" applyFill="1" applyBorder="1" applyAlignment="1">
      <alignment shrinkToFit="1"/>
    </xf>
    <xf numFmtId="37" fontId="90" fillId="16" borderId="10" xfId="0" applyNumberFormat="1" applyFont="1" applyFill="1" applyBorder="1" applyAlignment="1">
      <alignment shrinkToFit="1"/>
    </xf>
    <xf numFmtId="37" fontId="90" fillId="16" borderId="6" xfId="0" applyNumberFormat="1" applyFont="1" applyFill="1" applyBorder="1" applyAlignment="1">
      <alignment shrinkToFit="1"/>
    </xf>
    <xf numFmtId="0" fontId="90" fillId="16" borderId="19" xfId="0" applyFont="1" applyFill="1" applyBorder="1" applyAlignment="1">
      <alignment shrinkToFit="1"/>
    </xf>
    <xf numFmtId="0" fontId="90" fillId="16" borderId="14" xfId="0" applyFont="1" applyFill="1" applyBorder="1" applyAlignment="1">
      <alignment shrinkToFit="1"/>
    </xf>
    <xf numFmtId="37" fontId="90" fillId="16" borderId="19" xfId="0" applyNumberFormat="1" applyFont="1" applyFill="1" applyBorder="1" applyAlignment="1">
      <alignment shrinkToFit="1"/>
    </xf>
    <xf numFmtId="37" fontId="90" fillId="16" borderId="14" xfId="0" applyNumberFormat="1" applyFont="1" applyFill="1" applyBorder="1" applyAlignment="1">
      <alignment shrinkToFit="1"/>
    </xf>
    <xf numFmtId="38" fontId="90" fillId="16" borderId="19" xfId="0" applyNumberFormat="1" applyFont="1" applyFill="1" applyBorder="1" applyAlignment="1">
      <alignment shrinkToFit="1"/>
    </xf>
    <xf numFmtId="38" fontId="90" fillId="16" borderId="5" xfId="0" applyNumberFormat="1" applyFont="1" applyFill="1" applyBorder="1" applyAlignment="1">
      <alignment shrinkToFit="1"/>
    </xf>
    <xf numFmtId="10" fontId="89" fillId="16" borderId="19" xfId="0" applyNumberFormat="1" applyFont="1" applyFill="1" applyBorder="1" applyAlignment="1">
      <alignment horizontal="left" shrinkToFit="1"/>
    </xf>
    <xf numFmtId="0" fontId="139" fillId="14" borderId="0" xfId="7" applyFont="1" applyFill="1" applyAlignment="1" applyProtection="1">
      <alignment horizontal="centerContinuous" vertical="center"/>
      <protection hidden="1"/>
    </xf>
    <xf numFmtId="38" fontId="90" fillId="16" borderId="11" xfId="4" applyNumberFormat="1" applyFont="1" applyFill="1" applyBorder="1" applyAlignment="1">
      <alignment horizontal="right" vertical="center" shrinkToFit="1"/>
    </xf>
    <xf numFmtId="38" fontId="90" fillId="16" borderId="68" xfId="4" applyNumberFormat="1" applyFont="1" applyFill="1" applyBorder="1" applyAlignment="1">
      <alignment horizontal="right" vertical="center" shrinkToFit="1"/>
    </xf>
    <xf numFmtId="38" fontId="90" fillId="16" borderId="82"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90" fillId="16" borderId="79"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0" fontId="95" fillId="12" borderId="35" xfId="4" applyFont="1" applyFill="1" applyBorder="1" applyAlignment="1" applyProtection="1">
      <alignment horizontal="center"/>
      <protection hidden="1"/>
    </xf>
    <xf numFmtId="0" fontId="95" fillId="13" borderId="35" xfId="4" applyFont="1" applyFill="1" applyBorder="1" applyAlignment="1" applyProtection="1">
      <alignment horizontal="center"/>
      <protection hidden="1"/>
    </xf>
    <xf numFmtId="169" fontId="94" fillId="0" borderId="31" xfId="4" applyNumberFormat="1" applyFont="1" applyBorder="1" applyAlignment="1" applyProtection="1">
      <alignment horizontal="center" shrinkToFit="1"/>
      <protection locked="0"/>
    </xf>
    <xf numFmtId="1" fontId="94" fillId="0" borderId="31" xfId="4" applyNumberFormat="1" applyFont="1" applyBorder="1" applyAlignment="1" applyProtection="1">
      <alignment horizontal="center" shrinkToFit="1"/>
      <protection locked="0"/>
    </xf>
    <xf numFmtId="3" fontId="94" fillId="0" borderId="31" xfId="4" applyNumberFormat="1" applyFont="1" applyBorder="1" applyAlignment="1" applyProtection="1">
      <alignment horizontal="center" shrinkToFit="1"/>
      <protection locked="0"/>
    </xf>
    <xf numFmtId="169" fontId="94" fillId="0" borderId="11" xfId="4" applyNumberFormat="1" applyFont="1" applyBorder="1" applyAlignment="1" applyProtection="1">
      <alignment horizontal="center" shrinkToFit="1"/>
      <protection locked="0"/>
    </xf>
    <xf numFmtId="1" fontId="94" fillId="0" borderId="11" xfId="4" applyNumberFormat="1" applyFont="1" applyBorder="1" applyAlignment="1" applyProtection="1">
      <alignment horizontal="center" shrinkToFit="1"/>
      <protection locked="0"/>
    </xf>
    <xf numFmtId="3" fontId="94"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94" fillId="0" borderId="0" xfId="0" applyFont="1" applyFill="1" applyAlignment="1" applyProtection="1">
      <alignment horizontal="left" vertical="center"/>
      <protection hidden="1"/>
    </xf>
    <xf numFmtId="0" fontId="96" fillId="0" borderId="0" xfId="0" applyFont="1" applyFill="1" applyBorder="1" applyAlignment="1" applyProtection="1">
      <alignment vertical="center"/>
    </xf>
    <xf numFmtId="0" fontId="90" fillId="0" borderId="0" xfId="0" applyFont="1" applyFill="1" applyBorder="1" applyAlignment="1" applyProtection="1">
      <alignment horizontal="left" vertical="top"/>
    </xf>
    <xf numFmtId="0" fontId="96" fillId="0" borderId="0" xfId="0" applyFont="1" applyFill="1" applyBorder="1" applyAlignment="1">
      <alignment horizontal="left" vertical="top"/>
    </xf>
    <xf numFmtId="0" fontId="100" fillId="0" borderId="0" xfId="0" applyFont="1" applyFill="1" applyBorder="1" applyAlignment="1" applyProtection="1">
      <alignment vertical="center"/>
    </xf>
    <xf numFmtId="0" fontId="105" fillId="0" borderId="0" xfId="0" applyFont="1" applyFill="1" applyBorder="1" applyAlignment="1" applyProtection="1">
      <alignment horizontal="right"/>
      <protection hidden="1"/>
    </xf>
    <xf numFmtId="0" fontId="94" fillId="0" borderId="0" xfId="0" applyFont="1" applyFill="1" applyAlignment="1" applyProtection="1">
      <alignment vertical="center"/>
    </xf>
    <xf numFmtId="0" fontId="95" fillId="0" borderId="6" xfId="0" applyFont="1" applyFill="1" applyBorder="1" applyAlignment="1" applyProtection="1">
      <alignment horizontal="left" vertical="center" indent="2"/>
    </xf>
    <xf numFmtId="0" fontId="95" fillId="0" borderId="2" xfId="0" applyNumberFormat="1" applyFont="1" applyFill="1" applyBorder="1" applyAlignment="1" applyProtection="1">
      <alignment horizontal="center" vertical="center" wrapText="1"/>
      <protection hidden="1"/>
    </xf>
    <xf numFmtId="0" fontId="96" fillId="0" borderId="0" xfId="0" applyFont="1" applyFill="1" applyProtection="1"/>
    <xf numFmtId="0" fontId="89" fillId="0" borderId="31" xfId="0" applyFont="1" applyFill="1" applyBorder="1" applyAlignment="1" applyProtection="1">
      <alignment horizontal="center" vertical="center" wrapText="1"/>
      <protection hidden="1"/>
    </xf>
    <xf numFmtId="0" fontId="95" fillId="0" borderId="0" xfId="17" applyFont="1" applyFill="1" applyAlignment="1" applyProtection="1">
      <alignment vertical="center"/>
      <protection hidden="1"/>
    </xf>
    <xf numFmtId="0" fontId="95" fillId="0" borderId="0" xfId="18" applyFont="1" applyFill="1" applyAlignment="1">
      <alignment vertical="center"/>
    </xf>
    <xf numFmtId="0" fontId="95" fillId="0" borderId="0" xfId="18" applyFont="1" applyFill="1" applyAlignment="1">
      <alignment horizontal="right" vertical="center"/>
    </xf>
    <xf numFmtId="0" fontId="95" fillId="0" borderId="0" xfId="0" applyFont="1" applyFill="1" applyBorder="1" applyAlignment="1" applyProtection="1">
      <alignment horizontal="left" vertical="center"/>
      <protection hidden="1"/>
    </xf>
    <xf numFmtId="0" fontId="95" fillId="0" borderId="0" xfId="17" applyFont="1" applyFill="1" applyAlignment="1">
      <alignment vertical="center"/>
    </xf>
    <xf numFmtId="0" fontId="90" fillId="0" borderId="0" xfId="0" applyFont="1" applyFill="1"/>
    <xf numFmtId="0" fontId="142" fillId="0" borderId="0" xfId="7" applyFont="1" applyFill="1"/>
    <xf numFmtId="0" fontId="149" fillId="0" borderId="0" xfId="7" applyFont="1"/>
    <xf numFmtId="0" fontId="142" fillId="0" borderId="0" xfId="7" applyFont="1" applyProtection="1"/>
    <xf numFmtId="0" fontId="96" fillId="0" borderId="3" xfId="4" applyNumberFormat="1" applyFont="1" applyFill="1" applyBorder="1" applyAlignment="1" applyProtection="1">
      <alignment horizontal="centerContinuous" vertical="center"/>
      <protection hidden="1"/>
    </xf>
    <xf numFmtId="0" fontId="96" fillId="0" borderId="4" xfId="4" applyNumberFormat="1" applyFont="1" applyFill="1" applyBorder="1" applyAlignment="1" applyProtection="1">
      <alignment horizontal="centerContinuous" vertical="center"/>
      <protection hidden="1"/>
    </xf>
    <xf numFmtId="0" fontId="84" fillId="0" borderId="0" xfId="10" applyFont="1" applyAlignment="1">
      <alignment vertical="center"/>
    </xf>
    <xf numFmtId="182" fontId="84" fillId="0" borderId="0" xfId="10" applyNumberFormat="1" applyAlignment="1">
      <alignment vertical="center"/>
    </xf>
    <xf numFmtId="0" fontId="84" fillId="0" borderId="0" xfId="10" applyAlignment="1">
      <alignment vertical="center"/>
    </xf>
    <xf numFmtId="0" fontId="84" fillId="0" borderId="0" xfId="10"/>
    <xf numFmtId="0" fontId="84" fillId="0" borderId="0" xfId="10" applyAlignment="1">
      <alignment horizontal="center" vertical="center" wrapText="1"/>
    </xf>
    <xf numFmtId="182" fontId="84" fillId="0" borderId="0" xfId="10" applyNumberFormat="1" applyAlignment="1">
      <alignment horizontal="center" vertical="center" wrapText="1"/>
    </xf>
    <xf numFmtId="0" fontId="84" fillId="0" borderId="0" xfId="10" applyAlignment="1">
      <alignment horizontal="center" vertical="top" wrapText="1"/>
    </xf>
    <xf numFmtId="182" fontId="84" fillId="0" borderId="0" xfId="10" applyNumberFormat="1" applyAlignment="1">
      <alignment horizontal="center" vertical="top" wrapText="1"/>
    </xf>
    <xf numFmtId="0" fontId="150" fillId="0" borderId="71" xfId="10" applyFont="1" applyBorder="1" applyAlignment="1">
      <alignment horizontal="left" vertical="top"/>
    </xf>
    <xf numFmtId="182" fontId="144" fillId="0" borderId="72" xfId="10" applyNumberFormat="1" applyFont="1" applyBorder="1" applyAlignment="1">
      <alignment horizontal="center" vertical="top"/>
    </xf>
    <xf numFmtId="0" fontId="144" fillId="0" borderId="72" xfId="10" applyFont="1" applyBorder="1" applyAlignment="1">
      <alignment horizontal="center" vertical="top"/>
    </xf>
    <xf numFmtId="0" fontId="144" fillId="0" borderId="83" xfId="10" applyFont="1" applyBorder="1" applyAlignment="1">
      <alignment horizontal="center" vertical="top"/>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182" fontId="151" fillId="0" borderId="0" xfId="10" applyNumberFormat="1"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87" fillId="14" borderId="86" xfId="10" applyFont="1" applyFill="1" applyBorder="1" applyAlignment="1">
      <alignment horizontal="center" vertical="center" wrapText="1"/>
    </xf>
    <xf numFmtId="182" fontId="87" fillId="14" borderId="86" xfId="10" applyNumberFormat="1" applyFont="1" applyFill="1" applyBorder="1" applyAlignment="1">
      <alignment horizontal="center" vertical="center" wrapText="1"/>
    </xf>
    <xf numFmtId="38" fontId="87" fillId="14" borderId="86" xfId="10" applyNumberFormat="1" applyFont="1" applyFill="1" applyBorder="1" applyAlignment="1">
      <alignment horizontal="center" vertical="center" wrapText="1"/>
    </xf>
    <xf numFmtId="0" fontId="151" fillId="12" borderId="163" xfId="10" applyFont="1" applyFill="1" applyBorder="1" applyAlignment="1" applyProtection="1">
      <alignment horizontal="left" vertical="top" wrapText="1"/>
    </xf>
    <xf numFmtId="0" fontId="151" fillId="12" borderId="163" xfId="10" applyFont="1" applyFill="1" applyBorder="1" applyAlignment="1" applyProtection="1">
      <alignment vertical="top"/>
    </xf>
    <xf numFmtId="38" fontId="151" fillId="12" borderId="163" xfId="10" applyNumberFormat="1" applyFont="1" applyFill="1" applyBorder="1" applyAlignment="1" applyProtection="1">
      <alignment horizontal="right" vertical="top"/>
    </xf>
    <xf numFmtId="38" fontId="151" fillId="12" borderId="163" xfId="10" applyNumberFormat="1" applyFont="1" applyFill="1" applyBorder="1" applyAlignment="1" applyProtection="1">
      <alignment vertical="top"/>
    </xf>
    <xf numFmtId="0" fontId="84" fillId="0" borderId="163" xfId="10" applyFont="1" applyBorder="1" applyAlignment="1" applyProtection="1">
      <alignment vertical="top"/>
      <protection locked="0"/>
    </xf>
    <xf numFmtId="38" fontId="84" fillId="0" borderId="163" xfId="10" applyNumberFormat="1" applyBorder="1" applyAlignment="1" applyProtection="1">
      <alignment horizontal="right" vertical="top"/>
      <protection locked="0"/>
    </xf>
    <xf numFmtId="0" fontId="84" fillId="0" borderId="0" xfId="10" quotePrefix="1" applyNumberFormat="1" applyFont="1"/>
    <xf numFmtId="0" fontId="84" fillId="0" borderId="163" xfId="10" applyBorder="1" applyAlignment="1" applyProtection="1">
      <alignment horizontal="left" vertical="top" wrapText="1"/>
      <protection locked="0"/>
    </xf>
    <xf numFmtId="0" fontId="84" fillId="0" borderId="163" xfId="10" applyBorder="1" applyAlignment="1" applyProtection="1">
      <alignment vertical="top"/>
      <protection locked="0"/>
    </xf>
    <xf numFmtId="0" fontId="84" fillId="16" borderId="87" xfId="10" applyFill="1" applyBorder="1" applyAlignment="1" applyProtection="1">
      <alignment horizontal="left" vertical="top" wrapText="1"/>
    </xf>
    <xf numFmtId="0" fontId="84" fillId="16" borderId="87" xfId="10" applyFill="1" applyBorder="1" applyAlignment="1" applyProtection="1">
      <alignment vertical="top"/>
    </xf>
    <xf numFmtId="38" fontId="84" fillId="16" borderId="87" xfId="10" applyNumberFormat="1" applyFill="1" applyBorder="1" applyAlignment="1" applyProtection="1">
      <alignment horizontal="right" vertical="top"/>
    </xf>
    <xf numFmtId="38" fontId="84" fillId="16" borderId="87" xfId="10" applyNumberFormat="1" applyFont="1" applyFill="1" applyBorder="1" applyAlignment="1" applyProtection="1">
      <alignment horizontal="right" vertical="top"/>
    </xf>
    <xf numFmtId="38" fontId="84" fillId="16" borderId="87" xfId="10" applyNumberFormat="1" applyFill="1" applyBorder="1" applyAlignment="1" applyProtection="1">
      <alignment vertical="top"/>
    </xf>
    <xf numFmtId="0" fontId="84" fillId="0" borderId="0" xfId="10" applyAlignment="1">
      <alignment horizontal="left" vertical="top" wrapText="1"/>
    </xf>
    <xf numFmtId="182" fontId="84" fillId="0" borderId="0" xfId="10" applyNumberFormat="1" applyAlignment="1">
      <alignment vertical="top"/>
    </xf>
    <xf numFmtId="0" fontId="84" fillId="0" borderId="0" xfId="10" applyAlignment="1">
      <alignment vertical="top"/>
    </xf>
    <xf numFmtId="38" fontId="84" fillId="0" borderId="0" xfId="10" applyNumberFormat="1" applyAlignment="1">
      <alignment horizontal="right" vertical="top"/>
    </xf>
    <xf numFmtId="183" fontId="84" fillId="0" borderId="0" xfId="10" applyNumberFormat="1"/>
    <xf numFmtId="0" fontId="82" fillId="0" borderId="0" xfId="0" applyFont="1"/>
    <xf numFmtId="0" fontId="114" fillId="0" borderId="2" xfId="0" applyFont="1" applyBorder="1" applyAlignment="1">
      <alignment horizontal="left" wrapText="1"/>
    </xf>
    <xf numFmtId="0" fontId="152" fillId="0" borderId="85" xfId="10" applyFont="1" applyBorder="1" applyAlignment="1">
      <alignment vertical="top"/>
    </xf>
    <xf numFmtId="0" fontId="152" fillId="0" borderId="0" xfId="10" applyFont="1" applyBorder="1" applyAlignment="1">
      <alignment vertical="top"/>
    </xf>
    <xf numFmtId="41" fontId="109" fillId="18" borderId="138" xfId="0" applyNumberFormat="1" applyFont="1" applyFill="1" applyBorder="1" applyAlignment="1" applyProtection="1">
      <alignment horizontal="right" shrinkToFit="1"/>
      <protection locked="0"/>
    </xf>
    <xf numFmtId="41" fontId="109" fillId="11" borderId="0" xfId="0" applyNumberFormat="1" applyFont="1" applyFill="1" applyBorder="1" applyAlignment="1">
      <alignment horizontal="right" shrinkToFit="1"/>
    </xf>
    <xf numFmtId="38" fontId="84" fillId="16" borderId="163" xfId="10" applyNumberFormat="1" applyFill="1" applyBorder="1" applyAlignment="1" applyProtection="1">
      <alignment horizontal="right" vertical="top"/>
    </xf>
    <xf numFmtId="184" fontId="151" fillId="12" borderId="163" xfId="10" applyNumberFormat="1" applyFont="1" applyFill="1" applyBorder="1" applyAlignment="1" applyProtection="1">
      <alignment horizontal="center" vertical="top"/>
    </xf>
    <xf numFmtId="184" fontId="84" fillId="0" borderId="163" xfId="10" applyNumberFormat="1" applyFont="1" applyBorder="1" applyAlignment="1" applyProtection="1">
      <alignment horizontal="center" vertical="top"/>
      <protection locked="0"/>
    </xf>
    <xf numFmtId="184" fontId="84" fillId="0" borderId="163" xfId="10" applyNumberFormat="1" applyFont="1" applyBorder="1" applyAlignment="1" applyProtection="1">
      <alignment horizontal="center" vertical="center"/>
      <protection locked="0"/>
    </xf>
    <xf numFmtId="184" fontId="84" fillId="0" borderId="163" xfId="10" applyNumberFormat="1" applyBorder="1" applyAlignment="1" applyProtection="1">
      <alignment horizontal="center" vertical="center"/>
      <protection locked="0"/>
    </xf>
    <xf numFmtId="184" fontId="84" fillId="16" borderId="87" xfId="10" applyNumberFormat="1" applyFill="1" applyBorder="1" applyAlignment="1" applyProtection="1">
      <alignment vertical="top"/>
    </xf>
    <xf numFmtId="0" fontId="96" fillId="0" borderId="6" xfId="4" applyNumberFormat="1" applyFont="1" applyBorder="1" applyAlignment="1">
      <alignment vertical="center"/>
    </xf>
    <xf numFmtId="0" fontId="84" fillId="0" borderId="0" xfId="10" applyFont="1" applyAlignment="1">
      <alignment horizontal="left" vertical="center"/>
    </xf>
    <xf numFmtId="0" fontId="84" fillId="0" borderId="163" xfId="10" applyFont="1" applyBorder="1" applyAlignment="1" applyProtection="1">
      <alignment vertical="top"/>
      <protection locked="0"/>
    </xf>
    <xf numFmtId="0" fontId="95" fillId="0" borderId="35" xfId="4" applyFont="1" applyFill="1" applyBorder="1" applyAlignment="1" applyProtection="1">
      <alignment horizontal="center"/>
      <protection hidden="1"/>
    </xf>
    <xf numFmtId="0" fontId="96" fillId="0" borderId="0" xfId="4" applyFont="1" applyFill="1" applyAlignment="1" applyProtection="1">
      <alignment horizontal="center"/>
    </xf>
    <xf numFmtId="0" fontId="95" fillId="0" borderId="16" xfId="4" applyFont="1" applyFill="1" applyBorder="1" applyAlignment="1" applyProtection="1">
      <alignment horizontal="centerContinuous"/>
    </xf>
    <xf numFmtId="169" fontId="95" fillId="0" borderId="0" xfId="4" applyNumberFormat="1" applyFont="1" applyFill="1" applyProtection="1">
      <protection hidden="1"/>
    </xf>
    <xf numFmtId="0" fontId="96" fillId="0" borderId="0" xfId="4" applyFont="1" applyFill="1" applyProtection="1">
      <protection hidden="1"/>
    </xf>
    <xf numFmtId="0" fontId="105" fillId="0" borderId="0" xfId="4" applyFont="1" applyFill="1" applyBorder="1" applyAlignment="1" applyProtection="1">
      <alignment horizontal="right"/>
      <protection hidden="1"/>
    </xf>
    <xf numFmtId="164" fontId="3" fillId="0" borderId="2" xfId="16" applyNumberFormat="1" applyFont="1" applyFill="1" applyBorder="1" applyAlignment="1" applyProtection="1">
      <alignment horizontal="left" vertical="center"/>
      <protection locked="0"/>
    </xf>
    <xf numFmtId="177" fontId="3" fillId="0" borderId="2" xfId="16" applyNumberFormat="1" applyFont="1" applyFill="1" applyBorder="1" applyAlignment="1" applyProtection="1">
      <alignment horizontal="right"/>
      <protection locked="0"/>
    </xf>
    <xf numFmtId="38" fontId="8" fillId="0" borderId="2" xfId="16" applyNumberFormat="1" applyFont="1" applyFill="1" applyBorder="1" applyAlignment="1" applyProtection="1">
      <alignment horizontal="right" vertical="center"/>
      <protection locked="0"/>
    </xf>
    <xf numFmtId="3" fontId="8" fillId="0" borderId="2" xfId="16" applyNumberFormat="1" applyFont="1" applyFill="1" applyBorder="1" applyAlignment="1" applyProtection="1">
      <alignment horizontal="right" vertical="center"/>
      <protection locked="0"/>
    </xf>
    <xf numFmtId="38" fontId="8" fillId="0" borderId="2" xfId="16" applyNumberFormat="1" applyFont="1" applyFill="1" applyBorder="1" applyAlignment="1" applyProtection="1">
      <alignment horizontal="right"/>
      <protection locked="0"/>
    </xf>
    <xf numFmtId="0" fontId="84" fillId="0" borderId="163" xfId="10" applyFont="1" applyBorder="1" applyAlignment="1" applyProtection="1">
      <alignment horizontal="left" vertical="top" wrapText="1"/>
      <protection locked="0"/>
    </xf>
    <xf numFmtId="0" fontId="96" fillId="0" borderId="88" xfId="4" applyNumberFormat="1" applyFont="1" applyBorder="1" applyAlignment="1">
      <alignment vertical="center"/>
    </xf>
    <xf numFmtId="0" fontId="96" fillId="0" borderId="89" xfId="4" applyNumberFormat="1" applyFont="1" applyBorder="1" applyAlignment="1">
      <alignment vertical="center"/>
    </xf>
    <xf numFmtId="0" fontId="105" fillId="0" borderId="89" xfId="4" applyNumberFormat="1" applyFont="1" applyBorder="1" applyAlignment="1">
      <alignment horizontal="center" vertical="center"/>
    </xf>
    <xf numFmtId="0" fontId="105" fillId="0" borderId="89" xfId="4" applyNumberFormat="1" applyFont="1" applyBorder="1" applyAlignment="1">
      <alignment horizontal="left" vertical="center"/>
    </xf>
    <xf numFmtId="0" fontId="96" fillId="0" borderId="90" xfId="4" applyNumberFormat="1" applyFont="1" applyBorder="1" applyAlignment="1">
      <alignment vertical="center"/>
    </xf>
    <xf numFmtId="0" fontId="96" fillId="0" borderId="91" xfId="4" applyNumberFormat="1" applyFont="1" applyBorder="1" applyAlignment="1">
      <alignment vertical="center"/>
    </xf>
    <xf numFmtId="0" fontId="96" fillId="0" borderId="0" xfId="4" applyNumberFormat="1" applyFont="1" applyBorder="1" applyAlignment="1">
      <alignment horizontal="center" vertical="center"/>
    </xf>
    <xf numFmtId="0" fontId="105" fillId="0" borderId="0" xfId="4" applyNumberFormat="1" applyFont="1" applyBorder="1" applyAlignment="1">
      <alignment horizontal="left" vertical="center"/>
    </xf>
    <xf numFmtId="0" fontId="96" fillId="0" borderId="92" xfId="4" applyNumberFormat="1" applyFont="1" applyBorder="1" applyAlignment="1">
      <alignment vertical="center"/>
    </xf>
    <xf numFmtId="0" fontId="105" fillId="14" borderId="93" xfId="4" applyNumberFormat="1" applyFont="1" applyFill="1" applyBorder="1" applyAlignment="1">
      <alignment horizontal="left"/>
    </xf>
    <xf numFmtId="0" fontId="96" fillId="0" borderId="7" xfId="4" applyNumberFormat="1" applyFont="1" applyBorder="1" applyAlignment="1">
      <alignment horizontal="center" vertical="center"/>
    </xf>
    <xf numFmtId="0" fontId="96" fillId="0" borderId="0" xfId="4" applyNumberFormat="1" applyFont="1" applyBorder="1" applyAlignment="1">
      <alignment horizontal="right" vertical="center" indent="1"/>
    </xf>
    <xf numFmtId="0" fontId="96" fillId="14" borderId="94" xfId="4" applyNumberFormat="1" applyFont="1" applyFill="1" applyBorder="1" applyAlignment="1">
      <alignment vertical="center"/>
    </xf>
    <xf numFmtId="0" fontId="96" fillId="14" borderId="6" xfId="4" applyNumberFormat="1" applyFont="1" applyFill="1" applyBorder="1" applyAlignment="1">
      <alignment vertical="center"/>
    </xf>
    <xf numFmtId="0" fontId="96" fillId="14" borderId="10" xfId="4" applyNumberFormat="1" applyFont="1" applyFill="1" applyBorder="1" applyAlignment="1">
      <alignment vertical="center"/>
    </xf>
    <xf numFmtId="0" fontId="96" fillId="0" borderId="9" xfId="4" applyNumberFormat="1" applyFont="1" applyBorder="1" applyAlignment="1">
      <alignment vertical="center"/>
    </xf>
    <xf numFmtId="0" fontId="96" fillId="0" borderId="93" xfId="4" applyNumberFormat="1" applyFont="1" applyBorder="1" applyAlignment="1">
      <alignment vertical="center"/>
    </xf>
    <xf numFmtId="0" fontId="105" fillId="0" borderId="8" xfId="4" applyNumberFormat="1" applyFont="1" applyFill="1" applyBorder="1" applyAlignment="1" applyProtection="1">
      <alignment horizontal="centerContinuous" vertical="center"/>
      <protection hidden="1"/>
    </xf>
    <xf numFmtId="0" fontId="105" fillId="0" borderId="17" xfId="4" applyNumberFormat="1" applyFont="1" applyFill="1" applyBorder="1" applyAlignment="1" applyProtection="1">
      <alignment horizontal="centerContinuous" vertical="center"/>
      <protection hidden="1"/>
    </xf>
    <xf numFmtId="0" fontId="96" fillId="0" borderId="91" xfId="4" applyNumberFormat="1" applyFont="1" applyFill="1" applyBorder="1" applyAlignment="1">
      <alignment vertical="center"/>
    </xf>
    <xf numFmtId="0" fontId="96" fillId="0" borderId="0" xfId="4" applyNumberFormat="1" applyFont="1" applyFill="1" applyBorder="1" applyAlignment="1">
      <alignment vertical="center"/>
    </xf>
    <xf numFmtId="0" fontId="96" fillId="0" borderId="0" xfId="4" applyNumberFormat="1" applyFont="1" applyFill="1" applyBorder="1" applyAlignment="1">
      <alignment horizontal="center" vertical="center"/>
    </xf>
    <xf numFmtId="0" fontId="96" fillId="0" borderId="24" xfId="4" applyNumberFormat="1" applyFont="1" applyFill="1" applyBorder="1" applyAlignment="1">
      <alignment vertical="center"/>
    </xf>
    <xf numFmtId="0" fontId="105" fillId="0" borderId="4" xfId="4" applyNumberFormat="1" applyFont="1" applyBorder="1" applyAlignment="1">
      <alignment horizontal="center" vertical="center"/>
    </xf>
    <xf numFmtId="0" fontId="105" fillId="0" borderId="17" xfId="4" applyNumberFormat="1" applyFont="1" applyBorder="1" applyAlignment="1">
      <alignment horizontal="center" vertical="center"/>
    </xf>
    <xf numFmtId="0" fontId="105" fillId="0" borderId="17" xfId="11" quotePrefix="1" applyNumberFormat="1" applyFont="1" applyBorder="1" applyAlignment="1">
      <alignment horizontal="center" vertical="center"/>
    </xf>
    <xf numFmtId="0" fontId="96" fillId="0" borderId="17" xfId="4" applyNumberFormat="1" applyFont="1" applyBorder="1" applyAlignment="1">
      <alignment horizontal="center" vertical="center"/>
    </xf>
    <xf numFmtId="0" fontId="105" fillId="0" borderId="18" xfId="4" applyNumberFormat="1" applyFont="1" applyBorder="1" applyAlignment="1">
      <alignment horizontal="center" vertical="center" wrapText="1"/>
    </xf>
    <xf numFmtId="0" fontId="105" fillId="0" borderId="18" xfId="11" applyNumberFormat="1" applyFont="1" applyBorder="1" applyAlignment="1">
      <alignment horizontal="center" vertical="center" wrapText="1"/>
    </xf>
    <xf numFmtId="0" fontId="105" fillId="0" borderId="18" xfId="4" applyNumberFormat="1" applyFont="1" applyBorder="1" applyAlignment="1">
      <alignment horizontal="center" vertical="center"/>
    </xf>
    <xf numFmtId="164" fontId="105" fillId="0" borderId="95" xfId="4" applyNumberFormat="1" applyFont="1" applyBorder="1" applyAlignment="1">
      <alignment horizontal="right" vertical="center"/>
    </xf>
    <xf numFmtId="0" fontId="96" fillId="0" borderId="14" xfId="4" applyNumberFormat="1" applyFont="1" applyBorder="1" applyAlignment="1">
      <alignment horizontal="left" vertical="center"/>
    </xf>
    <xf numFmtId="0" fontId="96" fillId="0" borderId="2" xfId="4" applyNumberFormat="1" applyFont="1" applyBorder="1" applyAlignment="1">
      <alignment horizontal="left" vertical="center" indent="1"/>
    </xf>
    <xf numFmtId="38" fontId="96" fillId="22" borderId="2" xfId="4" applyNumberFormat="1" applyFont="1" applyFill="1" applyBorder="1" applyAlignment="1" applyProtection="1">
      <alignment vertical="center" shrinkToFit="1"/>
      <protection locked="0"/>
    </xf>
    <xf numFmtId="0" fontId="96" fillId="15" borderId="2" xfId="4" applyNumberFormat="1" applyFont="1" applyFill="1" applyBorder="1" applyAlignment="1">
      <alignment vertical="center" shrinkToFit="1"/>
    </xf>
    <xf numFmtId="38" fontId="96" fillId="16"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lignment vertical="center" shrinkToFit="1"/>
    </xf>
    <xf numFmtId="38" fontId="96" fillId="0" borderId="2" xfId="4" applyNumberFormat="1" applyFont="1" applyBorder="1" applyAlignment="1" applyProtection="1">
      <alignment vertical="center" shrinkToFit="1"/>
      <protection locked="0"/>
    </xf>
    <xf numFmtId="0" fontId="96" fillId="0" borderId="2" xfId="4" applyNumberFormat="1" applyFont="1" applyBorder="1" applyAlignment="1">
      <alignment horizontal="left" vertical="top" indent="1"/>
    </xf>
    <xf numFmtId="164" fontId="105" fillId="0" borderId="95" xfId="4" applyNumberFormat="1" applyFont="1" applyBorder="1" applyAlignment="1">
      <alignment vertical="top"/>
    </xf>
    <xf numFmtId="38" fontId="96" fillId="0"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pplyProtection="1">
      <alignment vertical="center" shrinkToFit="1"/>
    </xf>
    <xf numFmtId="0" fontId="105" fillId="0" borderId="14" xfId="4" applyNumberFormat="1" applyFont="1" applyBorder="1" applyAlignment="1">
      <alignment horizontal="left" vertical="center"/>
    </xf>
    <xf numFmtId="0" fontId="96" fillId="0" borderId="19" xfId="4" applyNumberFormat="1" applyFont="1" applyBorder="1" applyAlignment="1">
      <alignment horizontal="center" vertical="center"/>
    </xf>
    <xf numFmtId="38" fontId="96" fillId="16" borderId="26" xfId="4" applyNumberFormat="1" applyFont="1" applyFill="1" applyBorder="1" applyAlignment="1">
      <alignment vertical="center" shrinkToFit="1"/>
    </xf>
    <xf numFmtId="0" fontId="96" fillId="15" borderId="18" xfId="4" applyNumberFormat="1" applyFont="1" applyFill="1" applyBorder="1" applyAlignment="1">
      <alignment vertical="center" shrinkToFit="1"/>
    </xf>
    <xf numFmtId="9" fontId="96" fillId="16" borderId="18" xfId="4" applyNumberFormat="1" applyFont="1" applyFill="1" applyBorder="1" applyAlignment="1">
      <alignment horizontal="center" vertical="center" shrinkToFit="1"/>
    </xf>
    <xf numFmtId="0" fontId="96" fillId="0" borderId="91" xfId="4" applyNumberFormat="1" applyFont="1" applyBorder="1" applyAlignment="1">
      <alignment horizontal="right" vertical="center"/>
    </xf>
    <xf numFmtId="0" fontId="96" fillId="0" borderId="0" xfId="4" applyNumberFormat="1" applyFont="1" applyBorder="1" applyAlignment="1"/>
    <xf numFmtId="0" fontId="96" fillId="0" borderId="0" xfId="4" applyNumberFormat="1" applyFont="1" applyBorder="1" applyAlignment="1">
      <alignment horizontal="center" wrapText="1"/>
    </xf>
    <xf numFmtId="0" fontId="111" fillId="0" borderId="0" xfId="4" applyFont="1" applyBorder="1" applyAlignment="1">
      <alignment horizontal="center" vertical="center" wrapText="1"/>
    </xf>
    <xf numFmtId="0" fontId="96" fillId="0" borderId="0" xfId="4" applyNumberFormat="1" applyFont="1" applyFill="1" applyBorder="1" applyAlignment="1">
      <alignment vertical="center" shrinkToFit="1"/>
    </xf>
    <xf numFmtId="9" fontId="96" fillId="0" borderId="0" xfId="4" applyNumberFormat="1" applyFont="1" applyFill="1" applyBorder="1" applyAlignment="1">
      <alignment horizontal="center" vertical="center" shrinkToFit="1"/>
    </xf>
    <xf numFmtId="0" fontId="96" fillId="0" borderId="0" xfId="4" applyNumberFormat="1" applyFont="1" applyBorder="1" applyAlignment="1">
      <alignment horizontal="right" vertical="center"/>
    </xf>
    <xf numFmtId="0" fontId="105" fillId="0" borderId="91" xfId="4" applyNumberFormat="1" applyFont="1" applyBorder="1" applyAlignment="1">
      <alignment vertical="center"/>
    </xf>
    <xf numFmtId="0" fontId="96" fillId="0" borderId="91" xfId="4" applyNumberFormat="1" applyFont="1" applyFill="1" applyBorder="1" applyAlignment="1" applyProtection="1">
      <alignment vertical="center"/>
      <protection hidden="1"/>
    </xf>
    <xf numFmtId="0" fontId="96" fillId="0" borderId="0" xfId="4" applyNumberFormat="1" applyFont="1" applyFill="1" applyBorder="1" applyAlignment="1" applyProtection="1">
      <alignment horizontal="right" vertical="center"/>
      <protection hidden="1"/>
    </xf>
    <xf numFmtId="0" fontId="96" fillId="0" borderId="0" xfId="4" applyNumberFormat="1" applyFont="1" applyFill="1" applyBorder="1" applyAlignment="1" applyProtection="1">
      <alignment vertical="center"/>
      <protection hidden="1"/>
    </xf>
    <xf numFmtId="0" fontId="111" fillId="0" borderId="91" xfId="4" applyNumberFormat="1" applyFont="1" applyBorder="1" applyAlignment="1">
      <alignment vertical="center"/>
    </xf>
    <xf numFmtId="0" fontId="111" fillId="0" borderId="141" xfId="4" applyNumberFormat="1" applyFont="1" applyBorder="1" applyAlignment="1">
      <alignment horizontal="center" vertical="center"/>
    </xf>
    <xf numFmtId="0" fontId="111" fillId="0" borderId="0" xfId="4" applyNumberFormat="1" applyFont="1" applyBorder="1" applyAlignment="1">
      <alignment vertical="center" wrapText="1"/>
    </xf>
    <xf numFmtId="0" fontId="111" fillId="0" borderId="141" xfId="4" applyNumberFormat="1" applyFont="1" applyBorder="1" applyAlignment="1">
      <alignment horizontal="center"/>
    </xf>
    <xf numFmtId="0" fontId="111" fillId="0" borderId="0" xfId="4" applyNumberFormat="1" applyFont="1" applyBorder="1" applyAlignment="1"/>
    <xf numFmtId="0" fontId="105" fillId="0" borderId="0" xfId="4" applyNumberFormat="1" applyFont="1" applyBorder="1" applyAlignment="1">
      <alignment horizontal="right"/>
    </xf>
    <xf numFmtId="0" fontId="110" fillId="0" borderId="0" xfId="4" applyNumberFormat="1" applyFont="1" applyBorder="1" applyAlignment="1">
      <alignment vertical="center"/>
    </xf>
    <xf numFmtId="0" fontId="105" fillId="0" borderId="0" xfId="4" applyNumberFormat="1" applyFont="1" applyBorder="1" applyAlignment="1">
      <alignment vertical="center"/>
    </xf>
    <xf numFmtId="0" fontId="96" fillId="0" borderId="0" xfId="4" applyFont="1" applyFill="1" applyBorder="1" applyAlignment="1" applyProtection="1">
      <alignment horizontal="left" vertical="top" wrapText="1" indent="2"/>
      <protection hidden="1"/>
    </xf>
    <xf numFmtId="0" fontId="96" fillId="0" borderId="0" xfId="4" applyNumberFormat="1" applyFont="1" applyBorder="1" applyAlignment="1">
      <alignment horizontal="left" vertical="center" indent="2"/>
    </xf>
    <xf numFmtId="0" fontId="96" fillId="0" borderId="0" xfId="4" applyFont="1" applyBorder="1" applyAlignment="1">
      <alignment horizontal="left" wrapText="1" indent="2"/>
    </xf>
    <xf numFmtId="0" fontId="111" fillId="0" borderId="0" xfId="4" applyNumberFormat="1" applyFont="1" applyBorder="1" applyAlignment="1">
      <alignment horizontal="centerContinuous" vertical="center"/>
    </xf>
    <xf numFmtId="0" fontId="119" fillId="0" borderId="0" xfId="2" applyNumberFormat="1" applyFont="1" applyBorder="1" applyAlignment="1" applyProtection="1">
      <alignment horizontal="centerContinuous" vertical="center"/>
    </xf>
    <xf numFmtId="0" fontId="96" fillId="0" borderId="0" xfId="4" quotePrefix="1" applyNumberFormat="1" applyFont="1" applyFill="1" applyBorder="1" applyAlignment="1" applyProtection="1">
      <alignment horizontal="left" vertical="top" wrapText="1" indent="2"/>
      <protection hidden="1"/>
    </xf>
    <xf numFmtId="0" fontId="96" fillId="0" borderId="0" xfId="4" applyFont="1" applyBorder="1" applyAlignment="1">
      <alignment vertical="top" wrapText="1"/>
    </xf>
    <xf numFmtId="0" fontId="96" fillId="0" borderId="96" xfId="4" applyNumberFormat="1" applyFont="1" applyBorder="1" applyAlignment="1">
      <alignment vertical="center"/>
    </xf>
    <xf numFmtId="0" fontId="96" fillId="0" borderId="97" xfId="4" applyNumberFormat="1" applyFont="1" applyBorder="1" applyAlignment="1">
      <alignment vertical="center"/>
    </xf>
    <xf numFmtId="0" fontId="96" fillId="0" borderId="98" xfId="4" applyNumberFormat="1" applyFont="1" applyBorder="1" applyAlignment="1">
      <alignment vertical="center"/>
    </xf>
    <xf numFmtId="0" fontId="96" fillId="0" borderId="91" xfId="11" applyFont="1" applyBorder="1"/>
    <xf numFmtId="0" fontId="96" fillId="0" borderId="0" xfId="11" applyFont="1" applyBorder="1"/>
    <xf numFmtId="0" fontId="96" fillId="0" borderId="92" xfId="11" applyFont="1" applyBorder="1"/>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53" fillId="0" borderId="91" xfId="11" applyFont="1" applyBorder="1" applyAlignment="1"/>
    <xf numFmtId="0" fontId="118" fillId="0" borderId="0" xfId="11" applyFont="1" applyBorder="1"/>
    <xf numFmtId="0" fontId="150" fillId="0" borderId="0" xfId="11" applyFont="1" applyBorder="1" applyAlignment="1">
      <alignment wrapText="1"/>
    </xf>
    <xf numFmtId="0" fontId="150" fillId="0" borderId="92" xfId="11" applyFont="1" applyBorder="1" applyAlignment="1">
      <alignment wrapText="1"/>
    </xf>
    <xf numFmtId="0" fontId="96" fillId="23" borderId="57" xfId="11" applyFont="1" applyFill="1" applyBorder="1"/>
    <xf numFmtId="0" fontId="140" fillId="0" borderId="57" xfId="11" applyFont="1" applyBorder="1" applyAlignment="1">
      <alignment horizontal="center" wrapText="1"/>
    </xf>
    <xf numFmtId="0" fontId="96" fillId="23" borderId="57" xfId="11" applyFont="1" applyFill="1" applyBorder="1" applyAlignment="1">
      <alignment horizontal="center"/>
    </xf>
    <xf numFmtId="0" fontId="140" fillId="0" borderId="99" xfId="11" applyFont="1" applyBorder="1" applyAlignment="1">
      <alignment horizontal="center" wrapText="1"/>
    </xf>
    <xf numFmtId="0" fontId="96" fillId="0" borderId="164" xfId="11" applyFont="1" applyBorder="1" applyAlignment="1">
      <alignment horizontal="center"/>
    </xf>
    <xf numFmtId="38" fontId="105" fillId="22" borderId="165" xfId="11" applyNumberFormat="1" applyFont="1" applyFill="1" applyBorder="1" applyAlignment="1" applyProtection="1">
      <alignment horizontal="center"/>
      <protection locked="0"/>
    </xf>
    <xf numFmtId="38" fontId="96" fillId="23" borderId="0" xfId="11" applyNumberFormat="1" applyFont="1" applyFill="1" applyBorder="1" applyAlignment="1">
      <alignment horizontal="center"/>
    </xf>
    <xf numFmtId="38" fontId="96" fillId="0" borderId="166" xfId="11" applyNumberFormat="1" applyFont="1" applyBorder="1" applyAlignment="1" applyProtection="1">
      <alignment horizontal="center"/>
      <protection locked="0"/>
    </xf>
    <xf numFmtId="38" fontId="96" fillId="0" borderId="164" xfId="11" applyNumberFormat="1" applyFont="1" applyBorder="1" applyAlignment="1" applyProtection="1">
      <alignment horizontal="center"/>
      <protection locked="0"/>
    </xf>
    <xf numFmtId="38" fontId="105" fillId="16" borderId="167" xfId="11" applyNumberFormat="1" applyFont="1" applyFill="1" applyBorder="1" applyAlignment="1">
      <alignment horizontal="center" wrapText="1"/>
    </xf>
    <xf numFmtId="0" fontId="96" fillId="0" borderId="168" xfId="11" applyFont="1" applyBorder="1" applyAlignment="1">
      <alignment horizontal="center"/>
    </xf>
    <xf numFmtId="38" fontId="96" fillId="0" borderId="169" xfId="11" applyNumberFormat="1" applyFont="1" applyBorder="1" applyAlignment="1" applyProtection="1">
      <alignment horizontal="center"/>
      <protection locked="0"/>
    </xf>
    <xf numFmtId="38" fontId="96" fillId="0" borderId="168" xfId="11" applyNumberFormat="1" applyFont="1" applyBorder="1" applyAlignment="1" applyProtection="1">
      <alignment horizontal="center"/>
      <protection locked="0"/>
    </xf>
    <xf numFmtId="0" fontId="96" fillId="0" borderId="170" xfId="11" applyFont="1" applyBorder="1" applyAlignment="1">
      <alignment horizontal="center"/>
    </xf>
    <xf numFmtId="38" fontId="96" fillId="0" borderId="171" xfId="11" applyNumberFormat="1" applyFont="1" applyBorder="1" applyAlignment="1" applyProtection="1">
      <alignment horizontal="center"/>
      <protection locked="0"/>
    </xf>
    <xf numFmtId="38" fontId="96" fillId="0" borderId="170" xfId="11" applyNumberFormat="1" applyFont="1" applyBorder="1" applyAlignment="1" applyProtection="1">
      <alignment horizontal="center"/>
      <protection locked="0"/>
    </xf>
    <xf numFmtId="38" fontId="105" fillId="16" borderId="57" xfId="11" applyNumberFormat="1" applyFont="1" applyFill="1" applyBorder="1" applyAlignment="1">
      <alignment horizontal="center"/>
    </xf>
    <xf numFmtId="38" fontId="105" fillId="23" borderId="57" xfId="11" applyNumberFormat="1" applyFont="1" applyFill="1" applyBorder="1" applyAlignment="1">
      <alignment horizontal="center"/>
    </xf>
    <xf numFmtId="38" fontId="105" fillId="16" borderId="99" xfId="11" applyNumberFormat="1" applyFont="1" applyFill="1" applyBorder="1" applyAlignment="1">
      <alignment horizontal="center"/>
    </xf>
    <xf numFmtId="0" fontId="139" fillId="0" borderId="91" xfId="11" applyFont="1" applyBorder="1"/>
    <xf numFmtId="0" fontId="139" fillId="0" borderId="0" xfId="11" applyFont="1" applyBorder="1"/>
    <xf numFmtId="0" fontId="154" fillId="0" borderId="0" xfId="11" applyFont="1" applyBorder="1"/>
    <xf numFmtId="0" fontId="139" fillId="0" borderId="92" xfId="11" applyFont="1" applyBorder="1"/>
    <xf numFmtId="0" fontId="150" fillId="0" borderId="91" xfId="11" applyFont="1" applyBorder="1"/>
    <xf numFmtId="0" fontId="139" fillId="0" borderId="96" xfId="11" applyFont="1" applyBorder="1"/>
    <xf numFmtId="0" fontId="139" fillId="0" borderId="97" xfId="11" applyFont="1" applyBorder="1"/>
    <xf numFmtId="0" fontId="139" fillId="0" borderId="98" xfId="11" applyFont="1" applyBorder="1"/>
    <xf numFmtId="3" fontId="3" fillId="0" borderId="11" xfId="0" applyNumberFormat="1" applyFont="1" applyBorder="1" applyAlignment="1" applyProtection="1">
      <alignment horizontal="left" vertical="center" wrapText="1"/>
      <protection locked="0"/>
    </xf>
    <xf numFmtId="169" fontId="3" fillId="0" borderId="11" xfId="0" applyNumberFormat="1" applyFont="1" applyBorder="1" applyAlignment="1" applyProtection="1">
      <alignment horizontal="center"/>
      <protection locked="0"/>
    </xf>
    <xf numFmtId="3" fontId="94" fillId="0" borderId="30" xfId="4" applyNumberFormat="1" applyFont="1" applyBorder="1" applyAlignment="1" applyProtection="1">
      <alignment horizontal="center" shrinkToFit="1"/>
      <protection locked="0"/>
    </xf>
    <xf numFmtId="3" fontId="95" fillId="0" borderId="11" xfId="4" applyNumberFormat="1" applyFont="1" applyBorder="1" applyAlignment="1" applyProtection="1">
      <alignment horizontal="left" vertical="center" wrapText="1"/>
      <protection locked="0"/>
    </xf>
    <xf numFmtId="3" fontId="94" fillId="0" borderId="35" xfId="4" applyNumberFormat="1" applyFont="1" applyBorder="1" applyAlignment="1" applyProtection="1">
      <alignment horizontal="center" shrinkToFit="1"/>
      <protection locked="0"/>
    </xf>
    <xf numFmtId="0" fontId="155" fillId="0" borderId="57" xfId="0" applyFont="1" applyBorder="1" applyAlignment="1">
      <alignment horizontal="center"/>
    </xf>
    <xf numFmtId="169" fontId="95" fillId="0" borderId="11" xfId="4" applyNumberFormat="1" applyFont="1" applyBorder="1" applyAlignment="1" applyProtection="1">
      <alignment horizontal="center" shrinkToFit="1"/>
      <protection locked="0"/>
    </xf>
    <xf numFmtId="3" fontId="95" fillId="0" borderId="11" xfId="4" applyNumberFormat="1" applyFont="1" applyBorder="1" applyAlignment="1" applyProtection="1">
      <alignment horizontal="center" shrinkToFit="1"/>
      <protection locked="0"/>
    </xf>
    <xf numFmtId="1" fontId="95" fillId="0" borderId="11" xfId="4" applyNumberFormat="1" applyFont="1" applyBorder="1" applyAlignment="1" applyProtection="1">
      <alignment horizontal="center" shrinkToFit="1"/>
      <protection locked="0"/>
    </xf>
    <xf numFmtId="3" fontId="95" fillId="0" borderId="100" xfId="4" applyNumberFormat="1" applyFont="1" applyBorder="1" applyAlignment="1" applyProtection="1">
      <alignment horizontal="center" shrinkToFit="1"/>
      <protection locked="0"/>
    </xf>
    <xf numFmtId="0" fontId="94" fillId="0" borderId="172" xfId="0" applyFont="1" applyFill="1" applyBorder="1" applyAlignment="1">
      <alignment horizontal="left" wrapText="1"/>
    </xf>
    <xf numFmtId="0" fontId="89" fillId="0" borderId="0" xfId="4" applyFont="1" applyAlignment="1" applyProtection="1">
      <alignment horizontal="center" vertical="center"/>
    </xf>
    <xf numFmtId="0" fontId="89" fillId="0" borderId="0" xfId="4" applyFont="1" applyAlignment="1" applyProtection="1">
      <alignment horizontal="center" vertical="center"/>
    </xf>
    <xf numFmtId="15" fontId="96" fillId="0" borderId="0" xfId="4" applyNumberFormat="1" applyFont="1" applyBorder="1" applyProtection="1">
      <protection locked="0"/>
    </xf>
    <xf numFmtId="3" fontId="94" fillId="0" borderId="11" xfId="4" applyNumberFormat="1" applyFont="1" applyFill="1" applyBorder="1" applyAlignment="1" applyProtection="1">
      <alignment horizontal="center" shrinkToFit="1"/>
      <protection locked="0"/>
    </xf>
    <xf numFmtId="3" fontId="94" fillId="0" borderId="30" xfId="4" applyNumberFormat="1" applyFont="1" applyFill="1" applyBorder="1" applyAlignment="1" applyProtection="1">
      <alignment horizontal="center" shrinkToFit="1"/>
      <protection locked="0"/>
    </xf>
    <xf numFmtId="3" fontId="95" fillId="0" borderId="100" xfId="4" applyNumberFormat="1" applyFont="1" applyFill="1" applyBorder="1" applyAlignment="1" applyProtection="1">
      <alignment horizontal="center" shrinkToFit="1"/>
      <protection locked="0"/>
    </xf>
    <xf numFmtId="3" fontId="94" fillId="0" borderId="35" xfId="4" applyNumberFormat="1" applyFont="1" applyFill="1" applyBorder="1" applyAlignment="1" applyProtection="1">
      <alignment horizontal="center" shrinkToFit="1"/>
      <protection locked="0"/>
    </xf>
    <xf numFmtId="3" fontId="94" fillId="0" borderId="31" xfId="4" applyNumberFormat="1" applyFont="1" applyFill="1" applyBorder="1" applyAlignment="1" applyProtection="1">
      <alignment horizontal="center" shrinkToFit="1"/>
      <protection locked="0"/>
    </xf>
    <xf numFmtId="0" fontId="105" fillId="0" borderId="0" xfId="4" applyFont="1" applyAlignment="1" applyProtection="1">
      <alignment horizontal="center" vertical="center"/>
    </xf>
    <xf numFmtId="0" fontId="96" fillId="0" borderId="0" xfId="4" applyFont="1" applyBorder="1" applyAlignment="1" applyProtection="1">
      <alignment vertical="top" wrapText="1"/>
      <protection locked="0"/>
    </xf>
    <xf numFmtId="179" fontId="96" fillId="0" borderId="0" xfId="4" applyNumberFormat="1" applyFont="1" applyBorder="1" applyAlignment="1" applyProtection="1">
      <alignment vertical="top"/>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5" fillId="0" borderId="9" xfId="19" applyNumberFormat="1" applyFont="1" applyBorder="1" applyAlignment="1" applyProtection="1">
      <alignment horizontal="left" vertical="center"/>
      <protection locked="0"/>
    </xf>
    <xf numFmtId="0" fontId="5" fillId="0" borderId="6" xfId="0"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73" xfId="19" applyFont="1" applyBorder="1" applyAlignment="1" applyProtection="1">
      <alignment horizontal="left" vertical="center" indent="1"/>
      <protection locked="0"/>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7" xfId="19" applyNumberFormat="1"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9" applyNumberFormat="1" applyFont="1" applyBorder="1" applyAlignment="1" applyProtection="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9"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5" fillId="0" borderId="0" xfId="0" applyNumberFormat="1"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9" applyFont="1" applyBorder="1" applyAlignment="1" applyProtection="1">
      <alignment horizontal="center" vertical="center"/>
    </xf>
    <xf numFmtId="49" fontId="5" fillId="0" borderId="0" xfId="19" applyNumberFormat="1" applyFont="1" applyBorder="1" applyAlignment="1" applyProtection="1">
      <alignment horizontal="center" vertical="center"/>
    </xf>
    <xf numFmtId="0" fontId="6" fillId="0" borderId="9" xfId="19" applyFont="1" applyBorder="1" applyAlignment="1" applyProtection="1">
      <alignment vertical="center"/>
    </xf>
    <xf numFmtId="0" fontId="6" fillId="0" borderId="6"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26" fillId="0" borderId="7" xfId="19" applyNumberFormat="1" applyFont="1" applyBorder="1" applyAlignment="1" applyProtection="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0" fontId="156" fillId="0" borderId="0" xfId="19" applyFont="1" applyBorder="1" applyAlignment="1" applyProtection="1">
      <alignment horizontal="center" vertical="center" wrapText="1"/>
    </xf>
    <xf numFmtId="0" fontId="156" fillId="0" borderId="5" xfId="19" applyFont="1" applyBorder="1" applyAlignment="1" applyProtection="1">
      <alignment horizontal="center" vertical="center" wrapText="1"/>
    </xf>
    <xf numFmtId="0" fontId="156" fillId="0" borderId="6" xfId="19" applyFont="1" applyBorder="1" applyAlignment="1" applyProtection="1">
      <alignment horizontal="center" vertical="center" wrapText="1"/>
    </xf>
    <xf numFmtId="0" fontId="156" fillId="0" borderId="10" xfId="19" applyFont="1" applyBorder="1" applyAlignment="1" applyProtection="1">
      <alignment horizontal="center" vertical="center" wrapText="1"/>
    </xf>
    <xf numFmtId="0" fontId="89" fillId="0" borderId="0" xfId="0" applyFont="1" applyBorder="1" applyAlignment="1">
      <alignment horizontal="center" vertical="center"/>
    </xf>
    <xf numFmtId="0" fontId="89" fillId="0" borderId="0" xfId="0" applyFont="1" applyBorder="1" applyAlignment="1">
      <alignment horizontal="center"/>
    </xf>
    <xf numFmtId="0" fontId="25" fillId="0" borderId="0" xfId="2" applyBorder="1" applyAlignment="1" applyProtection="1">
      <alignment horizontal="center"/>
    </xf>
    <xf numFmtId="0" fontId="89" fillId="0" borderId="101" xfId="0" applyFont="1" applyBorder="1" applyAlignment="1">
      <alignment horizontal="center"/>
    </xf>
    <xf numFmtId="0" fontId="90" fillId="0" borderId="8" xfId="0" applyFont="1" applyBorder="1" applyAlignment="1" applyProtection="1">
      <alignment horizontal="left" vertical="top" wrapText="1"/>
      <protection locked="0"/>
    </xf>
    <xf numFmtId="0" fontId="90" fillId="0" borderId="3" xfId="0" applyFont="1" applyBorder="1" applyAlignment="1" applyProtection="1">
      <alignment horizontal="left" vertical="top" wrapText="1"/>
      <protection locked="0"/>
    </xf>
    <xf numFmtId="0" fontId="90" fillId="0" borderId="4"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0" fillId="0" borderId="0" xfId="0" applyFont="1" applyBorder="1" applyAlignment="1" applyProtection="1">
      <alignment horizontal="left" vertical="top" wrapText="1"/>
      <protection locked="0"/>
    </xf>
    <xf numFmtId="0" fontId="90" fillId="0" borderId="5" xfId="0" applyFont="1" applyBorder="1" applyAlignment="1" applyProtection="1">
      <alignment horizontal="left" vertical="top" wrapText="1"/>
      <protection locked="0"/>
    </xf>
    <xf numFmtId="0" fontId="90" fillId="0" borderId="9"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10" xfId="0" applyFont="1" applyBorder="1" applyAlignment="1" applyProtection="1">
      <alignment horizontal="left" vertical="top" wrapText="1"/>
      <protection locked="0"/>
    </xf>
    <xf numFmtId="0" fontId="143" fillId="18" borderId="174" xfId="0" applyFont="1" applyFill="1" applyBorder="1" applyAlignment="1">
      <alignment horizontal="center" vertical="center" shrinkToFit="1"/>
    </xf>
    <xf numFmtId="0" fontId="143" fillId="18" borderId="175" xfId="0" applyFont="1" applyFill="1" applyBorder="1" applyAlignment="1">
      <alignment horizontal="center" vertical="center" shrinkToFit="1"/>
    </xf>
    <xf numFmtId="0" fontId="94" fillId="24" borderId="176" xfId="0" applyFont="1" applyFill="1" applyBorder="1" applyAlignment="1" applyProtection="1">
      <alignment horizontal="center" vertical="center" shrinkToFit="1"/>
    </xf>
    <xf numFmtId="0" fontId="94" fillId="24" borderId="138" xfId="0" applyFont="1" applyFill="1" applyBorder="1" applyAlignment="1" applyProtection="1">
      <alignment horizontal="center" vertical="center" shrinkToFit="1"/>
    </xf>
    <xf numFmtId="0" fontId="94" fillId="24" borderId="137" xfId="0" applyFont="1" applyFill="1" applyBorder="1" applyAlignment="1" applyProtection="1">
      <alignment horizontal="center" vertical="center" shrinkToFit="1"/>
    </xf>
    <xf numFmtId="0" fontId="102" fillId="0" borderId="0" xfId="0" applyFont="1" applyBorder="1" applyAlignment="1" applyProtection="1">
      <alignment horizontal="center" vertical="center"/>
    </xf>
    <xf numFmtId="0" fontId="90" fillId="0" borderId="8" xfId="4" applyFont="1" applyBorder="1" applyAlignment="1" applyProtection="1">
      <alignment horizontal="left" vertical="top"/>
      <protection locked="0"/>
    </xf>
    <xf numFmtId="0" fontId="90" fillId="0" borderId="3" xfId="4" applyFont="1" applyBorder="1" applyAlignment="1" applyProtection="1">
      <alignment horizontal="left" vertical="top"/>
      <protection locked="0"/>
    </xf>
    <xf numFmtId="0" fontId="90" fillId="0" borderId="4" xfId="4" applyFont="1" applyBorder="1" applyAlignment="1" applyProtection="1">
      <alignment horizontal="left" vertical="top"/>
      <protection locked="0"/>
    </xf>
    <xf numFmtId="0" fontId="90" fillId="0" borderId="7" xfId="4" applyFont="1" applyBorder="1" applyAlignment="1" applyProtection="1">
      <alignment horizontal="left" vertical="top"/>
      <protection locked="0"/>
    </xf>
    <xf numFmtId="0" fontId="90" fillId="0" borderId="0" xfId="4" applyFont="1" applyBorder="1" applyAlignment="1" applyProtection="1">
      <alignment horizontal="left" vertical="top"/>
      <protection locked="0"/>
    </xf>
    <xf numFmtId="0" fontId="90" fillId="0" borderId="5" xfId="4" applyFont="1" applyBorder="1" applyAlignment="1" applyProtection="1">
      <alignment horizontal="left" vertical="top"/>
      <protection locked="0"/>
    </xf>
    <xf numFmtId="0" fontId="90" fillId="0" borderId="9" xfId="4" applyFont="1" applyBorder="1" applyAlignment="1" applyProtection="1">
      <alignment horizontal="left" vertical="top"/>
      <protection locked="0"/>
    </xf>
    <xf numFmtId="0" fontId="90" fillId="0" borderId="6" xfId="4" applyFont="1" applyBorder="1" applyAlignment="1" applyProtection="1">
      <alignment horizontal="left" vertical="top"/>
      <protection locked="0"/>
    </xf>
    <xf numFmtId="0" fontId="90" fillId="0" borderId="10" xfId="4" applyFont="1" applyBorder="1" applyAlignment="1" applyProtection="1">
      <alignment horizontal="left" vertical="top"/>
      <protection locked="0"/>
    </xf>
    <xf numFmtId="0" fontId="89" fillId="0" borderId="177" xfId="4" applyFont="1" applyBorder="1" applyAlignment="1" applyProtection="1">
      <alignment horizontal="center"/>
      <protection locked="0"/>
    </xf>
    <xf numFmtId="0" fontId="104" fillId="0" borderId="0" xfId="4" applyFont="1" applyBorder="1" applyAlignment="1">
      <alignment horizontal="left" vertical="top" wrapText="1"/>
    </xf>
    <xf numFmtId="0" fontId="111" fillId="0" borderId="0" xfId="4" applyFont="1" applyBorder="1" applyAlignment="1">
      <alignment horizontal="left" vertical="top" wrapText="1"/>
    </xf>
    <xf numFmtId="0" fontId="111" fillId="0" borderId="0" xfId="4" applyFont="1" applyAlignment="1">
      <alignment horizontal="left" vertical="top" wrapText="1"/>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5" fillId="0" borderId="0" xfId="0" applyFont="1" applyAlignment="1">
      <alignment horizontal="left" vertical="center"/>
    </xf>
    <xf numFmtId="0" fontId="106" fillId="0" borderId="0" xfId="0" applyFont="1" applyAlignment="1">
      <alignment horizontal="left" vertical="center"/>
    </xf>
    <xf numFmtId="0" fontId="96" fillId="0" borderId="0" xfId="0" applyFont="1" applyAlignment="1">
      <alignment horizontal="left" vertical="center"/>
    </xf>
    <xf numFmtId="0" fontId="89" fillId="25" borderId="0" xfId="0" applyFont="1" applyFill="1" applyBorder="1" applyAlignment="1" applyProtection="1">
      <alignment horizontal="center" vertical="center"/>
    </xf>
    <xf numFmtId="0" fontId="89" fillId="25" borderId="139"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38" fontId="89" fillId="0" borderId="102" xfId="0" applyNumberFormat="1" applyFont="1" applyBorder="1" applyAlignment="1" applyProtection="1">
      <alignment horizontal="left" vertical="top" wrapText="1"/>
      <protection locked="0"/>
    </xf>
    <xf numFmtId="0" fontId="89" fillId="0" borderId="103" xfId="0" applyFont="1" applyBorder="1" applyAlignment="1" applyProtection="1">
      <alignment wrapText="1"/>
      <protection locked="0"/>
    </xf>
    <xf numFmtId="0" fontId="89" fillId="0" borderId="104" xfId="0" applyFont="1" applyBorder="1" applyAlignment="1" applyProtection="1">
      <alignment wrapText="1"/>
      <protection locked="0"/>
    </xf>
    <xf numFmtId="0" fontId="89" fillId="0" borderId="105" xfId="0" applyFont="1" applyBorder="1" applyAlignment="1" applyProtection="1">
      <alignment wrapText="1"/>
      <protection locked="0"/>
    </xf>
    <xf numFmtId="0" fontId="89" fillId="0" borderId="0" xfId="0" applyFont="1" applyAlignment="1" applyProtection="1">
      <alignment wrapText="1"/>
      <protection locked="0"/>
    </xf>
    <xf numFmtId="0" fontId="89" fillId="0" borderId="106" xfId="0" applyFont="1" applyBorder="1" applyAlignment="1" applyProtection="1">
      <alignment wrapText="1"/>
      <protection locked="0"/>
    </xf>
    <xf numFmtId="0" fontId="89" fillId="0" borderId="107" xfId="0" applyFont="1" applyBorder="1" applyAlignment="1" applyProtection="1">
      <alignment wrapText="1"/>
      <protection locked="0"/>
    </xf>
    <xf numFmtId="0" fontId="89" fillId="0" borderId="108" xfId="0" applyFont="1" applyBorder="1" applyAlignment="1" applyProtection="1">
      <alignment wrapText="1"/>
      <protection locked="0"/>
    </xf>
    <xf numFmtId="0" fontId="89" fillId="0" borderId="109" xfId="0" applyFont="1" applyBorder="1" applyAlignment="1" applyProtection="1">
      <alignment wrapText="1"/>
      <protection locked="0"/>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166" fontId="94" fillId="0" borderId="0" xfId="0" applyNumberFormat="1" applyFont="1" applyBorder="1" applyAlignment="1" applyProtection="1">
      <alignment horizontal="left" vertical="center"/>
    </xf>
    <xf numFmtId="166" fontId="96" fillId="0" borderId="0" xfId="0" applyNumberFormat="1" applyFont="1" applyAlignment="1">
      <alignment horizontal="left" vertical="center"/>
    </xf>
    <xf numFmtId="0" fontId="94" fillId="0" borderId="0" xfId="0" applyFont="1" applyBorder="1" applyAlignment="1" applyProtection="1">
      <alignment wrapText="1"/>
    </xf>
    <xf numFmtId="0" fontId="94" fillId="0" borderId="0" xfId="0" applyFont="1" applyAlignment="1" applyProtection="1">
      <alignment horizontal="left" vertical="center"/>
    </xf>
    <xf numFmtId="0" fontId="94" fillId="0" borderId="0" xfId="0" applyFont="1" applyAlignment="1">
      <alignment horizontal="left" vertical="center"/>
    </xf>
    <xf numFmtId="0" fontId="94" fillId="0" borderId="0" xfId="0" applyFont="1" applyBorder="1" applyAlignment="1" applyProtection="1">
      <alignment vertical="top" wrapText="1"/>
    </xf>
    <xf numFmtId="0" fontId="94" fillId="0" borderId="0" xfId="0" applyFont="1" applyAlignment="1">
      <alignment wrapText="1"/>
    </xf>
    <xf numFmtId="0" fontId="103" fillId="0" borderId="0" xfId="0" applyFont="1" applyAlignment="1">
      <alignment horizontal="center" vertical="center"/>
    </xf>
    <xf numFmtId="0" fontId="96" fillId="0" borderId="0" xfId="0" applyFont="1" applyAlignment="1">
      <alignment horizontal="center" vertical="center"/>
    </xf>
    <xf numFmtId="0" fontId="91" fillId="0" borderId="0" xfId="2" applyFont="1" applyAlignment="1" applyProtection="1">
      <alignment horizontal="center" vertical="center"/>
    </xf>
    <xf numFmtId="0" fontId="89" fillId="0" borderId="4" xfId="0" applyFont="1" applyFill="1" applyBorder="1" applyAlignment="1" applyProtection="1">
      <alignment horizontal="center" vertical="center" wrapText="1"/>
    </xf>
    <xf numFmtId="0" fontId="89" fillId="0" borderId="10" xfId="0" applyFont="1" applyFill="1" applyBorder="1" applyAlignment="1" applyProtection="1">
      <alignment horizontal="center" vertical="center" wrapText="1"/>
    </xf>
    <xf numFmtId="3" fontId="95" fillId="14" borderId="23" xfId="0" applyNumberFormat="1" applyFont="1" applyFill="1" applyBorder="1" applyAlignment="1" applyProtection="1">
      <alignment horizontal="left" vertical="center"/>
    </xf>
    <xf numFmtId="3" fontId="95" fillId="14" borderId="19" xfId="0" applyNumberFormat="1" applyFont="1" applyFill="1" applyBorder="1" applyAlignment="1" applyProtection="1">
      <alignment horizontal="left" vertical="center"/>
    </xf>
    <xf numFmtId="164" fontId="95" fillId="14" borderId="20" xfId="0" applyNumberFormat="1" applyFont="1" applyFill="1" applyBorder="1" applyAlignment="1" applyProtection="1">
      <alignment horizontal="left" vertical="center"/>
    </xf>
    <xf numFmtId="164" fontId="95" fillId="14" borderId="21" xfId="0" applyNumberFormat="1" applyFont="1" applyFill="1" applyBorder="1" applyAlignment="1" applyProtection="1">
      <alignment horizontal="left" vertical="center"/>
    </xf>
    <xf numFmtId="0" fontId="95" fillId="14" borderId="62" xfId="0" applyFont="1" applyFill="1" applyBorder="1" applyAlignment="1" applyProtection="1">
      <alignment horizontal="left" vertical="center"/>
    </xf>
    <xf numFmtId="0" fontId="95" fillId="14" borderId="21" xfId="0" applyFont="1" applyFill="1" applyBorder="1" applyAlignment="1" applyProtection="1">
      <alignment horizontal="left" vertical="center"/>
    </xf>
    <xf numFmtId="164" fontId="95" fillId="14" borderId="23" xfId="0" applyNumberFormat="1" applyFont="1" applyFill="1" applyBorder="1" applyAlignment="1" applyProtection="1">
      <alignment horizontal="left" vertical="center"/>
    </xf>
    <xf numFmtId="164" fontId="95" fillId="14" borderId="19" xfId="0" applyNumberFormat="1" applyFont="1" applyFill="1" applyBorder="1" applyAlignment="1" applyProtection="1">
      <alignment horizontal="left" vertical="center"/>
    </xf>
    <xf numFmtId="49" fontId="95" fillId="14" borderId="23" xfId="0" applyNumberFormat="1" applyFont="1" applyFill="1" applyBorder="1" applyAlignment="1" applyProtection="1">
      <alignment horizontal="left" vertical="center"/>
    </xf>
    <xf numFmtId="49" fontId="95" fillId="14" borderId="19" xfId="0" applyNumberFormat="1" applyFont="1" applyFill="1" applyBorder="1" applyAlignment="1" applyProtection="1">
      <alignment horizontal="left" vertical="center"/>
    </xf>
    <xf numFmtId="0" fontId="95" fillId="14" borderId="23" xfId="0" applyFont="1" applyFill="1" applyBorder="1" applyAlignment="1" applyProtection="1">
      <alignment vertical="center"/>
    </xf>
    <xf numFmtId="0" fontId="95" fillId="14" borderId="19" xfId="0" applyFont="1" applyFill="1" applyBorder="1" applyAlignment="1" applyProtection="1">
      <alignment vertical="center"/>
    </xf>
    <xf numFmtId="164" fontId="95" fillId="16" borderId="23" xfId="0" applyNumberFormat="1" applyFont="1" applyFill="1" applyBorder="1" applyAlignment="1" applyProtection="1">
      <alignment horizontal="left" vertical="center" wrapText="1" indent="2"/>
    </xf>
    <xf numFmtId="164" fontId="95" fillId="16" borderId="19" xfId="0" applyNumberFormat="1" applyFont="1" applyFill="1" applyBorder="1" applyAlignment="1" applyProtection="1">
      <alignment horizontal="left" vertical="center" wrapText="1" indent="2"/>
    </xf>
    <xf numFmtId="164" fontId="95" fillId="10" borderId="23" xfId="0" applyNumberFormat="1" applyFont="1" applyFill="1" applyBorder="1" applyAlignment="1" applyProtection="1">
      <alignment horizontal="left" vertical="center" wrapText="1"/>
    </xf>
    <xf numFmtId="164" fontId="95" fillId="10" borderId="19" xfId="0" applyNumberFormat="1" applyFont="1" applyFill="1" applyBorder="1" applyAlignment="1" applyProtection="1">
      <alignment horizontal="left" vertical="center" wrapText="1"/>
    </xf>
    <xf numFmtId="164" fontId="95" fillId="2" borderId="23" xfId="0" applyNumberFormat="1" applyFont="1" applyFill="1" applyBorder="1" applyAlignment="1" applyProtection="1">
      <alignment horizontal="left" vertical="center" wrapText="1" indent="1"/>
    </xf>
    <xf numFmtId="164" fontId="95" fillId="2" borderId="19" xfId="0" applyNumberFormat="1" applyFont="1" applyFill="1" applyBorder="1" applyAlignment="1" applyProtection="1">
      <alignment horizontal="left" vertical="center" wrapText="1" indent="1"/>
    </xf>
    <xf numFmtId="164" fontId="95" fillId="16" borderId="61" xfId="0" applyNumberFormat="1" applyFont="1" applyFill="1" applyBorder="1" applyAlignment="1" applyProtection="1">
      <alignment horizontal="left" vertical="center" wrapText="1" indent="2"/>
    </xf>
    <xf numFmtId="164" fontId="95" fillId="16" borderId="64" xfId="0" applyNumberFormat="1" applyFont="1" applyFill="1" applyBorder="1" applyAlignment="1" applyProtection="1">
      <alignment horizontal="left" vertical="center" wrapText="1" indent="2"/>
    </xf>
    <xf numFmtId="0" fontId="95" fillId="16" borderId="60" xfId="0" applyFont="1" applyFill="1" applyBorder="1" applyAlignment="1" applyProtection="1">
      <alignment horizontal="left" vertical="center" indent="2"/>
    </xf>
    <xf numFmtId="0" fontId="95" fillId="16" borderId="67" xfId="0" applyFont="1" applyFill="1" applyBorder="1" applyAlignment="1" applyProtection="1">
      <alignment horizontal="left" vertical="center" indent="2"/>
    </xf>
    <xf numFmtId="0" fontId="95" fillId="16" borderId="66" xfId="0" applyFont="1" applyFill="1" applyBorder="1" applyAlignment="1" applyProtection="1">
      <alignment horizontal="left" vertical="center" indent="2"/>
      <protection hidden="1"/>
    </xf>
    <xf numFmtId="0" fontId="95" fillId="16" borderId="64" xfId="0" applyFont="1" applyFill="1" applyBorder="1" applyAlignment="1" applyProtection="1">
      <alignment horizontal="left" vertical="center" indent="2"/>
      <protection hidden="1"/>
    </xf>
    <xf numFmtId="0" fontId="94" fillId="16" borderId="60" xfId="0" applyFont="1" applyFill="1" applyBorder="1" applyAlignment="1" applyProtection="1">
      <alignment horizontal="left" vertical="center" wrapText="1" indent="2"/>
    </xf>
    <xf numFmtId="0" fontId="96" fillId="16" borderId="67" xfId="0" applyFont="1" applyFill="1" applyBorder="1" applyAlignment="1">
      <alignment horizontal="left" wrapText="1" indent="2"/>
    </xf>
    <xf numFmtId="3" fontId="95" fillId="0" borderId="4" xfId="0" applyNumberFormat="1" applyFont="1" applyBorder="1" applyAlignment="1" applyProtection="1">
      <alignment horizontal="center" vertical="center" wrapText="1"/>
    </xf>
    <xf numFmtId="3" fontId="95" fillId="0" borderId="10" xfId="0" applyNumberFormat="1" applyFont="1" applyBorder="1" applyAlignment="1" applyProtection="1">
      <alignment horizontal="center" vertical="center" wrapText="1"/>
    </xf>
    <xf numFmtId="0" fontId="95" fillId="16" borderId="62" xfId="0" applyFont="1" applyFill="1" applyBorder="1" applyAlignment="1" applyProtection="1">
      <alignment horizontal="left" vertical="center" indent="1"/>
    </xf>
    <xf numFmtId="0" fontId="95" fillId="16" borderId="21" xfId="0" applyFont="1" applyFill="1" applyBorder="1" applyAlignment="1" applyProtection="1">
      <alignment horizontal="left" vertical="center" inden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left" vertical="center" indent="1"/>
    </xf>
    <xf numFmtId="164" fontId="95" fillId="26" borderId="23" xfId="0" applyNumberFormat="1" applyFont="1" applyFill="1" applyBorder="1" applyAlignment="1" applyProtection="1">
      <alignment horizontal="left" vertical="center" wrapText="1" indent="1"/>
    </xf>
    <xf numFmtId="164" fontId="95" fillId="26" borderId="19" xfId="0" applyNumberFormat="1" applyFont="1" applyFill="1" applyBorder="1" applyAlignment="1" applyProtection="1">
      <alignment horizontal="left" vertical="center" wrapText="1" indent="1"/>
    </xf>
    <xf numFmtId="164" fontId="95" fillId="27" borderId="23" xfId="0" applyNumberFormat="1" applyFont="1" applyFill="1" applyBorder="1" applyAlignment="1" applyProtection="1">
      <alignment horizontal="left" vertical="center" wrapText="1" indent="1"/>
    </xf>
    <xf numFmtId="164" fontId="95" fillId="27" borderId="19" xfId="0" applyNumberFormat="1" applyFont="1" applyFill="1" applyBorder="1" applyAlignment="1" applyProtection="1">
      <alignment horizontal="left" vertical="center" wrapText="1" indent="1"/>
    </xf>
    <xf numFmtId="0" fontId="95" fillId="16" borderId="45" xfId="0" applyFont="1" applyFill="1" applyBorder="1" applyAlignment="1" applyProtection="1">
      <alignment horizontal="left" vertical="center" indent="1"/>
    </xf>
    <xf numFmtId="0" fontId="96" fillId="16" borderId="65" xfId="0" applyFont="1" applyFill="1" applyBorder="1" applyAlignment="1">
      <alignment horizontal="left" vertical="center" indent="1"/>
    </xf>
    <xf numFmtId="0" fontId="95" fillId="10" borderId="14" xfId="0" applyFont="1" applyFill="1" applyBorder="1" applyAlignment="1">
      <alignment horizontal="left" vertical="center" wrapText="1"/>
    </xf>
    <xf numFmtId="0" fontId="96" fillId="10" borderId="19" xfId="0" applyFont="1" applyFill="1" applyBorder="1" applyAlignment="1">
      <alignment horizontal="left" vertical="center" wrapText="1"/>
    </xf>
    <xf numFmtId="0" fontId="95" fillId="10" borderId="62" xfId="0" applyFont="1" applyFill="1" applyBorder="1" applyAlignment="1">
      <alignment vertical="top" wrapText="1"/>
    </xf>
    <xf numFmtId="0" fontId="96" fillId="10" borderId="21" xfId="0" applyFont="1" applyFill="1" applyBorder="1" applyAlignment="1">
      <alignment vertical="top" wrapText="1"/>
    </xf>
    <xf numFmtId="0" fontId="95" fillId="16" borderId="66" xfId="0" applyFont="1" applyFill="1" applyBorder="1" applyAlignment="1" applyProtection="1">
      <alignment horizontal="left" vertical="top" wrapText="1" indent="1"/>
    </xf>
    <xf numFmtId="0" fontId="96"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top" indent="1"/>
    </xf>
    <xf numFmtId="0" fontId="96" fillId="16" borderId="64" xfId="0" applyFont="1" applyFill="1" applyBorder="1" applyAlignment="1">
      <alignment horizontal="left" vertical="top" indent="1"/>
    </xf>
    <xf numFmtId="0" fontId="95" fillId="10" borderId="62" xfId="0" applyFont="1" applyFill="1" applyBorder="1" applyAlignment="1">
      <alignment vertical="center" wrapText="1"/>
    </xf>
    <xf numFmtId="0" fontId="96" fillId="10" borderId="21" xfId="0" applyFont="1" applyFill="1" applyBorder="1" applyAlignment="1">
      <alignment vertical="center" wrapText="1"/>
    </xf>
    <xf numFmtId="0" fontId="105" fillId="14" borderId="6" xfId="0" applyFont="1" applyFill="1" applyBorder="1" applyAlignment="1">
      <alignment horizontal="center" vertical="center"/>
    </xf>
    <xf numFmtId="0" fontId="96" fillId="14" borderId="10" xfId="0" applyFont="1" applyFill="1" applyBorder="1" applyAlignment="1">
      <alignment horizontal="center" vertical="center"/>
    </xf>
    <xf numFmtId="3" fontId="95" fillId="16" borderId="62" xfId="0" applyNumberFormat="1" applyFont="1" applyFill="1" applyBorder="1" applyAlignment="1">
      <alignment horizontal="left" vertical="top" wrapText="1" indent="1"/>
    </xf>
    <xf numFmtId="0" fontId="96" fillId="16" borderId="21" xfId="0" applyFont="1" applyFill="1" applyBorder="1" applyAlignment="1">
      <alignment horizontal="left" vertical="top" wrapText="1"/>
    </xf>
    <xf numFmtId="3" fontId="95" fillId="16" borderId="74" xfId="0" applyNumberFormat="1" applyFont="1" applyFill="1" applyBorder="1" applyAlignment="1">
      <alignment horizontal="left" vertical="top" wrapText="1" indent="1"/>
    </xf>
    <xf numFmtId="0" fontId="96" fillId="16" borderId="77" xfId="0" applyFont="1" applyFill="1" applyBorder="1" applyAlignment="1">
      <alignment horizontal="left" vertical="top" wrapText="1" indent="1"/>
    </xf>
    <xf numFmtId="3" fontId="95" fillId="16" borderId="45" xfId="0" applyNumberFormat="1" applyFont="1" applyFill="1" applyBorder="1" applyAlignment="1">
      <alignment horizontal="left" vertical="top" wrapText="1" indent="1"/>
    </xf>
    <xf numFmtId="0" fontId="94" fillId="16" borderId="65" xfId="0" applyFont="1" applyFill="1" applyBorder="1" applyAlignment="1">
      <alignment horizontal="left" vertical="top" wrapText="1" indent="1"/>
    </xf>
    <xf numFmtId="3" fontId="95" fillId="16" borderId="66" xfId="0" applyNumberFormat="1" applyFont="1" applyFill="1" applyBorder="1" applyAlignment="1">
      <alignment horizontal="left" vertical="top" wrapText="1" indent="1"/>
    </xf>
    <xf numFmtId="3" fontId="95" fillId="16" borderId="66" xfId="0" applyNumberFormat="1" applyFont="1" applyFill="1" applyBorder="1" applyAlignment="1">
      <alignment horizontal="left" vertical="top" indent="1"/>
    </xf>
    <xf numFmtId="0" fontId="94" fillId="16" borderId="64" xfId="0" applyFont="1" applyFill="1" applyBorder="1" applyAlignment="1">
      <alignment horizontal="left" vertical="top" indent="1"/>
    </xf>
    <xf numFmtId="3" fontId="95" fillId="0" borderId="74" xfId="0" applyNumberFormat="1" applyFont="1" applyBorder="1" applyAlignment="1">
      <alignment horizontal="left" vertical="top" wrapText="1" indent="1"/>
    </xf>
    <xf numFmtId="0" fontId="96" fillId="0" borderId="77" xfId="0" applyFont="1" applyBorder="1" applyAlignment="1">
      <alignment horizontal="left" vertical="top" wrapText="1" indent="1"/>
    </xf>
    <xf numFmtId="0" fontId="105" fillId="14" borderId="6" xfId="0" applyFont="1" applyFill="1" applyBorder="1" applyAlignment="1">
      <alignment horizontal="center" vertical="center" wrapText="1"/>
    </xf>
    <xf numFmtId="0" fontId="96" fillId="14" borderId="10" xfId="0" applyFont="1" applyFill="1" applyBorder="1" applyAlignment="1">
      <alignment horizontal="center" vertical="center" wrapText="1"/>
    </xf>
    <xf numFmtId="3" fontId="105" fillId="14" borderId="23" xfId="0" applyNumberFormat="1" applyFont="1" applyFill="1" applyBorder="1" applyAlignment="1">
      <alignment horizontal="center" vertical="center"/>
    </xf>
    <xf numFmtId="0" fontId="96" fillId="14" borderId="19" xfId="0" applyFont="1" applyFill="1" applyBorder="1" applyAlignment="1">
      <alignment horizontal="center" vertical="center"/>
    </xf>
    <xf numFmtId="0" fontId="105" fillId="14" borderId="14" xfId="0" applyFont="1" applyFill="1" applyBorder="1" applyAlignment="1">
      <alignment horizontal="center" vertical="center"/>
    </xf>
    <xf numFmtId="3" fontId="95" fillId="16" borderId="20" xfId="0" applyNumberFormat="1" applyFont="1" applyFill="1" applyBorder="1" applyAlignment="1">
      <alignment horizontal="left" vertical="top" indent="1"/>
    </xf>
    <xf numFmtId="3" fontId="95" fillId="16" borderId="21" xfId="0" applyNumberFormat="1" applyFont="1" applyFill="1" applyBorder="1" applyAlignment="1">
      <alignment horizontal="left" vertical="top" indent="1"/>
    </xf>
    <xf numFmtId="3" fontId="95" fillId="0" borderId="5" xfId="0" applyNumberFormat="1" applyFont="1" applyBorder="1" applyAlignment="1" applyProtection="1">
      <alignment horizontal="center" vertical="center" wrapText="1"/>
    </xf>
    <xf numFmtId="0" fontId="105" fillId="14" borderId="9" xfId="0" applyFont="1" applyFill="1" applyBorder="1" applyAlignment="1">
      <alignment horizontal="center" vertical="center"/>
    </xf>
    <xf numFmtId="0" fontId="105" fillId="19" borderId="6" xfId="0" applyFont="1" applyFill="1" applyBorder="1" applyAlignment="1">
      <alignment horizontal="center" vertical="center"/>
    </xf>
    <xf numFmtId="0" fontId="105" fillId="19" borderId="10" xfId="0" applyFont="1" applyFill="1" applyBorder="1" applyAlignment="1">
      <alignment horizontal="center" vertical="center"/>
    </xf>
    <xf numFmtId="0" fontId="96" fillId="19" borderId="10" xfId="0" applyFont="1" applyFill="1" applyBorder="1" applyAlignment="1">
      <alignment horizontal="center" vertical="center"/>
    </xf>
    <xf numFmtId="0" fontId="105" fillId="14" borderId="152" xfId="0" applyFont="1" applyFill="1" applyBorder="1" applyAlignment="1">
      <alignment horizontal="center" vertical="center"/>
    </xf>
    <xf numFmtId="0" fontId="96" fillId="14" borderId="145" xfId="0" applyFont="1" applyFill="1" applyBorder="1" applyAlignment="1">
      <alignment horizontal="center" vertical="center"/>
    </xf>
    <xf numFmtId="3" fontId="95" fillId="15" borderId="4" xfId="0" applyNumberFormat="1" applyFont="1" applyFill="1" applyBorder="1" applyAlignment="1" applyProtection="1">
      <alignment horizontal="center" vertical="center" wrapText="1"/>
    </xf>
    <xf numFmtId="3" fontId="95" fillId="15" borderId="10" xfId="0" applyNumberFormat="1" applyFont="1" applyFill="1" applyBorder="1" applyAlignment="1" applyProtection="1">
      <alignment horizontal="center" vertical="center" wrapText="1"/>
    </xf>
    <xf numFmtId="49" fontId="105" fillId="17" borderId="23" xfId="0" applyNumberFormat="1" applyFont="1" applyFill="1" applyBorder="1" applyAlignment="1" applyProtection="1">
      <alignment horizontal="center" vertical="center"/>
    </xf>
    <xf numFmtId="0" fontId="96" fillId="17" borderId="19" xfId="0" applyFont="1" applyFill="1" applyBorder="1" applyAlignment="1">
      <alignment horizontal="center" vertical="center"/>
    </xf>
    <xf numFmtId="49" fontId="104" fillId="2" borderId="9" xfId="0" applyNumberFormat="1" applyFont="1" applyFill="1" applyBorder="1" applyAlignment="1" applyProtection="1">
      <alignment horizontal="left" vertical="center" wrapText="1"/>
    </xf>
    <xf numFmtId="0" fontId="96" fillId="0" borderId="6" xfId="0" applyFont="1" applyBorder="1" applyAlignment="1">
      <alignment horizontal="left" vertical="center" wrapText="1"/>
    </xf>
    <xf numFmtId="0" fontId="96" fillId="0" borderId="10" xfId="0" applyFont="1" applyBorder="1" applyAlignment="1">
      <alignment horizontal="left" vertical="center" wrapText="1"/>
    </xf>
    <xf numFmtId="49" fontId="113" fillId="2" borderId="9" xfId="0" applyNumberFormat="1" applyFont="1" applyFill="1" applyBorder="1" applyAlignment="1" applyProtection="1">
      <alignment horizontal="left" vertical="center" wrapText="1"/>
    </xf>
    <xf numFmtId="0" fontId="90" fillId="0" borderId="6" xfId="0" applyFont="1" applyBorder="1" applyAlignment="1">
      <alignment horizontal="left" vertical="center" wrapText="1"/>
    </xf>
    <xf numFmtId="0" fontId="90" fillId="0" borderId="10" xfId="0" applyFont="1" applyBorder="1" applyAlignment="1">
      <alignment horizontal="left" vertical="center" wrapText="1"/>
    </xf>
    <xf numFmtId="164" fontId="95" fillId="2" borderId="23" xfId="0" applyNumberFormat="1" applyFont="1" applyFill="1" applyBorder="1" applyAlignment="1" applyProtection="1">
      <alignment horizontal="left" vertical="center" wrapText="1"/>
    </xf>
    <xf numFmtId="0" fontId="96" fillId="2" borderId="19" xfId="0" applyFont="1" applyFill="1" applyBorder="1" applyAlignment="1">
      <alignment horizontal="left" vertical="center" wrapText="1"/>
    </xf>
    <xf numFmtId="49" fontId="95" fillId="0" borderId="23" xfId="0" applyNumberFormat="1" applyFont="1" applyBorder="1" applyAlignment="1" applyProtection="1">
      <alignment horizontal="center" vertical="center" wrapText="1"/>
    </xf>
    <xf numFmtId="49" fontId="95" fillId="0" borderId="19" xfId="0" applyNumberFormat="1" applyFont="1" applyBorder="1" applyAlignment="1" applyProtection="1">
      <alignment horizontal="center" vertical="center" wrapText="1"/>
    </xf>
    <xf numFmtId="49" fontId="95" fillId="16" borderId="23" xfId="0" applyNumberFormat="1" applyFont="1" applyFill="1" applyBorder="1" applyAlignment="1" applyProtection="1">
      <alignment horizontal="left" vertical="center" indent="1"/>
    </xf>
    <xf numFmtId="0" fontId="96" fillId="16" borderId="19" xfId="0" applyFont="1" applyFill="1" applyBorder="1" applyAlignment="1">
      <alignment horizontal="left" vertical="center" indent="1"/>
    </xf>
    <xf numFmtId="0" fontId="95" fillId="2" borderId="23" xfId="0" applyFont="1" applyFill="1" applyBorder="1" applyAlignment="1" applyProtection="1">
      <alignment horizontal="left" vertical="center" wrapText="1"/>
    </xf>
    <xf numFmtId="49" fontId="95" fillId="16" borderId="23" xfId="0" applyNumberFormat="1" applyFont="1" applyFill="1" applyBorder="1" applyAlignment="1" applyProtection="1">
      <alignment horizontal="left" vertical="center" wrapText="1" indent="1"/>
    </xf>
    <xf numFmtId="0" fontId="96" fillId="16" borderId="19" xfId="0" applyFont="1" applyFill="1" applyBorder="1" applyAlignment="1">
      <alignment horizontal="left" vertical="center" wrapText="1" indent="1"/>
    </xf>
    <xf numFmtId="49" fontId="95" fillId="2" borderId="23" xfId="0" applyNumberFormat="1" applyFont="1" applyFill="1" applyBorder="1" applyAlignment="1" applyProtection="1">
      <alignment horizontal="left" vertical="center"/>
    </xf>
    <xf numFmtId="49" fontId="95" fillId="2" borderId="19" xfId="0" applyNumberFormat="1" applyFont="1" applyFill="1" applyBorder="1" applyAlignment="1" applyProtection="1">
      <alignment horizontal="left" vertical="center"/>
    </xf>
    <xf numFmtId="49" fontId="95" fillId="2" borderId="23" xfId="0" applyNumberFormat="1" applyFont="1" applyFill="1" applyBorder="1" applyAlignment="1" applyProtection="1">
      <alignment horizontal="left" vertical="center" wrapText="1"/>
    </xf>
    <xf numFmtId="0" fontId="105" fillId="17" borderId="23" xfId="16" applyFont="1" applyFill="1" applyBorder="1" applyAlignment="1">
      <alignment horizontal="center" vertical="center"/>
    </xf>
    <xf numFmtId="0" fontId="94" fillId="0" borderId="0" xfId="16" applyFont="1" applyFill="1" applyAlignment="1">
      <alignment wrapText="1"/>
    </xf>
    <xf numFmtId="0" fontId="96" fillId="0" borderId="0" xfId="0" applyFont="1" applyAlignment="1">
      <alignment wrapText="1"/>
    </xf>
    <xf numFmtId="0" fontId="90" fillId="0" borderId="28" xfId="16" applyFont="1" applyFill="1" applyBorder="1" applyAlignment="1" applyProtection="1">
      <protection locked="0"/>
    </xf>
    <xf numFmtId="0" fontId="90" fillId="0" borderId="28" xfId="0" applyFont="1" applyBorder="1" applyAlignment="1"/>
    <xf numFmtId="0" fontId="90" fillId="0" borderId="33" xfId="16" applyFont="1" applyFill="1" applyBorder="1" applyAlignment="1" applyProtection="1">
      <protection locked="0"/>
    </xf>
    <xf numFmtId="0" fontId="90" fillId="0" borderId="33" xfId="0" applyFont="1" applyBorder="1" applyAlignment="1"/>
    <xf numFmtId="49" fontId="94" fillId="0" borderId="23" xfId="0" applyNumberFormat="1" applyFont="1" applyBorder="1" applyAlignment="1" applyProtection="1">
      <alignment horizontal="left" vertical="center" wrapText="1" indent="1"/>
    </xf>
    <xf numFmtId="0" fontId="96" fillId="0" borderId="19" xfId="0" applyFont="1" applyBorder="1" applyAlignment="1">
      <alignment horizontal="left" vertical="center" wrapText="1" indent="1"/>
    </xf>
    <xf numFmtId="0" fontId="94" fillId="0" borderId="33" xfId="0" applyFont="1" applyBorder="1" applyAlignment="1" applyProtection="1">
      <alignment horizontal="left" vertical="center" wrapText="1" indent="1"/>
    </xf>
    <xf numFmtId="0" fontId="96" fillId="0" borderId="33" xfId="0" applyFont="1" applyBorder="1" applyAlignment="1" applyProtection="1">
      <alignment horizontal="left" vertical="center" wrapText="1" indent="1"/>
    </xf>
    <xf numFmtId="0" fontId="96" fillId="0" borderId="29" xfId="0" applyFont="1" applyBorder="1" applyAlignment="1" applyProtection="1">
      <alignment horizontal="left" vertical="center" wrapText="1" indent="1"/>
    </xf>
    <xf numFmtId="49" fontId="95" fillId="0" borderId="47" xfId="0" applyNumberFormat="1" applyFont="1" applyFill="1" applyBorder="1" applyAlignment="1" applyProtection="1">
      <alignment horizontal="center" vertical="center" wrapText="1"/>
    </xf>
    <xf numFmtId="49" fontId="95" fillId="0" borderId="16" xfId="0" applyNumberFormat="1" applyFont="1" applyFill="1" applyBorder="1" applyAlignment="1" applyProtection="1">
      <alignment horizontal="center" vertical="center" wrapText="1"/>
    </xf>
    <xf numFmtId="0" fontId="96" fillId="0" borderId="48" xfId="0" applyFont="1" applyFill="1" applyBorder="1" applyAlignment="1">
      <alignment wrapText="1"/>
    </xf>
    <xf numFmtId="0" fontId="95" fillId="0" borderId="32" xfId="0" applyFont="1" applyFill="1" applyBorder="1" applyAlignment="1" applyProtection="1">
      <alignment horizontal="left" vertical="center" wrapText="1"/>
      <protection hidden="1"/>
    </xf>
    <xf numFmtId="0" fontId="95" fillId="0" borderId="33" xfId="0" applyFont="1" applyFill="1" applyBorder="1" applyAlignment="1" applyProtection="1">
      <alignment horizontal="left" vertical="center" wrapText="1"/>
      <protection hidden="1"/>
    </xf>
    <xf numFmtId="0" fontId="96" fillId="0" borderId="33" xfId="0" applyFont="1" applyFill="1" applyBorder="1" applyAlignment="1" applyProtection="1">
      <alignment wrapText="1"/>
      <protection hidden="1"/>
    </xf>
    <xf numFmtId="0" fontId="95" fillId="2" borderId="38"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0" fontId="95" fillId="2" borderId="111" xfId="0" applyFont="1" applyFill="1" applyBorder="1" applyAlignment="1" applyProtection="1">
      <alignment horizontal="left" vertical="center" wrapText="1"/>
    </xf>
    <xf numFmtId="0" fontId="96" fillId="0" borderId="111" xfId="0" applyFont="1" applyBorder="1" applyAlignment="1">
      <alignment wrapText="1"/>
    </xf>
    <xf numFmtId="0" fontId="94" fillId="0" borderId="33" xfId="0" applyFont="1" applyBorder="1" applyAlignment="1" applyProtection="1">
      <alignment horizontal="left" vertical="center" indent="1"/>
    </xf>
    <xf numFmtId="0" fontId="96" fillId="0" borderId="33" xfId="0" applyFont="1" applyBorder="1" applyAlignment="1">
      <alignment horizontal="left" indent="1"/>
    </xf>
    <xf numFmtId="0" fontId="96" fillId="0" borderId="29" xfId="0" applyFont="1" applyBorder="1" applyAlignment="1">
      <alignment horizontal="left" indent="1"/>
    </xf>
    <xf numFmtId="0" fontId="95" fillId="16" borderId="69" xfId="0" applyFont="1" applyFill="1" applyBorder="1" applyAlignment="1" applyProtection="1">
      <alignment horizontal="left" vertical="center" indent="1"/>
    </xf>
    <xf numFmtId="0" fontId="95" fillId="16" borderId="80" xfId="0" applyFont="1" applyFill="1" applyBorder="1" applyAlignment="1" applyProtection="1">
      <alignment horizontal="left" vertical="center" indent="1"/>
    </xf>
    <xf numFmtId="0" fontId="95" fillId="16" borderId="112" xfId="0" applyFont="1" applyFill="1" applyBorder="1" applyAlignment="1" applyProtection="1">
      <alignment horizontal="left" vertical="center" indent="1"/>
    </xf>
    <xf numFmtId="0" fontId="105" fillId="17" borderId="32" xfId="0" applyFont="1" applyFill="1" applyBorder="1" applyAlignment="1" applyProtection="1">
      <alignment horizontal="left" vertical="center" wrapText="1"/>
    </xf>
    <xf numFmtId="0" fontId="96" fillId="17" borderId="33" xfId="0" applyFont="1" applyFill="1" applyBorder="1" applyAlignment="1">
      <alignment horizontal="left" wrapText="1"/>
    </xf>
    <xf numFmtId="0" fontId="96" fillId="17" borderId="29" xfId="0" applyFont="1" applyFill="1" applyBorder="1" applyAlignment="1">
      <alignment horizontal="left" wrapText="1"/>
    </xf>
    <xf numFmtId="0" fontId="94" fillId="0" borderId="32" xfId="0" applyFont="1" applyBorder="1" applyAlignment="1" applyProtection="1">
      <alignment horizontal="left" vertical="center" wrapText="1" indent="1"/>
    </xf>
    <xf numFmtId="0" fontId="96" fillId="0" borderId="29" xfId="0" applyFont="1" applyBorder="1" applyAlignment="1">
      <alignment horizontal="left" wrapText="1" indent="1"/>
    </xf>
    <xf numFmtId="0" fontId="94" fillId="0" borderId="29" xfId="0" applyFont="1" applyBorder="1" applyAlignment="1">
      <alignment horizontal="left" wrapText="1" indent="1"/>
    </xf>
    <xf numFmtId="0" fontId="95" fillId="16" borderId="32" xfId="0" applyFont="1" applyFill="1" applyBorder="1" applyAlignment="1" applyProtection="1">
      <alignment horizontal="left" vertical="center" indent="1"/>
      <protection hidden="1"/>
    </xf>
    <xf numFmtId="0" fontId="95" fillId="16" borderId="33" xfId="0" applyFont="1" applyFill="1" applyBorder="1" applyAlignment="1" applyProtection="1">
      <alignment horizontal="left" vertical="center" indent="1"/>
      <protection hidden="1"/>
    </xf>
    <xf numFmtId="0" fontId="95" fillId="3" borderId="33" xfId="0" applyFont="1" applyFill="1" applyBorder="1" applyAlignment="1" applyProtection="1">
      <alignment horizontal="left" vertical="center"/>
    </xf>
    <xf numFmtId="0" fontId="95" fillId="3" borderId="29" xfId="0" applyFont="1" applyFill="1" applyBorder="1" applyAlignment="1" applyProtection="1">
      <alignment horizontal="left" vertical="center"/>
    </xf>
    <xf numFmtId="0" fontId="122" fillId="0" borderId="38" xfId="0" applyFont="1" applyBorder="1" applyAlignment="1" applyProtection="1">
      <alignment horizontal="left" wrapText="1" indent="2"/>
    </xf>
    <xf numFmtId="0" fontId="94" fillId="0" borderId="0" xfId="0" applyFont="1" applyAlignment="1">
      <alignment horizontal="left" wrapText="1"/>
    </xf>
    <xf numFmtId="0" fontId="94" fillId="0" borderId="38" xfId="0" applyFont="1" applyBorder="1" applyAlignment="1">
      <alignment horizontal="left" wrapText="1"/>
    </xf>
    <xf numFmtId="0" fontId="94" fillId="0" borderId="28" xfId="0" applyFont="1" applyBorder="1" applyAlignment="1" applyProtection="1">
      <alignment horizontal="left" vertical="center" wrapText="1" indent="1"/>
    </xf>
    <xf numFmtId="0" fontId="96" fillId="0" borderId="34" xfId="0" applyFont="1" applyBorder="1" applyAlignment="1">
      <alignment horizontal="left" wrapText="1" indent="1"/>
    </xf>
    <xf numFmtId="0" fontId="94" fillId="0" borderId="29" xfId="0" applyFont="1" applyBorder="1" applyAlignment="1" applyProtection="1">
      <alignment horizontal="left" vertical="center" wrapText="1" indent="1"/>
    </xf>
    <xf numFmtId="0" fontId="95" fillId="16" borderId="33"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xf>
    <xf numFmtId="0" fontId="157" fillId="0" borderId="28" xfId="0" applyFont="1" applyBorder="1" applyAlignment="1">
      <alignment horizontal="left" vertical="center" wrapText="1" indent="1"/>
    </xf>
    <xf numFmtId="0" fontId="96" fillId="0" borderId="28" xfId="0" applyFont="1" applyBorder="1" applyAlignment="1">
      <alignment horizontal="left" vertical="center" wrapText="1" indent="1"/>
    </xf>
    <xf numFmtId="0" fontId="105" fillId="14" borderId="32" xfId="0" applyFont="1" applyFill="1" applyBorder="1" applyAlignment="1" applyProtection="1">
      <alignment horizontal="left" vertical="center" indent="1"/>
    </xf>
    <xf numFmtId="0" fontId="105" fillId="14" borderId="33" xfId="0" applyFont="1" applyFill="1" applyBorder="1" applyAlignment="1" applyProtection="1">
      <alignment horizontal="left" vertical="center" indent="1"/>
    </xf>
    <xf numFmtId="0" fontId="105" fillId="14" borderId="29" xfId="0" applyFont="1" applyFill="1" applyBorder="1" applyAlignment="1" applyProtection="1">
      <alignment horizontal="left" vertical="center" indent="1"/>
    </xf>
    <xf numFmtId="0" fontId="124" fillId="2" borderId="113" xfId="17" applyFont="1" applyFill="1" applyBorder="1" applyAlignment="1">
      <alignment horizontal="center" vertical="center"/>
    </xf>
    <xf numFmtId="0" fontId="132" fillId="0" borderId="114" xfId="0" applyFont="1" applyBorder="1" applyAlignment="1">
      <alignment horizontal="center" vertical="center"/>
    </xf>
    <xf numFmtId="0" fontId="132" fillId="0" borderId="115" xfId="0" applyFont="1" applyBorder="1" applyAlignment="1">
      <alignment horizontal="center" vertical="center"/>
    </xf>
    <xf numFmtId="0" fontId="105" fillId="14" borderId="116" xfId="17" applyFont="1" applyFill="1" applyBorder="1" applyAlignment="1" applyProtection="1">
      <alignment horizontal="center" vertical="center" wrapText="1"/>
      <protection hidden="1"/>
    </xf>
    <xf numFmtId="0" fontId="105" fillId="14" borderId="13" xfId="0" applyFont="1" applyFill="1" applyBorder="1" applyAlignment="1" applyProtection="1">
      <alignment horizontal="center" vertical="center" wrapText="1"/>
      <protection hidden="1"/>
    </xf>
    <xf numFmtId="0" fontId="105" fillId="14" borderId="117" xfId="0" applyFont="1" applyFill="1" applyBorder="1" applyAlignment="1" applyProtection="1">
      <alignment horizontal="center" vertical="center" wrapText="1"/>
      <protection hidden="1"/>
    </xf>
    <xf numFmtId="0" fontId="158" fillId="14" borderId="118" xfId="17" applyFont="1" applyFill="1" applyBorder="1" applyAlignment="1">
      <alignment horizontal="center" vertical="center"/>
    </xf>
    <xf numFmtId="0" fontId="90" fillId="14" borderId="12" xfId="0" applyFont="1" applyFill="1" applyBorder="1" applyAlignment="1">
      <alignment horizontal="center" vertical="center"/>
    </xf>
    <xf numFmtId="0" fontId="90" fillId="14" borderId="119" xfId="0" applyFont="1" applyFill="1" applyBorder="1" applyAlignment="1">
      <alignment horizontal="center" vertical="center"/>
    </xf>
    <xf numFmtId="0" fontId="111" fillId="0" borderId="58" xfId="17" applyFont="1" applyBorder="1" applyAlignment="1">
      <alignment horizontal="center"/>
    </xf>
    <xf numFmtId="0" fontId="96" fillId="0" borderId="58" xfId="0" applyFont="1" applyBorder="1" applyAlignment="1">
      <alignment horizontal="center"/>
    </xf>
    <xf numFmtId="0" fontId="151" fillId="0" borderId="85" xfId="10" applyFont="1" applyFill="1" applyBorder="1" applyAlignment="1" applyProtection="1">
      <alignment horizontal="left" vertical="top" wrapText="1"/>
      <protection hidden="1"/>
    </xf>
    <xf numFmtId="0" fontId="151" fillId="0" borderId="0" xfId="10" applyFont="1" applyFill="1" applyBorder="1" applyAlignment="1" applyProtection="1">
      <alignment horizontal="left" vertical="top" wrapText="1"/>
      <protection hidden="1"/>
    </xf>
    <xf numFmtId="0" fontId="151" fillId="0" borderId="84" xfId="10" applyFont="1" applyFill="1" applyBorder="1" applyAlignment="1" applyProtection="1">
      <alignment horizontal="left" vertical="top" wrapText="1"/>
      <protection hidden="1"/>
    </xf>
    <xf numFmtId="0" fontId="144" fillId="14" borderId="71" xfId="10" applyFont="1" applyFill="1" applyBorder="1" applyAlignment="1">
      <alignment horizontal="center" vertical="center"/>
    </xf>
    <xf numFmtId="0" fontId="144" fillId="14" borderId="72" xfId="10" applyFont="1" applyFill="1" applyBorder="1" applyAlignment="1">
      <alignment horizontal="center" vertical="center"/>
    </xf>
    <xf numFmtId="0" fontId="144" fillId="14" borderId="83" xfId="10" applyFont="1" applyFill="1" applyBorder="1" applyAlignment="1">
      <alignment horizontal="center" vertical="center"/>
    </xf>
    <xf numFmtId="0" fontId="144" fillId="14" borderId="120" xfId="10" applyFont="1" applyFill="1" applyBorder="1" applyAlignment="1">
      <alignment horizontal="center" vertical="center"/>
    </xf>
    <xf numFmtId="0" fontId="144" fillId="14" borderId="15" xfId="10" applyFont="1" applyFill="1" applyBorder="1" applyAlignment="1">
      <alignment horizontal="center" vertical="center"/>
    </xf>
    <xf numFmtId="0" fontId="144" fillId="14" borderId="121" xfId="10" applyFont="1" applyFill="1" applyBorder="1" applyAlignment="1">
      <alignment horizontal="center" vertical="center"/>
    </xf>
    <xf numFmtId="0" fontId="151" fillId="0" borderId="85" xfId="10" applyFont="1" applyBorder="1" applyAlignment="1">
      <alignment vertical="top" wrapText="1"/>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95" fillId="0" borderId="8" xfId="0" applyFont="1" applyFill="1" applyBorder="1" applyAlignment="1" applyProtection="1">
      <alignment horizontal="left" vertical="center" wrapText="1"/>
    </xf>
    <xf numFmtId="0" fontId="96" fillId="0" borderId="3" xfId="0" applyFont="1" applyBorder="1" applyAlignment="1">
      <alignment horizontal="left" vertical="center" wrapText="1"/>
    </xf>
    <xf numFmtId="0" fontId="96" fillId="0" borderId="4" xfId="0" applyFont="1" applyBorder="1" applyAlignment="1">
      <alignment horizontal="left" vertical="center" wrapText="1"/>
    </xf>
    <xf numFmtId="0" fontId="95" fillId="0" borderId="6" xfId="0" applyFont="1" applyBorder="1" applyAlignment="1">
      <alignment horizontal="center" vertical="center"/>
    </xf>
    <xf numFmtId="0" fontId="94" fillId="0" borderId="10" xfId="0" applyFont="1" applyBorder="1" applyAlignment="1">
      <alignment horizontal="center" vertical="center"/>
    </xf>
    <xf numFmtId="0" fontId="94" fillId="21" borderId="23" xfId="0" applyFont="1" applyFill="1" applyBorder="1" applyAlignment="1" applyProtection="1">
      <alignment horizontal="left" vertical="center" wrapText="1" indent="1"/>
      <protection hidden="1"/>
    </xf>
    <xf numFmtId="0" fontId="96" fillId="21" borderId="14" xfId="0" applyFont="1" applyFill="1" applyBorder="1" applyAlignment="1" applyProtection="1">
      <alignment horizontal="left" vertical="center" wrapText="1" indent="1"/>
      <protection hidden="1"/>
    </xf>
    <xf numFmtId="0" fontId="96" fillId="21" borderId="19" xfId="0" applyFont="1" applyFill="1" applyBorder="1" applyAlignment="1" applyProtection="1">
      <alignment horizontal="left" vertical="center" wrapText="1" indent="1"/>
      <protection hidden="1"/>
    </xf>
    <xf numFmtId="0" fontId="84" fillId="0" borderId="85" xfId="7" applyFont="1" applyBorder="1" applyAlignment="1" applyProtection="1">
      <alignment vertical="top" wrapText="1"/>
      <protection locked="0"/>
    </xf>
    <xf numFmtId="0" fontId="84" fillId="0" borderId="0" xfId="7" applyFont="1" applyBorder="1" applyAlignment="1" applyProtection="1">
      <alignment vertical="top" wrapText="1"/>
      <protection locked="0"/>
    </xf>
    <xf numFmtId="0" fontId="84" fillId="0" borderId="84" xfId="7" applyFont="1" applyBorder="1" applyAlignment="1" applyProtection="1">
      <alignment vertical="top" wrapText="1"/>
      <protection locked="0"/>
    </xf>
    <xf numFmtId="0" fontId="140" fillId="14" borderId="0" xfId="7" applyFont="1" applyFill="1" applyAlignment="1">
      <alignment horizontal="center" vertical="center"/>
    </xf>
    <xf numFmtId="0" fontId="104" fillId="0" borderId="151" xfId="7" applyFont="1" applyFill="1" applyBorder="1" applyAlignment="1">
      <alignment horizontal="left" vertical="top" wrapText="1"/>
    </xf>
    <xf numFmtId="0" fontId="104" fillId="0" borderId="0" xfId="7" applyFont="1" applyFill="1" applyBorder="1" applyAlignment="1">
      <alignment horizontal="left" vertical="top" wrapText="1"/>
    </xf>
    <xf numFmtId="0" fontId="159" fillId="0" borderId="0" xfId="7" applyFont="1" applyAlignment="1">
      <alignment wrapText="1"/>
    </xf>
    <xf numFmtId="0" fontId="160" fillId="0" borderId="0" xfId="7" applyFont="1" applyAlignment="1">
      <alignment horizontal="center" vertical="center" wrapText="1"/>
    </xf>
    <xf numFmtId="174" fontId="160" fillId="0" borderId="15" xfId="7" applyNumberFormat="1" applyFont="1" applyBorder="1" applyAlignment="1">
      <alignment horizontal="center" vertical="center" wrapText="1"/>
    </xf>
    <xf numFmtId="0" fontId="84" fillId="0" borderId="72" xfId="7" applyFont="1" applyBorder="1" applyAlignment="1" applyProtection="1">
      <alignment horizontal="center" vertical="top" wrapText="1"/>
      <protection locked="0"/>
    </xf>
    <xf numFmtId="0" fontId="84" fillId="0" borderId="83" xfId="7" applyFont="1" applyBorder="1" applyAlignment="1" applyProtection="1">
      <alignment horizontal="center" vertical="top" wrapText="1"/>
      <protection locked="0"/>
    </xf>
    <xf numFmtId="0" fontId="109" fillId="0" borderId="120" xfId="7" applyFont="1" applyBorder="1" applyAlignment="1" applyProtection="1">
      <alignment vertical="top" wrapText="1"/>
      <protection locked="0"/>
    </xf>
    <xf numFmtId="0" fontId="109" fillId="0" borderId="15" xfId="7" applyFont="1" applyBorder="1" applyAlignment="1" applyProtection="1">
      <alignment vertical="top" wrapText="1"/>
      <protection locked="0"/>
    </xf>
    <xf numFmtId="0" fontId="109" fillId="0" borderId="121" xfId="7" applyFont="1" applyBorder="1" applyAlignment="1" applyProtection="1">
      <alignment vertical="top" wrapText="1"/>
      <protection locked="0"/>
    </xf>
    <xf numFmtId="0" fontId="84" fillId="0" borderId="120" xfId="7" applyFont="1" applyBorder="1" applyAlignment="1" applyProtection="1">
      <alignment vertical="top" wrapText="1"/>
      <protection locked="0"/>
    </xf>
    <xf numFmtId="0" fontId="84" fillId="0" borderId="15" xfId="7" applyFont="1" applyBorder="1" applyAlignment="1" applyProtection="1">
      <alignment vertical="top" wrapText="1"/>
      <protection locked="0"/>
    </xf>
    <xf numFmtId="0" fontId="84" fillId="0" borderId="121" xfId="7" applyFont="1" applyBorder="1" applyAlignment="1" applyProtection="1">
      <alignment vertical="top" wrapText="1"/>
      <protection locked="0"/>
    </xf>
    <xf numFmtId="0" fontId="109" fillId="0" borderId="72" xfId="7" applyFont="1" applyBorder="1" applyAlignment="1" applyProtection="1">
      <alignment horizontal="center" vertical="top" wrapText="1"/>
      <protection locked="0"/>
    </xf>
    <xf numFmtId="0" fontId="109" fillId="0" borderId="83" xfId="7" applyFont="1" applyBorder="1" applyAlignment="1" applyProtection="1">
      <alignment horizontal="center" vertical="top" wrapText="1"/>
      <protection locked="0"/>
    </xf>
    <xf numFmtId="0" fontId="109" fillId="0" borderId="85" xfId="7" applyFont="1" applyBorder="1" applyAlignment="1" applyProtection="1">
      <alignment vertical="top" wrapText="1"/>
      <protection locked="0"/>
    </xf>
    <xf numFmtId="0" fontId="109" fillId="0" borderId="0" xfId="7" applyFont="1" applyBorder="1" applyAlignment="1" applyProtection="1">
      <alignment vertical="top" wrapText="1"/>
      <protection locked="0"/>
    </xf>
    <xf numFmtId="0" fontId="109" fillId="0" borderId="84" xfId="7" applyFont="1" applyBorder="1" applyAlignment="1" applyProtection="1">
      <alignment vertical="top" wrapText="1"/>
      <protection locked="0"/>
    </xf>
    <xf numFmtId="0" fontId="96" fillId="0" borderId="0" xfId="4" applyNumberFormat="1" applyFont="1" applyFill="1" applyBorder="1" applyAlignment="1" applyProtection="1">
      <alignment horizontal="left" vertical="top" wrapText="1" indent="2"/>
      <protection hidden="1"/>
    </xf>
    <xf numFmtId="0" fontId="96" fillId="0" borderId="0" xfId="4" applyFont="1" applyFill="1" applyBorder="1" applyAlignment="1" applyProtection="1">
      <alignment horizontal="left" vertical="top" wrapText="1" indent="2"/>
      <protection hidden="1"/>
    </xf>
    <xf numFmtId="0" fontId="96" fillId="0" borderId="38" xfId="4" quotePrefix="1" applyNumberFormat="1" applyFont="1" applyFill="1" applyBorder="1" applyAlignment="1" applyProtection="1">
      <alignment horizontal="left" vertical="top" wrapText="1" indent="2"/>
      <protection hidden="1"/>
    </xf>
    <xf numFmtId="0" fontId="96" fillId="0" borderId="0" xfId="4" quotePrefix="1" applyNumberFormat="1" applyFont="1" applyFill="1" applyBorder="1" applyAlignment="1" applyProtection="1">
      <alignment horizontal="left" vertical="top" wrapText="1" indent="2"/>
      <protection hidden="1"/>
    </xf>
    <xf numFmtId="0" fontId="162" fillId="0" borderId="126" xfId="11" applyFont="1" applyBorder="1" applyAlignment="1">
      <alignment horizontal="center"/>
    </xf>
    <xf numFmtId="0" fontId="162" fillId="0" borderId="127" xfId="11" applyFont="1" applyBorder="1" applyAlignment="1">
      <alignment horizontal="center"/>
    </xf>
    <xf numFmtId="0" fontId="162" fillId="0" borderId="128" xfId="11" applyFont="1" applyBorder="1" applyAlignment="1">
      <alignment horizontal="center"/>
    </xf>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05" fillId="0" borderId="14" xfId="4" applyNumberFormat="1" applyFont="1" applyFill="1" applyBorder="1" applyAlignment="1" applyProtection="1">
      <alignment vertical="center"/>
      <protection hidden="1"/>
    </xf>
    <xf numFmtId="0" fontId="105" fillId="0" borderId="19" xfId="4" applyNumberFormat="1" applyFont="1" applyFill="1" applyBorder="1" applyAlignment="1" applyProtection="1">
      <alignment vertical="center"/>
      <protection hidden="1"/>
    </xf>
    <xf numFmtId="0" fontId="105" fillId="22" borderId="15" xfId="4" applyNumberFormat="1" applyFont="1" applyFill="1" applyBorder="1" applyAlignment="1" applyProtection="1">
      <alignment horizontal="left" vertical="center" indent="1"/>
      <protection locked="0"/>
    </xf>
    <xf numFmtId="0" fontId="105" fillId="22" borderId="15" xfId="4" applyNumberFormat="1" applyFont="1" applyFill="1" applyBorder="1" applyAlignment="1" applyProtection="1">
      <alignment horizontal="left" vertical="center"/>
      <protection locked="0"/>
    </xf>
    <xf numFmtId="0" fontId="96" fillId="14" borderId="91" xfId="4" applyNumberFormat="1" applyFont="1" applyFill="1" applyBorder="1" applyAlignment="1">
      <alignment horizontal="left" vertical="top" wrapText="1"/>
    </xf>
    <xf numFmtId="0" fontId="96" fillId="14" borderId="0" xfId="4" applyFont="1" applyFill="1" applyBorder="1" applyAlignment="1">
      <alignment vertical="top"/>
    </xf>
    <xf numFmtId="0" fontId="96" fillId="14" borderId="5" xfId="4" applyFont="1" applyFill="1" applyBorder="1" applyAlignment="1">
      <alignment vertical="top"/>
    </xf>
    <xf numFmtId="166" fontId="105" fillId="22" borderId="51" xfId="4" applyNumberFormat="1" applyFont="1" applyFill="1" applyBorder="1" applyAlignment="1" applyProtection="1">
      <alignment horizontal="left" vertical="center" indent="1"/>
      <protection locked="0"/>
    </xf>
    <xf numFmtId="0" fontId="105" fillId="0" borderId="94" xfId="4" applyNumberFormat="1" applyFont="1" applyBorder="1" applyAlignment="1">
      <alignment horizontal="center" vertical="center"/>
    </xf>
    <xf numFmtId="0" fontId="96" fillId="0" borderId="6" xfId="4" applyFont="1" applyBorder="1" applyAlignment="1">
      <alignment horizontal="center" vertical="center"/>
    </xf>
    <xf numFmtId="0" fontId="96" fillId="0" borderId="10" xfId="4" applyFont="1" applyBorder="1" applyAlignment="1">
      <alignment horizontal="center" vertical="center"/>
    </xf>
    <xf numFmtId="0" fontId="96" fillId="0" borderId="14" xfId="4" applyNumberFormat="1" applyFont="1" applyBorder="1" applyAlignment="1">
      <alignment horizontal="left" vertical="center" wrapText="1"/>
    </xf>
    <xf numFmtId="0" fontId="96" fillId="0" borderId="14" xfId="4" applyFont="1" applyBorder="1" applyAlignment="1">
      <alignment horizontal="left" vertical="center" wrapText="1"/>
    </xf>
    <xf numFmtId="0" fontId="96" fillId="0" borderId="19" xfId="4" applyFont="1" applyBorder="1" applyAlignment="1">
      <alignment horizontal="left" vertical="center" wrapText="1"/>
    </xf>
    <xf numFmtId="0" fontId="96" fillId="0" borderId="178" xfId="11" applyFont="1" applyBorder="1" applyAlignment="1"/>
    <xf numFmtId="0" fontId="96" fillId="0" borderId="168" xfId="11" applyFont="1" applyBorder="1" applyAlignment="1"/>
    <xf numFmtId="0" fontId="96" fillId="0" borderId="178" xfId="11" applyFont="1" applyBorder="1" applyAlignment="1">
      <alignment wrapText="1"/>
    </xf>
    <xf numFmtId="0" fontId="96" fillId="0" borderId="168" xfId="11" applyFont="1" applyBorder="1" applyAlignment="1">
      <alignment wrapText="1"/>
    </xf>
    <xf numFmtId="0" fontId="96" fillId="0" borderId="6" xfId="4" applyNumberFormat="1" applyFont="1" applyBorder="1" applyAlignment="1">
      <alignment horizontal="left" vertical="center" indent="1"/>
    </xf>
    <xf numFmtId="0" fontId="96" fillId="0" borderId="125" xfId="4" applyNumberFormat="1" applyFont="1" applyBorder="1" applyAlignment="1">
      <alignment horizontal="left" vertical="center"/>
    </xf>
    <xf numFmtId="0" fontId="96" fillId="0" borderId="177" xfId="4" applyNumberFormat="1" applyFont="1" applyBorder="1" applyAlignment="1" applyProtection="1">
      <alignment horizontal="center" vertical="center"/>
      <protection locked="0"/>
    </xf>
    <xf numFmtId="171" fontId="96" fillId="0" borderId="177" xfId="4" applyNumberFormat="1" applyFont="1" applyBorder="1" applyAlignment="1" applyProtection="1">
      <alignment horizontal="center"/>
      <protection locked="0"/>
    </xf>
    <xf numFmtId="0" fontId="111" fillId="0" borderId="141" xfId="4" applyFont="1" applyBorder="1" applyAlignment="1">
      <alignment horizontal="center" vertical="center" wrapText="1"/>
    </xf>
    <xf numFmtId="0" fontId="96" fillId="0" borderId="177" xfId="4" applyNumberFormat="1" applyFont="1" applyBorder="1" applyAlignment="1" applyProtection="1">
      <alignment horizontal="center"/>
      <protection locked="0"/>
    </xf>
    <xf numFmtId="0" fontId="111" fillId="0" borderId="141" xfId="4" applyNumberFormat="1" applyFont="1" applyBorder="1" applyAlignment="1">
      <alignment horizontal="center"/>
    </xf>
    <xf numFmtId="166" fontId="96" fillId="0" borderId="14" xfId="4" applyNumberFormat="1" applyFont="1" applyBorder="1" applyAlignment="1">
      <alignment horizontal="left" vertical="center" indent="1"/>
    </xf>
    <xf numFmtId="166" fontId="96" fillId="0" borderId="123" xfId="4" applyNumberFormat="1" applyFont="1" applyBorder="1" applyAlignment="1">
      <alignment horizontal="left" vertical="center" indent="1"/>
    </xf>
    <xf numFmtId="0" fontId="96" fillId="23" borderId="122" xfId="11" applyFont="1" applyFill="1" applyBorder="1"/>
    <xf numFmtId="0" fontId="96" fillId="23" borderId="57" xfId="11" applyFont="1" applyFill="1" applyBorder="1"/>
    <xf numFmtId="0" fontId="105" fillId="0" borderId="89" xfId="11" applyFont="1" applyBorder="1" applyAlignment="1">
      <alignment horizontal="center" wrapText="1"/>
    </xf>
    <xf numFmtId="0" fontId="105" fillId="0" borderId="90" xfId="11" applyFont="1" applyBorder="1" applyAlignment="1">
      <alignment horizontal="center" wrapText="1"/>
    </xf>
    <xf numFmtId="0" fontId="140" fillId="0" borderId="124" xfId="11" applyFont="1" applyBorder="1" applyAlignment="1">
      <alignment horizontal="center"/>
    </xf>
    <xf numFmtId="0" fontId="140" fillId="0" borderId="15" xfId="11" applyFont="1" applyBorder="1" applyAlignment="1">
      <alignment horizontal="center"/>
    </xf>
    <xf numFmtId="0" fontId="140" fillId="0" borderId="121" xfId="11" applyFont="1" applyBorder="1" applyAlignment="1">
      <alignment horizontal="center"/>
    </xf>
    <xf numFmtId="0" fontId="96" fillId="0" borderId="180" xfId="11" applyFont="1" applyBorder="1" applyAlignment="1"/>
    <xf numFmtId="0" fontId="96" fillId="0" borderId="164" xfId="11" applyFont="1" applyBorder="1" applyAlignment="1"/>
    <xf numFmtId="0" fontId="161" fillId="0" borderId="0" xfId="0" applyFont="1" applyBorder="1" applyAlignment="1">
      <alignment horizontal="left" vertical="center" wrapText="1"/>
    </xf>
    <xf numFmtId="0" fontId="140" fillId="0" borderId="0" xfId="11" applyFont="1" applyBorder="1" applyAlignment="1">
      <alignment horizontal="center" vertical="top" wrapText="1"/>
    </xf>
    <xf numFmtId="0" fontId="140" fillId="0" borderId="92" xfId="11" applyFont="1" applyBorder="1" applyAlignment="1">
      <alignment horizontal="center" vertical="top" wrapText="1"/>
    </xf>
    <xf numFmtId="0" fontId="161" fillId="0" borderId="97" xfId="0" applyFont="1" applyBorder="1" applyAlignment="1">
      <alignment horizontal="left" vertical="center" wrapText="1"/>
    </xf>
    <xf numFmtId="0" fontId="96" fillId="0" borderId="179" xfId="11" applyFont="1" applyBorder="1" applyAlignment="1"/>
    <xf numFmtId="0" fontId="96" fillId="0" borderId="170" xfId="11" applyFont="1" applyBorder="1" applyAlignment="1"/>
    <xf numFmtId="0" fontId="105" fillId="0" borderId="122" xfId="11" applyFont="1" applyBorder="1" applyAlignment="1"/>
    <xf numFmtId="0" fontId="105" fillId="0" borderId="57" xfId="11" applyFont="1" applyBorder="1" applyAlignment="1"/>
    <xf numFmtId="0" fontId="161" fillId="0" borderId="92" xfId="0" applyFont="1" applyBorder="1" applyAlignment="1">
      <alignment horizontal="left" vertical="center" wrapText="1"/>
    </xf>
    <xf numFmtId="0" fontId="113" fillId="0" borderId="0" xfId="0" applyFont="1" applyAlignment="1">
      <alignment vertical="top" wrapText="1"/>
    </xf>
    <xf numFmtId="0" fontId="105" fillId="17" borderId="23" xfId="4" applyFont="1" applyFill="1" applyBorder="1" applyAlignment="1">
      <alignment horizontal="center" vertical="center" wrapText="1"/>
    </xf>
    <xf numFmtId="0" fontId="105" fillId="17" borderId="14" xfId="4" applyFont="1" applyFill="1" applyBorder="1" applyAlignment="1">
      <alignment horizontal="center" vertical="center" wrapText="1"/>
    </xf>
    <xf numFmtId="0" fontId="105" fillId="17" borderId="19" xfId="4" applyFont="1" applyFill="1" applyBorder="1" applyAlignment="1">
      <alignment horizontal="center" vertical="center" wrapText="1"/>
    </xf>
    <xf numFmtId="0" fontId="96" fillId="0" borderId="0" xfId="4" applyFont="1" applyBorder="1" applyAlignment="1">
      <alignment wrapText="1"/>
    </xf>
    <xf numFmtId="0" fontId="163" fillId="0" borderId="181" xfId="4" applyFont="1" applyBorder="1" applyAlignment="1">
      <alignment horizontal="center" vertical="center" wrapText="1"/>
    </xf>
    <xf numFmtId="0" fontId="163" fillId="0" borderId="0" xfId="4" applyFont="1" applyBorder="1" applyAlignment="1">
      <alignment horizontal="center" vertical="center" wrapText="1"/>
    </xf>
    <xf numFmtId="0" fontId="163" fillId="0" borderId="182" xfId="4" applyFont="1" applyBorder="1" applyAlignment="1">
      <alignment horizontal="center" vertical="center" wrapText="1"/>
    </xf>
    <xf numFmtId="0" fontId="163" fillId="0" borderId="183" xfId="4" applyFont="1" applyBorder="1" applyAlignment="1">
      <alignment horizontal="center" vertical="center" wrapText="1"/>
    </xf>
    <xf numFmtId="0" fontId="163" fillId="0" borderId="184" xfId="4" applyFont="1" applyBorder="1" applyAlignment="1">
      <alignment horizontal="center" vertical="center" wrapText="1"/>
    </xf>
    <xf numFmtId="0" fontId="163" fillId="0" borderId="185" xfId="4" applyFont="1" applyBorder="1" applyAlignment="1">
      <alignment horizontal="center" vertical="center" wrapText="1"/>
    </xf>
    <xf numFmtId="0" fontId="136" fillId="0" borderId="23" xfId="4" applyNumberFormat="1" applyFont="1" applyFill="1" applyBorder="1" applyAlignment="1" applyProtection="1">
      <alignment vertical="top" wrapText="1"/>
      <protection hidden="1"/>
    </xf>
    <xf numFmtId="0" fontId="136" fillId="0" borderId="14" xfId="4" applyNumberFormat="1" applyFont="1" applyFill="1" applyBorder="1" applyAlignment="1" applyProtection="1">
      <alignment vertical="top" wrapText="1"/>
      <protection hidden="1"/>
    </xf>
    <xf numFmtId="0" fontId="136" fillId="0" borderId="19" xfId="4" applyNumberFormat="1" applyFont="1" applyFill="1" applyBorder="1" applyAlignment="1" applyProtection="1">
      <alignment vertical="top" wrapText="1"/>
      <protection hidden="1"/>
    </xf>
    <xf numFmtId="0" fontId="90" fillId="0" borderId="8" xfId="4" applyFont="1" applyBorder="1" applyAlignment="1">
      <alignment vertical="top" wrapText="1"/>
    </xf>
    <xf numFmtId="0" fontId="90" fillId="0" borderId="3" xfId="4" applyFont="1" applyBorder="1" applyAlignment="1">
      <alignment vertical="top" wrapText="1"/>
    </xf>
    <xf numFmtId="0" fontId="90" fillId="0" borderId="4" xfId="4" applyFont="1" applyBorder="1" applyAlignment="1">
      <alignment vertical="top" wrapText="1"/>
    </xf>
    <xf numFmtId="0" fontId="105" fillId="0" borderId="32" xfId="4" applyFont="1" applyBorder="1" applyAlignment="1">
      <alignment horizontal="center" vertical="center" wrapText="1"/>
    </xf>
    <xf numFmtId="0" fontId="105" fillId="0" borderId="33" xfId="4" applyFont="1" applyBorder="1" applyAlignment="1">
      <alignment horizontal="center" vertical="center" wrapText="1"/>
    </xf>
    <xf numFmtId="0" fontId="105" fillId="0" borderId="29" xfId="4" applyFont="1" applyBorder="1" applyAlignment="1">
      <alignment horizontal="center" vertical="center" wrapText="1"/>
    </xf>
    <xf numFmtId="0" fontId="113" fillId="0" borderId="38" xfId="4" applyFont="1" applyFill="1" applyBorder="1" applyAlignment="1" applyProtection="1">
      <alignment vertical="top"/>
      <protection hidden="1"/>
    </xf>
    <xf numFmtId="0" fontId="113" fillId="0" borderId="0" xfId="4" applyFont="1" applyFill="1" applyBorder="1" applyAlignment="1" applyProtection="1">
      <alignment vertical="top"/>
      <protection hidden="1"/>
    </xf>
    <xf numFmtId="0" fontId="113" fillId="0" borderId="37" xfId="4" applyFont="1" applyFill="1" applyBorder="1" applyAlignment="1" applyProtection="1">
      <alignment vertical="top"/>
      <protection hidden="1"/>
    </xf>
    <xf numFmtId="0" fontId="113" fillId="0" borderId="36" xfId="4" applyFont="1" applyFill="1" applyBorder="1" applyAlignment="1" applyProtection="1">
      <alignment vertical="top"/>
      <protection hidden="1"/>
    </xf>
    <xf numFmtId="0" fontId="113" fillId="0" borderId="28" xfId="4" applyFont="1" applyFill="1" applyBorder="1" applyAlignment="1" applyProtection="1">
      <alignment vertical="top"/>
      <protection hidden="1"/>
    </xf>
    <xf numFmtId="0" fontId="113" fillId="0" borderId="34" xfId="4" applyFont="1" applyFill="1" applyBorder="1" applyAlignment="1" applyProtection="1">
      <alignment vertical="top"/>
      <protection hidden="1"/>
    </xf>
    <xf numFmtId="0" fontId="164" fillId="17" borderId="9" xfId="0" applyFont="1" applyFill="1" applyBorder="1" applyAlignment="1">
      <alignment horizontal="center" vertical="center"/>
    </xf>
    <xf numFmtId="0" fontId="164" fillId="17" borderId="6" xfId="0" applyFont="1" applyFill="1" applyBorder="1" applyAlignment="1">
      <alignment horizontal="center" vertical="center"/>
    </xf>
    <xf numFmtId="0" fontId="164" fillId="17" borderId="129" xfId="0" applyFont="1" applyFill="1" applyBorder="1" applyAlignment="1">
      <alignment horizontal="center" vertical="center"/>
    </xf>
    <xf numFmtId="164" fontId="164" fillId="17" borderId="7" xfId="0" applyNumberFormat="1" applyFont="1" applyFill="1" applyBorder="1" applyAlignment="1">
      <alignment horizontal="center" vertical="center"/>
    </xf>
    <xf numFmtId="164" fontId="164" fillId="17" borderId="0" xfId="0" applyNumberFormat="1" applyFont="1" applyFill="1" applyBorder="1" applyAlignment="1">
      <alignment horizontal="center" vertical="center"/>
    </xf>
    <xf numFmtId="164" fontId="164" fillId="17" borderId="43" xfId="0" applyNumberFormat="1" applyFont="1" applyFill="1" applyBorder="1" applyAlignment="1">
      <alignment horizontal="center" vertical="center"/>
    </xf>
    <xf numFmtId="164" fontId="98" fillId="17" borderId="9" xfId="0" applyNumberFormat="1" applyFont="1" applyFill="1" applyBorder="1" applyAlignment="1">
      <alignment horizontal="center" vertical="top"/>
    </xf>
    <xf numFmtId="164" fontId="127" fillId="17" borderId="6" xfId="0" applyNumberFormat="1" applyFont="1" applyFill="1" applyBorder="1" applyAlignment="1">
      <alignment horizontal="center" vertical="top"/>
    </xf>
    <xf numFmtId="164" fontId="127" fillId="17" borderId="129" xfId="0" applyNumberFormat="1" applyFont="1" applyFill="1" applyBorder="1" applyAlignment="1">
      <alignment horizontal="center" vertical="top"/>
    </xf>
    <xf numFmtId="0" fontId="127" fillId="0" borderId="14" xfId="0" applyFont="1" applyBorder="1" applyAlignment="1">
      <alignment horizontal="left" vertical="top" wrapText="1"/>
    </xf>
    <xf numFmtId="0" fontId="90" fillId="0" borderId="19" xfId="0" applyFont="1" applyBorder="1" applyAlignment="1">
      <alignment horizontal="left" vertical="top" wrapText="1"/>
    </xf>
    <xf numFmtId="0" fontId="90" fillId="0" borderId="14" xfId="0" applyFont="1" applyBorder="1" applyAlignment="1">
      <alignment vertical="top" wrapText="1"/>
    </xf>
    <xf numFmtId="0" fontId="96" fillId="0" borderId="19" xfId="0" applyFont="1" applyBorder="1" applyAlignment="1">
      <alignment wrapText="1"/>
    </xf>
    <xf numFmtId="0" fontId="127" fillId="0" borderId="6" xfId="0" applyNumberFormat="1" applyFont="1" applyBorder="1" applyAlignment="1">
      <alignment horizontal="left" vertical="center" wrapText="1"/>
    </xf>
    <xf numFmtId="0" fontId="127" fillId="0" borderId="0" xfId="0" applyNumberFormat="1" applyFont="1" applyBorder="1" applyAlignment="1">
      <alignment horizontal="left" vertical="center" wrapText="1"/>
    </xf>
    <xf numFmtId="0" fontId="90" fillId="0" borderId="5" xfId="0" applyFont="1" applyBorder="1" applyAlignment="1">
      <alignment vertical="center" wrapText="1"/>
    </xf>
    <xf numFmtId="0" fontId="127" fillId="0" borderId="14" xfId="0" applyNumberFormat="1" applyFont="1" applyBorder="1" applyAlignment="1">
      <alignment horizontal="left" vertical="center" wrapText="1"/>
    </xf>
    <xf numFmtId="0" fontId="90" fillId="0" borderId="19" xfId="0" applyFont="1" applyBorder="1" applyAlignment="1"/>
    <xf numFmtId="0" fontId="105" fillId="0" borderId="0" xfId="4" applyNumberFormat="1" applyFont="1" applyFill="1" applyAlignment="1" applyProtection="1">
      <alignment horizontal="center" vertical="center"/>
      <protection hidden="1"/>
    </xf>
    <xf numFmtId="0" fontId="96" fillId="0" borderId="0" xfId="4" applyFont="1" applyFill="1" applyAlignment="1" applyProtection="1">
      <alignment horizontal="center" vertical="center"/>
      <protection hidden="1"/>
    </xf>
    <xf numFmtId="0" fontId="105" fillId="0" borderId="36" xfId="4" applyNumberFormat="1" applyFont="1" applyBorder="1" applyAlignment="1" applyProtection="1">
      <alignment horizontal="left" indent="1"/>
    </xf>
    <xf numFmtId="0" fontId="105" fillId="0" borderId="28" xfId="4" applyFont="1" applyBorder="1" applyAlignment="1" applyProtection="1">
      <alignment horizontal="left" indent="1"/>
    </xf>
    <xf numFmtId="0" fontId="105" fillId="0" borderId="34" xfId="4" applyFont="1" applyBorder="1" applyAlignment="1" applyProtection="1">
      <alignment horizontal="left" indent="1"/>
    </xf>
    <xf numFmtId="165" fontId="105" fillId="0" borderId="36" xfId="4" applyNumberFormat="1" applyFont="1" applyBorder="1" applyAlignment="1" applyProtection="1">
      <alignment horizontal="left" indent="1"/>
    </xf>
    <xf numFmtId="165" fontId="105" fillId="0" borderId="34" xfId="4" applyNumberFormat="1" applyFont="1" applyBorder="1" applyAlignment="1" applyProtection="1">
      <alignment horizontal="left" indent="1"/>
    </xf>
    <xf numFmtId="0" fontId="105" fillId="0" borderId="0" xfId="4" applyNumberFormat="1" applyFont="1" applyAlignment="1" applyProtection="1">
      <alignment horizontal="center" vertical="center"/>
    </xf>
    <xf numFmtId="0" fontId="90" fillId="0" borderId="32" xfId="4" applyNumberFormat="1" applyFont="1" applyBorder="1" applyProtection="1"/>
    <xf numFmtId="0" fontId="90" fillId="0" borderId="33" xfId="4" applyNumberFormat="1" applyFont="1" applyBorder="1" applyProtection="1"/>
    <xf numFmtId="0" fontId="105" fillId="0" borderId="36" xfId="4" applyNumberFormat="1" applyFont="1" applyBorder="1" applyAlignment="1" applyProtection="1"/>
    <xf numFmtId="0" fontId="105" fillId="0" borderId="28" xfId="4" applyFont="1" applyBorder="1" applyAlignment="1" applyProtection="1"/>
    <xf numFmtId="0" fontId="105" fillId="0" borderId="34" xfId="4" applyFont="1" applyBorder="1" applyAlignment="1" applyProtection="1"/>
    <xf numFmtId="0" fontId="105" fillId="0" borderId="38" xfId="4" applyNumberFormat="1" applyFont="1" applyBorder="1" applyAlignment="1" applyProtection="1">
      <alignment horizontal="left" indent="1"/>
    </xf>
    <xf numFmtId="0" fontId="105" fillId="0" borderId="0" xfId="4" applyNumberFormat="1" applyFont="1" applyBorder="1" applyAlignment="1" applyProtection="1">
      <alignment horizontal="left" indent="1"/>
    </xf>
    <xf numFmtId="0" fontId="105" fillId="0" borderId="37" xfId="4" applyNumberFormat="1" applyFont="1" applyBorder="1" applyAlignment="1" applyProtection="1">
      <alignment horizontal="left" indent="1"/>
    </xf>
    <xf numFmtId="0" fontId="105" fillId="0" borderId="38"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vertical="center" indent="1"/>
    </xf>
    <xf numFmtId="0" fontId="105" fillId="0" borderId="37" xfId="4" applyNumberFormat="1" applyFont="1" applyBorder="1" applyAlignment="1" applyProtection="1">
      <alignment horizontal="left" vertical="center" indent="1"/>
    </xf>
    <xf numFmtId="0" fontId="96" fillId="0" borderId="36" xfId="4" applyNumberFormat="1" applyFont="1" applyBorder="1" applyProtection="1"/>
    <xf numFmtId="0" fontId="96" fillId="0" borderId="28" xfId="4" applyNumberFormat="1" applyFont="1" applyBorder="1" applyProtection="1"/>
    <xf numFmtId="0" fontId="96" fillId="0" borderId="34" xfId="4" applyNumberFormat="1" applyFont="1" applyBorder="1" applyProtection="1"/>
    <xf numFmtId="0" fontId="113" fillId="0" borderId="38" xfId="4" applyNumberFormat="1" applyFont="1" applyBorder="1" applyAlignment="1" applyProtection="1"/>
    <xf numFmtId="0" fontId="113" fillId="0" borderId="0" xfId="4" applyFont="1" applyBorder="1" applyAlignment="1" applyProtection="1"/>
    <xf numFmtId="0" fontId="113" fillId="0" borderId="37" xfId="4" applyFont="1" applyBorder="1" applyAlignment="1" applyProtection="1"/>
    <xf numFmtId="0" fontId="105" fillId="0" borderId="33" xfId="4" applyNumberFormat="1" applyFont="1" applyBorder="1" applyAlignment="1" applyProtection="1">
      <alignment horizontal="left" indent="1"/>
      <protection locked="0"/>
    </xf>
    <xf numFmtId="0" fontId="105" fillId="0" borderId="33" xfId="4" applyFont="1" applyBorder="1" applyAlignment="1" applyProtection="1">
      <alignment horizontal="left" indent="1"/>
      <protection locked="0"/>
    </xf>
    <xf numFmtId="0" fontId="105" fillId="0" borderId="29" xfId="4" applyFont="1" applyBorder="1" applyAlignment="1" applyProtection="1">
      <alignment horizontal="left" indent="1"/>
      <protection locked="0"/>
    </xf>
    <xf numFmtId="0" fontId="105" fillId="0" borderId="34" xfId="4" applyNumberFormat="1" applyFont="1" applyBorder="1" applyAlignment="1" applyProtection="1">
      <alignment horizontal="left" indent="1"/>
    </xf>
    <xf numFmtId="0" fontId="105" fillId="0" borderId="38" xfId="4" applyFont="1" applyBorder="1" applyAlignment="1" applyProtection="1"/>
    <xf numFmtId="0" fontId="105" fillId="0" borderId="0" xfId="4" applyFont="1" applyBorder="1" applyAlignment="1" applyProtection="1"/>
    <xf numFmtId="0" fontId="105" fillId="0" borderId="37" xfId="4" applyFont="1" applyBorder="1" applyAlignment="1" applyProtection="1"/>
    <xf numFmtId="0" fontId="105" fillId="0" borderId="0" xfId="4" applyNumberFormat="1" applyFont="1" applyAlignment="1" applyProtection="1">
      <alignment horizontal="center"/>
    </xf>
    <xf numFmtId="0" fontId="105" fillId="0" borderId="36" xfId="4" applyNumberFormat="1" applyFont="1" applyBorder="1" applyAlignment="1" applyProtection="1">
      <alignment horizontal="left" indent="1"/>
      <protection locked="0"/>
    </xf>
    <xf numFmtId="0" fontId="105" fillId="0" borderId="28" xfId="4" applyFont="1" applyBorder="1" applyAlignment="1">
      <alignment horizontal="left" indent="1"/>
    </xf>
    <xf numFmtId="0" fontId="105" fillId="0" borderId="34" xfId="4" applyFont="1" applyBorder="1" applyAlignment="1">
      <alignment horizontal="left" indent="1"/>
    </xf>
    <xf numFmtId="0" fontId="105" fillId="0" borderId="38" xfId="4" applyNumberFormat="1" applyFont="1" applyBorder="1" applyAlignment="1" applyProtection="1">
      <alignment horizontal="left" indent="1"/>
      <protection locked="0"/>
    </xf>
    <xf numFmtId="0" fontId="105" fillId="0" borderId="0" xfId="4" applyFont="1" applyBorder="1" applyAlignment="1">
      <alignment horizontal="left" indent="1"/>
    </xf>
    <xf numFmtId="0" fontId="105" fillId="0" borderId="37" xfId="4" applyFont="1" applyBorder="1" applyAlignment="1">
      <alignment horizontal="left" indent="1"/>
    </xf>
    <xf numFmtId="0" fontId="105" fillId="0" borderId="0" xfId="4" applyFont="1" applyBorder="1" applyAlignment="1" applyProtection="1">
      <alignment horizontal="left" indent="1"/>
    </xf>
    <xf numFmtId="0" fontId="105" fillId="0" borderId="37" xfId="4" applyFont="1" applyBorder="1" applyAlignment="1" applyProtection="1">
      <alignment horizontal="left" indent="1"/>
    </xf>
    <xf numFmtId="0" fontId="96" fillId="0" borderId="36" xfId="4" applyNumberFormat="1" applyFont="1" applyBorder="1" applyAlignment="1" applyProtection="1">
      <alignment horizontal="left" vertical="center" indent="1"/>
    </xf>
    <xf numFmtId="0" fontId="96" fillId="0" borderId="28" xfId="4" applyFont="1" applyBorder="1" applyAlignment="1" applyProtection="1">
      <alignment horizontal="left" vertical="center" indent="1"/>
    </xf>
    <xf numFmtId="0" fontId="96" fillId="0" borderId="34" xfId="4" applyFont="1" applyBorder="1" applyAlignment="1" applyProtection="1">
      <alignment horizontal="left" vertical="center" indent="1"/>
    </xf>
    <xf numFmtId="0" fontId="105" fillId="0" borderId="38" xfId="4" applyNumberFormat="1" applyFont="1" applyBorder="1" applyAlignment="1" applyProtection="1"/>
    <xf numFmtId="0" fontId="89" fillId="0" borderId="0" xfId="4" applyFont="1" applyAlignment="1">
      <alignment horizontal="center" vertical="center"/>
    </xf>
    <xf numFmtId="0" fontId="96" fillId="0" borderId="0" xfId="4" applyFont="1" applyAlignment="1">
      <alignment horizontal="center" vertical="center"/>
    </xf>
    <xf numFmtId="174" fontId="89" fillId="0" borderId="0" xfId="4" applyNumberFormat="1" applyFont="1" applyAlignment="1">
      <alignment horizontal="center" vertical="center"/>
    </xf>
    <xf numFmtId="174" fontId="96" fillId="0" borderId="0" xfId="4" applyNumberFormat="1" applyFont="1" applyAlignment="1">
      <alignment horizontal="center" vertical="center"/>
    </xf>
    <xf numFmtId="0" fontId="96" fillId="0" borderId="49" xfId="4" applyFont="1" applyBorder="1" applyAlignment="1" applyProtection="1">
      <protection locked="0"/>
    </xf>
    <xf numFmtId="0" fontId="105" fillId="0" borderId="0" xfId="4" applyFont="1" applyAlignment="1" applyProtection="1">
      <alignment horizontal="center" vertical="center"/>
    </xf>
    <xf numFmtId="174" fontId="105" fillId="0" borderId="0" xfId="4" applyNumberFormat="1" applyFont="1" applyAlignment="1" applyProtection="1">
      <alignment horizontal="center" vertical="center"/>
    </xf>
    <xf numFmtId="0" fontId="96" fillId="0" borderId="49" xfId="4" applyFont="1" applyBorder="1" applyAlignment="1" applyProtection="1">
      <alignment horizontal="left"/>
      <protection locked="0"/>
    </xf>
    <xf numFmtId="0" fontId="105" fillId="0" borderId="0" xfId="4" quotePrefix="1" applyFont="1" applyAlignment="1" applyProtection="1">
      <alignment horizontal="center" vertical="center"/>
    </xf>
    <xf numFmtId="0" fontId="105" fillId="0" borderId="0" xfId="4" applyNumberFormat="1" applyFont="1" applyAlignment="1">
      <alignment horizontal="center"/>
    </xf>
    <xf numFmtId="165" fontId="105" fillId="0" borderId="0" xfId="4" applyNumberFormat="1" applyFont="1" applyAlignment="1" applyProtection="1">
      <alignment horizontal="center" vertical="center"/>
    </xf>
    <xf numFmtId="165" fontId="89" fillId="0" borderId="0" xfId="4" applyNumberFormat="1" applyFont="1" applyAlignment="1" applyProtection="1">
      <alignment horizontal="center" vertical="center"/>
    </xf>
    <xf numFmtId="0" fontId="89" fillId="0" borderId="0" xfId="4" applyNumberFormat="1" applyFont="1" applyAlignment="1" applyProtection="1">
      <alignment horizontal="center" vertical="center"/>
    </xf>
    <xf numFmtId="3" fontId="90" fillId="0" borderId="57" xfId="4" applyNumberFormat="1" applyFont="1" applyBorder="1" applyAlignment="1" applyProtection="1">
      <alignment horizontal="right" indent="1"/>
      <protection locked="0"/>
    </xf>
    <xf numFmtId="0" fontId="94" fillId="0" borderId="0" xfId="4" applyFont="1" applyAlignment="1" applyProtection="1">
      <alignment horizontal="left" vertical="center" wrapText="1"/>
    </xf>
    <xf numFmtId="0" fontId="90" fillId="0" borderId="0" xfId="4" applyFont="1" applyBorder="1" applyAlignment="1" applyProtection="1">
      <alignment vertical="center" wrapText="1"/>
      <protection locked="0"/>
    </xf>
    <xf numFmtId="5" fontId="105" fillId="0" borderId="56" xfId="4" applyNumberFormat="1" applyFont="1" applyBorder="1" applyAlignment="1" applyProtection="1">
      <protection locked="0"/>
    </xf>
    <xf numFmtId="0" fontId="105" fillId="0" borderId="130" xfId="4" applyFont="1" applyBorder="1" applyAlignment="1" applyProtection="1">
      <protection locked="0"/>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89" fillId="0" borderId="15" xfId="4" applyFont="1" applyBorder="1" applyAlignment="1" applyProtection="1">
      <alignment horizontal="center"/>
    </xf>
    <xf numFmtId="0" fontId="90" fillId="0" borderId="0" xfId="4" applyFont="1" applyAlignment="1" applyProtection="1">
      <alignment horizontal="left" vertical="center" wrapText="1"/>
      <protection locked="0"/>
    </xf>
    <xf numFmtId="0" fontId="105" fillId="0" borderId="0" xfId="4" applyNumberFormat="1" applyFont="1" applyBorder="1" applyAlignment="1" applyProtection="1">
      <alignment horizontal="center"/>
    </xf>
    <xf numFmtId="0" fontId="89" fillId="0" borderId="0" xfId="4" applyFont="1" applyAlignment="1" applyProtection="1">
      <alignment horizontal="center" vertical="center" readingOrder="1"/>
    </xf>
    <xf numFmtId="0" fontId="89" fillId="0" borderId="0" xfId="4" applyFont="1" applyAlignment="1" applyProtection="1">
      <alignment horizontal="center" vertical="center"/>
    </xf>
    <xf numFmtId="170" fontId="96" fillId="0" borderId="28" xfId="4" applyNumberFormat="1" applyFont="1" applyBorder="1" applyAlignment="1" applyProtection="1">
      <alignment horizontal="center"/>
      <protection locked="0"/>
    </xf>
    <xf numFmtId="0" fontId="94" fillId="0" borderId="56" xfId="4" applyFont="1" applyBorder="1" applyAlignment="1" applyProtection="1">
      <alignment horizontal="left" vertical="center"/>
      <protection locked="0"/>
    </xf>
    <xf numFmtId="0" fontId="94" fillId="0" borderId="51" xfId="4" applyFont="1" applyBorder="1" applyAlignment="1" applyProtection="1">
      <alignment horizontal="left" vertical="center"/>
      <protection locked="0"/>
    </xf>
    <xf numFmtId="0" fontId="94" fillId="0" borderId="130" xfId="4" applyFont="1" applyBorder="1" applyAlignment="1" applyProtection="1">
      <alignment horizontal="left" vertical="center"/>
      <protection locked="0"/>
    </xf>
    <xf numFmtId="38" fontId="94" fillId="0" borderId="57" xfId="4" applyNumberFormat="1" applyFont="1" applyBorder="1" applyAlignment="1" applyProtection="1">
      <alignment horizontal="right" vertical="center"/>
      <protection locked="0"/>
    </xf>
    <xf numFmtId="38" fontId="94" fillId="0" borderId="56" xfId="4" applyNumberFormat="1" applyFont="1" applyBorder="1" applyAlignment="1" applyProtection="1">
      <alignment horizontal="right" vertical="center"/>
      <protection locked="0"/>
    </xf>
    <xf numFmtId="38" fontId="94" fillId="0" borderId="51" xfId="4" applyNumberFormat="1" applyFont="1" applyBorder="1" applyAlignment="1" applyProtection="1">
      <alignment horizontal="right" vertical="center"/>
      <protection locked="0"/>
    </xf>
    <xf numFmtId="38" fontId="94" fillId="0" borderId="130" xfId="4" applyNumberFormat="1" applyFont="1" applyBorder="1" applyAlignment="1" applyProtection="1">
      <alignment horizontal="right" vertical="center"/>
      <protection locked="0"/>
    </xf>
    <xf numFmtId="0" fontId="95" fillId="0" borderId="56" xfId="4" applyFont="1" applyBorder="1" applyAlignment="1" applyProtection="1">
      <alignment horizontal="center" vertical="center"/>
      <protection locked="0"/>
    </xf>
    <xf numFmtId="0" fontId="95" fillId="0" borderId="51" xfId="4" applyFont="1" applyBorder="1" applyAlignment="1" applyProtection="1">
      <alignment horizontal="center" vertical="center"/>
      <protection locked="0"/>
    </xf>
    <xf numFmtId="0" fontId="95" fillId="0" borderId="130" xfId="4" applyFont="1" applyBorder="1" applyAlignment="1" applyProtection="1">
      <alignment horizontal="center" vertical="center"/>
      <protection locked="0"/>
    </xf>
    <xf numFmtId="6" fontId="94" fillId="0" borderId="57" xfId="4" applyNumberFormat="1" applyFont="1" applyBorder="1" applyAlignment="1" applyProtection="1">
      <alignment horizontal="right" vertical="center"/>
      <protection locked="0"/>
    </xf>
    <xf numFmtId="6" fontId="94" fillId="0" borderId="56" xfId="4" applyNumberFormat="1" applyFont="1" applyBorder="1" applyProtection="1">
      <protection locked="0"/>
    </xf>
    <xf numFmtId="6" fontId="94" fillId="0" borderId="130" xfId="4" applyNumberFormat="1" applyFont="1" applyBorder="1" applyProtection="1">
      <protection locked="0"/>
    </xf>
    <xf numFmtId="0" fontId="96" fillId="0" borderId="58" xfId="4" applyFont="1" applyBorder="1" applyAlignment="1" applyProtection="1">
      <alignment horizontal="center"/>
      <protection locked="0"/>
    </xf>
    <xf numFmtId="0" fontId="94" fillId="0" borderId="56" xfId="4" applyFont="1" applyBorder="1" applyAlignment="1" applyProtection="1">
      <alignment horizontal="center"/>
    </xf>
    <xf numFmtId="0" fontId="94" fillId="0" borderId="51" xfId="4" applyFont="1" applyBorder="1" applyAlignment="1" applyProtection="1">
      <alignment horizontal="center"/>
    </xf>
    <xf numFmtId="0" fontId="94" fillId="0" borderId="130" xfId="4" applyFont="1" applyBorder="1" applyAlignment="1" applyProtection="1">
      <alignment horizontal="center"/>
    </xf>
    <xf numFmtId="0" fontId="105" fillId="0" borderId="0" xfId="4" applyNumberFormat="1" applyFont="1" applyBorder="1" applyAlignment="1" applyProtection="1">
      <alignment horizontal="center" vertical="center" wrapText="1"/>
    </xf>
    <xf numFmtId="0" fontId="96" fillId="0" borderId="0" xfId="4" applyNumberFormat="1" applyFont="1" applyAlignment="1">
      <alignment horizontal="center" vertical="center" wrapText="1"/>
    </xf>
    <xf numFmtId="165" fontId="105" fillId="0" borderId="0" xfId="4" applyNumberFormat="1" applyFont="1" applyBorder="1" applyAlignment="1" applyProtection="1">
      <alignment horizontal="center" vertical="center" wrapText="1"/>
    </xf>
    <xf numFmtId="0" fontId="96" fillId="0" borderId="0" xfId="4" applyFont="1" applyAlignment="1">
      <alignment horizontal="center" vertical="center" wrapText="1"/>
    </xf>
    <xf numFmtId="169" fontId="89" fillId="0" borderId="0" xfId="4" applyNumberFormat="1" applyFont="1" applyAlignment="1" applyProtection="1">
      <alignment horizontal="center" vertical="center" wrapText="1"/>
    </xf>
    <xf numFmtId="0" fontId="90" fillId="0" borderId="0" xfId="4" applyFont="1" applyAlignment="1">
      <alignment horizontal="center" vertical="center" wrapText="1"/>
    </xf>
    <xf numFmtId="0" fontId="96" fillId="0" borderId="28" xfId="4" applyFont="1" applyBorder="1" applyAlignment="1" applyProtection="1">
      <alignment horizontal="center"/>
      <protection locked="0"/>
    </xf>
    <xf numFmtId="0" fontId="96" fillId="0" borderId="0" xfId="4" applyFont="1" applyAlignment="1" applyProtection="1">
      <alignment horizontal="left" vertical="top" wrapText="1"/>
      <protection locked="0"/>
    </xf>
    <xf numFmtId="8" fontId="96" fillId="0" borderId="0" xfId="4" applyNumberFormat="1" applyFont="1" applyAlignment="1" applyProtection="1">
      <alignment horizontal="left" vertical="top" wrapText="1"/>
      <protection locked="0"/>
    </xf>
    <xf numFmtId="0" fontId="96" fillId="0" borderId="0" xfId="4" applyFont="1" applyBorder="1" applyAlignment="1" applyProtection="1">
      <alignment horizontal="left" vertical="top" wrapText="1"/>
      <protection locked="0"/>
    </xf>
    <xf numFmtId="0" fontId="89" fillId="0" borderId="0" xfId="4" applyFont="1" applyAlignment="1" applyProtection="1">
      <alignment horizontal="center" vertical="center" wrapText="1"/>
    </xf>
    <xf numFmtId="0" fontId="89" fillId="0" borderId="0" xfId="4" applyFont="1" applyBorder="1" applyAlignment="1" applyProtection="1">
      <alignment horizontal="center" vertical="center" wrapText="1"/>
    </xf>
    <xf numFmtId="0" fontId="96" fillId="0" borderId="0" xfId="4" applyFont="1" applyBorder="1" applyAlignment="1">
      <alignment horizontal="center" vertical="center" wrapText="1"/>
    </xf>
    <xf numFmtId="0" fontId="105" fillId="0" borderId="58" xfId="4" applyNumberFormat="1" applyFont="1" applyBorder="1" applyAlignment="1" applyProtection="1">
      <alignment horizontal="center"/>
      <protection locked="0"/>
    </xf>
    <xf numFmtId="0" fontId="105" fillId="0" borderId="58" xfId="4" applyFont="1" applyBorder="1" applyAlignment="1" applyProtection="1">
      <alignment horizontal="center"/>
      <protection locked="0"/>
    </xf>
    <xf numFmtId="0" fontId="105" fillId="0" borderId="58" xfId="4" applyFont="1" applyBorder="1" applyAlignment="1" applyProtection="1">
      <alignment horizontal="center" vertical="center"/>
      <protection locked="0"/>
    </xf>
    <xf numFmtId="0" fontId="89" fillId="0" borderId="0" xfId="4" applyNumberFormat="1" applyFont="1" applyBorder="1" applyAlignment="1" applyProtection="1">
      <alignment horizontal="center" vertical="center" wrapText="1"/>
    </xf>
    <xf numFmtId="165" fontId="89" fillId="0" borderId="0" xfId="4" applyNumberFormat="1" applyFont="1" applyBorder="1" applyAlignment="1" applyProtection="1">
      <alignment horizontal="center" vertical="center" wrapText="1"/>
    </xf>
    <xf numFmtId="0" fontId="89" fillId="0" borderId="16" xfId="4" applyFont="1" applyBorder="1" applyAlignment="1" applyProtection="1">
      <alignment horizontal="center" vertical="center" wrapText="1"/>
    </xf>
    <xf numFmtId="0" fontId="89"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5724A07-F8C9-49D4-A843-7B7A8776B5D2}"/>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B1E77BB2-52A5-46C7-9F86-BE7C8F14EAA7}"/>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48143" name="Text 1">
          <a:extLst>
            <a:ext uri="{FF2B5EF4-FFF2-40B4-BE49-F238E27FC236}">
              <a16:creationId xmlns:a16="http://schemas.microsoft.com/office/drawing/2014/main" id="{4F98A38F-6043-4EFA-A599-E4312FE827EB}"/>
            </a:ext>
          </a:extLst>
        </xdr:cNvPr>
        <xdr:cNvSpPr txBox="1">
          <a:spLocks noChangeArrowheads="1"/>
        </xdr:cNvSpPr>
      </xdr:nvSpPr>
      <xdr:spPr bwMode="auto">
        <a:xfrm>
          <a:off x="1085850" y="8848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48144" name="Rectangle 2">
          <a:extLst>
            <a:ext uri="{FF2B5EF4-FFF2-40B4-BE49-F238E27FC236}">
              <a16:creationId xmlns:a16="http://schemas.microsoft.com/office/drawing/2014/main" id="{7CE23C99-312A-4B9C-B307-759A848E225B}"/>
            </a:ext>
          </a:extLst>
        </xdr:cNvPr>
        <xdr:cNvSpPr>
          <a:spLocks noChangeArrowheads="1"/>
        </xdr:cNvSpPr>
      </xdr:nvSpPr>
      <xdr:spPr bwMode="auto">
        <a:xfrm>
          <a:off x="1085850" y="867727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642553B-6E18-46ED-B659-4188103BA0CD}"/>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DDD94A0A-0DD5-4428-A215-BD3320F46677}"/>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5449EABF-F978-42D1-93DE-7BF9255E5A33}"/>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4E62F9BF-FE31-449C-97EA-47F67C18611B}"/>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743889A3-A3E8-4FF3-B752-6B67E278C526}"/>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98776559-F770-4BD7-8CBE-C3046D201501}"/>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714375</xdr:colOff>
          <xdr:row>3</xdr:row>
          <xdr:rowOff>28575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DDA88E81-B37C-4BD9-A08A-381A91CA081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79" name="Text 1">
          <a:extLst>
            <a:ext uri="{FF2B5EF4-FFF2-40B4-BE49-F238E27FC236}">
              <a16:creationId xmlns:a16="http://schemas.microsoft.com/office/drawing/2014/main" id="{4B97156B-E53A-4524-AC60-21BD287B9217}"/>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80" name="Rectangle 2">
          <a:extLst>
            <a:ext uri="{FF2B5EF4-FFF2-40B4-BE49-F238E27FC236}">
              <a16:creationId xmlns:a16="http://schemas.microsoft.com/office/drawing/2014/main" id="{D5D13790-F3A0-4CC5-856D-C22507373C4C}"/>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2003" name="Text 1">
          <a:extLst>
            <a:ext uri="{FF2B5EF4-FFF2-40B4-BE49-F238E27FC236}">
              <a16:creationId xmlns:a16="http://schemas.microsoft.com/office/drawing/2014/main" id="{25BB4DCD-1F64-47DA-A0EB-EC884B6EC32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2004" name="Rectangle 2">
          <a:extLst>
            <a:ext uri="{FF2B5EF4-FFF2-40B4-BE49-F238E27FC236}">
              <a16:creationId xmlns:a16="http://schemas.microsoft.com/office/drawing/2014/main" id="{775F631F-7B8E-43DF-9F72-4E6DC24CE8F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3027" name="Text 1">
          <a:extLst>
            <a:ext uri="{FF2B5EF4-FFF2-40B4-BE49-F238E27FC236}">
              <a16:creationId xmlns:a16="http://schemas.microsoft.com/office/drawing/2014/main" id="{9B4DC2CD-4B5A-4847-A82B-876B06DE9D8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3028" name="Rectangle 2">
          <a:extLst>
            <a:ext uri="{FF2B5EF4-FFF2-40B4-BE49-F238E27FC236}">
              <a16:creationId xmlns:a16="http://schemas.microsoft.com/office/drawing/2014/main" id="{71131DFC-CE24-41AA-8823-6B72871F1D3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4051" name="Text 1">
          <a:extLst>
            <a:ext uri="{FF2B5EF4-FFF2-40B4-BE49-F238E27FC236}">
              <a16:creationId xmlns:a16="http://schemas.microsoft.com/office/drawing/2014/main" id="{FAEA53D1-C210-4AC1-B430-5F78674C4E0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4052" name="Rectangle 2">
          <a:extLst>
            <a:ext uri="{FF2B5EF4-FFF2-40B4-BE49-F238E27FC236}">
              <a16:creationId xmlns:a16="http://schemas.microsoft.com/office/drawing/2014/main" id="{72E81993-E184-4FF7-B831-78C272A0735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5075" name="Text 1">
          <a:extLst>
            <a:ext uri="{FF2B5EF4-FFF2-40B4-BE49-F238E27FC236}">
              <a16:creationId xmlns:a16="http://schemas.microsoft.com/office/drawing/2014/main" id="{35D0BF33-5B6C-4701-97B8-8AD843708538}"/>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5076" name="Rectangle 2">
          <a:extLst>
            <a:ext uri="{FF2B5EF4-FFF2-40B4-BE49-F238E27FC236}">
              <a16:creationId xmlns:a16="http://schemas.microsoft.com/office/drawing/2014/main" id="{DA0677B5-F342-4337-9A65-946B121C4068}"/>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9">
        <f>+'AFR20'!E4</f>
        <v>44119</v>
      </c>
      <c r="C1" s="2089"/>
      <c r="D1" s="2090"/>
      <c r="I1" s="2135" t="s">
        <v>402</v>
      </c>
      <c r="J1" s="2136"/>
      <c r="K1" s="2136"/>
      <c r="L1" s="2136"/>
      <c r="M1" s="2136"/>
      <c r="N1" s="2136"/>
      <c r="O1" s="2136"/>
      <c r="P1" s="2136"/>
      <c r="Q1" s="2136"/>
      <c r="R1" s="2136"/>
      <c r="S1" s="2136"/>
    </row>
    <row r="2" spans="1:32" ht="12" customHeight="1" x14ac:dyDescent="0.2">
      <c r="A2" s="1830" t="str">
        <f>"Due to ISBE on "</f>
        <v xml:space="preserve">Due to ISBE on </v>
      </c>
      <c r="B2" s="2091">
        <f>+'AFR20'!F4</f>
        <v>44151</v>
      </c>
      <c r="C2" s="2091"/>
      <c r="D2" s="2092"/>
      <c r="I2" s="2137" t="s">
        <v>2002</v>
      </c>
      <c r="J2" s="2136"/>
      <c r="K2" s="2136"/>
      <c r="L2" s="2136"/>
      <c r="M2" s="2136"/>
      <c r="N2" s="2136"/>
      <c r="O2" s="2136"/>
      <c r="P2" s="2136"/>
      <c r="Q2" s="2136"/>
      <c r="R2" s="2136"/>
      <c r="S2" s="2136"/>
    </row>
    <row r="3" spans="1:32" ht="12" customHeight="1" x14ac:dyDescent="0.2">
      <c r="A3" s="1833" t="str">
        <f>"SD/JA"&amp;MID('AFR20'!E2,3,2)</f>
        <v>SD/JA20</v>
      </c>
      <c r="B3" s="151"/>
      <c r="C3" s="151"/>
      <c r="D3" s="152"/>
      <c r="I3" s="2137" t="s">
        <v>52</v>
      </c>
      <c r="J3" s="2136"/>
      <c r="K3" s="2136"/>
      <c r="L3" s="2136"/>
      <c r="M3" s="2136"/>
      <c r="N3" s="2136"/>
      <c r="O3" s="2136"/>
      <c r="P3" s="2136"/>
      <c r="Q3" s="2136"/>
      <c r="R3" s="2136"/>
      <c r="S3" s="2136"/>
    </row>
    <row r="4" spans="1:32" ht="12" customHeight="1" x14ac:dyDescent="0.2">
      <c r="A4" s="37"/>
      <c r="I4" s="2137" t="s">
        <v>521</v>
      </c>
      <c r="J4" s="2136"/>
      <c r="K4" s="2136"/>
      <c r="L4" s="2136"/>
      <c r="M4" s="2136"/>
      <c r="N4" s="2136"/>
      <c r="O4" s="2136"/>
      <c r="P4" s="2136"/>
      <c r="Q4" s="2136"/>
      <c r="R4" s="2136"/>
      <c r="S4" s="2136"/>
    </row>
    <row r="5" spans="1:32" ht="14.1" customHeight="1" x14ac:dyDescent="0.2">
      <c r="B5" s="101" t="s">
        <v>2026</v>
      </c>
      <c r="C5" s="26" t="s">
        <v>904</v>
      </c>
      <c r="D5" s="81"/>
      <c r="E5" s="81"/>
      <c r="H5" s="38"/>
      <c r="I5" s="2144" t="s">
        <v>675</v>
      </c>
      <c r="J5" s="2064"/>
      <c r="K5" s="2064"/>
      <c r="L5" s="2064"/>
      <c r="M5" s="2064"/>
      <c r="N5" s="2064"/>
      <c r="O5" s="2064"/>
      <c r="P5" s="2064"/>
      <c r="Q5" s="2064"/>
      <c r="R5" s="2064"/>
      <c r="S5" s="2064"/>
      <c r="AF5" s="1826"/>
    </row>
    <row r="6" spans="1:32" ht="14.1" customHeight="1" x14ac:dyDescent="0.2">
      <c r="B6" s="101"/>
      <c r="C6" s="26" t="s">
        <v>905</v>
      </c>
      <c r="D6" s="81"/>
      <c r="E6" s="81"/>
      <c r="I6" s="2143" t="s">
        <v>877</v>
      </c>
      <c r="J6" s="2064"/>
      <c r="K6" s="2064"/>
      <c r="L6" s="2064"/>
      <c r="M6" s="2064"/>
      <c r="N6" s="2064"/>
      <c r="O6" s="2064"/>
      <c r="P6" s="2064"/>
      <c r="Q6" s="2064"/>
      <c r="R6" s="2064"/>
      <c r="S6" s="2064"/>
    </row>
    <row r="7" spans="1:32" ht="12.2" customHeight="1" x14ac:dyDescent="0.2">
      <c r="I7" s="2138" t="str">
        <f>"June 30, "&amp;'AFR20'!E2</f>
        <v>June 30, 2020</v>
      </c>
      <c r="J7" s="2139"/>
      <c r="K7" s="2139"/>
      <c r="L7" s="2139"/>
      <c r="M7" s="2139"/>
      <c r="N7" s="2139"/>
      <c r="O7" s="2139"/>
      <c r="P7" s="2139"/>
      <c r="Q7" s="2139"/>
      <c r="R7" s="2139"/>
      <c r="S7" s="213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0" t="s">
        <v>669</v>
      </c>
      <c r="J9" s="2141"/>
      <c r="K9" s="2141"/>
      <c r="L9" s="2141"/>
      <c r="M9" s="2141"/>
      <c r="N9" s="2141"/>
      <c r="O9" s="2141"/>
      <c r="P9" s="2141"/>
      <c r="Q9" s="2141"/>
      <c r="R9" s="2141"/>
      <c r="S9" s="2142"/>
      <c r="T9" s="2060" t="s">
        <v>530</v>
      </c>
      <c r="U9" s="2061"/>
      <c r="V9" s="2061"/>
      <c r="W9" s="2061"/>
      <c r="X9" s="2061"/>
      <c r="Y9" s="2061"/>
      <c r="Z9" s="2061"/>
      <c r="AA9" s="2062"/>
    </row>
    <row r="10" spans="1:32" ht="13.5" customHeight="1" x14ac:dyDescent="0.2">
      <c r="A10" s="2069" t="s">
        <v>670</v>
      </c>
      <c r="B10" s="2070"/>
      <c r="C10" s="2070"/>
      <c r="D10" s="2070"/>
      <c r="E10" s="2070"/>
      <c r="F10" s="2070"/>
      <c r="G10" s="2070"/>
      <c r="H10" s="2071"/>
      <c r="I10" s="29"/>
      <c r="J10" s="30"/>
      <c r="K10" s="28"/>
      <c r="R10" s="30"/>
      <c r="S10" s="30"/>
      <c r="T10" s="2063"/>
      <c r="U10" s="2064"/>
      <c r="V10" s="2064"/>
      <c r="W10" s="2064"/>
      <c r="X10" s="2064"/>
      <c r="Y10" s="2064"/>
      <c r="Z10" s="2064"/>
      <c r="AA10" s="2065"/>
    </row>
    <row r="11" spans="1:32" ht="14.25" customHeight="1" x14ac:dyDescent="0.2">
      <c r="A11" s="2072" t="s">
        <v>949</v>
      </c>
      <c r="B11" s="2073"/>
      <c r="C11" s="2073"/>
      <c r="D11" s="2073"/>
      <c r="E11" s="2073"/>
      <c r="F11" s="2073"/>
      <c r="G11" s="2073"/>
      <c r="H11" s="2074"/>
      <c r="I11" s="27"/>
      <c r="J11" s="71"/>
      <c r="K11" s="27"/>
      <c r="O11" s="144" t="s">
        <v>2017</v>
      </c>
      <c r="P11" s="97" t="s">
        <v>199</v>
      </c>
      <c r="Q11" s="30"/>
      <c r="R11" s="28"/>
      <c r="S11" s="27"/>
      <c r="T11" s="2066"/>
      <c r="U11" s="2067"/>
      <c r="V11" s="2067"/>
      <c r="W11" s="2067"/>
      <c r="X11" s="2067"/>
      <c r="Y11" s="2067"/>
      <c r="Z11" s="2067"/>
      <c r="AA11" s="206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2">
        <v>53102011026</v>
      </c>
      <c r="B13" s="2133"/>
      <c r="C13" s="2133"/>
      <c r="D13" s="2133"/>
      <c r="E13" s="2133"/>
      <c r="F13" s="2133"/>
      <c r="G13" s="2133"/>
      <c r="H13" s="2134"/>
      <c r="I13" s="31"/>
      <c r="J13" s="30"/>
      <c r="K13" s="28"/>
      <c r="L13" s="30"/>
      <c r="M13" s="30"/>
      <c r="N13" s="30"/>
      <c r="O13" s="30"/>
      <c r="P13" s="30"/>
      <c r="Q13" s="30"/>
      <c r="R13" s="30"/>
      <c r="S13" s="30"/>
      <c r="T13" s="2080" t="s">
        <v>2018</v>
      </c>
      <c r="U13" s="2081"/>
      <c r="V13" s="2081"/>
      <c r="W13" s="2081"/>
      <c r="X13" s="2081"/>
      <c r="Y13" s="2082"/>
      <c r="Z13" s="2082"/>
      <c r="AA13" s="208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8" t="s">
        <v>2027</v>
      </c>
      <c r="B15" s="2111"/>
      <c r="C15" s="2111"/>
      <c r="D15" s="2111"/>
      <c r="E15" s="2111"/>
      <c r="F15" s="2111"/>
      <c r="G15" s="2111"/>
      <c r="H15" s="2112"/>
      <c r="T15" s="2084" t="s">
        <v>2019</v>
      </c>
      <c r="U15" s="2085"/>
      <c r="V15" s="2085"/>
      <c r="W15" s="2085"/>
      <c r="X15" s="2085"/>
      <c r="Y15" s="2086"/>
      <c r="Z15" s="2086"/>
      <c r="AA15" s="208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2146</v>
      </c>
      <c r="B17" s="2127"/>
      <c r="C17" s="2127"/>
      <c r="D17" s="2127"/>
      <c r="E17" s="2127"/>
      <c r="F17" s="2127"/>
      <c r="G17" s="2127"/>
      <c r="H17" s="2128"/>
      <c r="T17" s="2114" t="s">
        <v>2020</v>
      </c>
      <c r="U17" s="2115"/>
      <c r="V17" s="2115"/>
      <c r="W17" s="2115"/>
      <c r="X17" s="2115"/>
      <c r="Y17" s="2115"/>
      <c r="Z17" s="2115"/>
      <c r="AA17" s="2116"/>
    </row>
    <row r="18" spans="1:27" ht="13.5" customHeight="1" x14ac:dyDescent="0.2">
      <c r="A18" s="82" t="s">
        <v>527</v>
      </c>
      <c r="B18" s="73"/>
      <c r="C18" s="69"/>
      <c r="D18" s="73"/>
      <c r="E18" s="73"/>
      <c r="F18" s="73"/>
      <c r="G18" s="73"/>
      <c r="H18" s="53"/>
      <c r="I18" s="2124" t="s">
        <v>671</v>
      </c>
      <c r="J18" s="2125"/>
      <c r="K18" s="2125"/>
      <c r="L18" s="2125"/>
      <c r="M18" s="2125"/>
      <c r="N18" s="2125"/>
      <c r="O18" s="2125"/>
      <c r="P18" s="2125"/>
      <c r="Q18" s="2125"/>
      <c r="R18" s="2125"/>
      <c r="S18" s="2126"/>
      <c r="T18" s="82" t="s">
        <v>706</v>
      </c>
      <c r="U18" s="48"/>
      <c r="V18" s="69"/>
      <c r="W18" s="47"/>
      <c r="X18" s="82" t="s">
        <v>264</v>
      </c>
      <c r="Y18" s="78"/>
      <c r="Z18" s="154" t="s">
        <v>672</v>
      </c>
      <c r="AA18" s="44"/>
    </row>
    <row r="19" spans="1:27" ht="13.5" customHeight="1" x14ac:dyDescent="0.2">
      <c r="A19" s="2078" t="s">
        <v>2028</v>
      </c>
      <c r="B19" s="2079"/>
      <c r="C19" s="2079"/>
      <c r="D19" s="2079"/>
      <c r="E19" s="2079"/>
      <c r="F19" s="2079"/>
      <c r="G19" s="2079"/>
      <c r="H19" s="2077"/>
      <c r="I19" s="30"/>
      <c r="J19" s="96"/>
      <c r="K19" s="40"/>
      <c r="L19" s="38"/>
      <c r="M19" s="109" t="s">
        <v>312</v>
      </c>
      <c r="P19" s="27"/>
      <c r="Q19" s="27"/>
      <c r="R19" s="27"/>
      <c r="S19" s="31"/>
      <c r="T19" s="2078" t="s">
        <v>2021</v>
      </c>
      <c r="U19" s="2076"/>
      <c r="V19" s="2076"/>
      <c r="W19" s="2077"/>
      <c r="X19" s="2113" t="s">
        <v>2022</v>
      </c>
      <c r="Y19" s="2076"/>
      <c r="Z19" s="2088">
        <v>61761</v>
      </c>
      <c r="AA19" s="207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5" t="s">
        <v>2029</v>
      </c>
      <c r="B21" s="2076"/>
      <c r="C21" s="2076"/>
      <c r="D21" s="2076"/>
      <c r="E21" s="2076"/>
      <c r="F21" s="2076"/>
      <c r="G21" s="2076"/>
      <c r="H21" s="2077"/>
      <c r="I21" s="2120" t="s">
        <v>673</v>
      </c>
      <c r="J21" s="2064"/>
      <c r="K21" s="2064"/>
      <c r="L21" s="2064"/>
      <c r="M21" s="2064"/>
      <c r="N21" s="2064"/>
      <c r="O21" s="2064"/>
      <c r="P21" s="2064"/>
      <c r="Q21" s="2064"/>
      <c r="R21" s="2064"/>
      <c r="S21" s="2065"/>
      <c r="T21" s="2101">
        <v>3094522417</v>
      </c>
      <c r="U21" s="2102"/>
      <c r="V21" s="2102"/>
      <c r="W21" s="2102"/>
      <c r="X21" s="2129">
        <v>3098889261</v>
      </c>
      <c r="Y21" s="2130"/>
      <c r="Z21" s="2130"/>
      <c r="AA21" s="2131"/>
    </row>
    <row r="22" spans="1:27" ht="13.5" customHeight="1" x14ac:dyDescent="0.2">
      <c r="A22" s="84" t="s">
        <v>528</v>
      </c>
      <c r="B22" s="56"/>
      <c r="C22" s="56"/>
      <c r="D22" s="56"/>
      <c r="E22" s="56"/>
      <c r="F22" s="56"/>
      <c r="G22" s="56"/>
      <c r="H22" s="57"/>
      <c r="I22" s="2121" t="s">
        <v>1415</v>
      </c>
      <c r="J22" s="2122"/>
      <c r="K22" s="2122"/>
      <c r="L22" s="2122"/>
      <c r="M22" s="2122"/>
      <c r="N22" s="2122"/>
      <c r="O22" s="2122"/>
      <c r="P22" s="2122"/>
      <c r="Q22" s="2122"/>
      <c r="R22" s="2122"/>
      <c r="S22" s="2123"/>
      <c r="T22" s="82" t="s">
        <v>1502</v>
      </c>
      <c r="U22" s="48"/>
      <c r="V22" s="69"/>
      <c r="W22" s="48"/>
      <c r="X22" s="155" t="s">
        <v>1309</v>
      </c>
      <c r="Z22" s="43"/>
      <c r="AA22" s="44"/>
    </row>
    <row r="23" spans="1:27" ht="13.5" customHeight="1" x14ac:dyDescent="0.2">
      <c r="A23" s="2117" t="s">
        <v>2030</v>
      </c>
      <c r="B23" s="2118"/>
      <c r="C23" s="2118"/>
      <c r="D23" s="2118"/>
      <c r="E23" s="2118"/>
      <c r="F23" s="2118"/>
      <c r="G23" s="2118"/>
      <c r="H23" s="2119"/>
      <c r="T23" s="2096" t="s">
        <v>2024</v>
      </c>
      <c r="U23" s="2097"/>
      <c r="V23" s="2097"/>
      <c r="W23" s="2097"/>
      <c r="X23" s="2110">
        <v>44530</v>
      </c>
      <c r="Y23" s="2111"/>
      <c r="Z23" s="2111"/>
      <c r="AA23" s="2112"/>
    </row>
    <row r="24" spans="1:27" ht="14.1" customHeight="1" x14ac:dyDescent="0.2">
      <c r="A24" s="85" t="s">
        <v>672</v>
      </c>
      <c r="B24" s="46"/>
      <c r="C24" s="46"/>
      <c r="D24" s="46"/>
      <c r="E24" s="46"/>
      <c r="F24" s="46"/>
      <c r="G24" s="46"/>
      <c r="H24" s="58"/>
      <c r="J24" s="2164">
        <f>IF(B5="x",IF(AUDITCHECK!D29="AFR form Incomplete.","",IF(AUDITCHECK!D29="Deficit reduction plan is required.","School District must complete a deficit reduction plan in the 2019-2020 Budget",)),"")</f>
        <v>0</v>
      </c>
      <c r="K24" s="2164"/>
      <c r="L24" s="2164"/>
      <c r="M24" s="2164"/>
      <c r="N24" s="2164"/>
      <c r="O24" s="2164"/>
      <c r="P24" s="2164"/>
      <c r="Q24" s="2164"/>
      <c r="R24" s="2164"/>
      <c r="S24" s="2165"/>
      <c r="T24" s="102" t="s">
        <v>528</v>
      </c>
      <c r="U24" s="103"/>
      <c r="V24" s="103"/>
      <c r="W24" s="103"/>
      <c r="X24" s="104"/>
      <c r="Y24" s="104"/>
      <c r="Z24" s="104"/>
      <c r="AA24" s="105"/>
    </row>
    <row r="25" spans="1:27" ht="14.1" customHeight="1" x14ac:dyDescent="0.2">
      <c r="A25" s="2075">
        <v>61738</v>
      </c>
      <c r="B25" s="2076"/>
      <c r="C25" s="2076"/>
      <c r="D25" s="2076"/>
      <c r="E25" s="2076"/>
      <c r="F25" s="2076"/>
      <c r="G25" s="2076"/>
      <c r="H25" s="2077"/>
      <c r="I25" s="110"/>
      <c r="J25" s="2166"/>
      <c r="K25" s="2166"/>
      <c r="L25" s="2166"/>
      <c r="M25" s="2166"/>
      <c r="N25" s="2166"/>
      <c r="O25" s="2166"/>
      <c r="P25" s="2166"/>
      <c r="Q25" s="2166"/>
      <c r="R25" s="2166"/>
      <c r="S25" s="2167"/>
      <c r="T25" s="2093" t="s">
        <v>2023</v>
      </c>
      <c r="U25" s="2094"/>
      <c r="V25" s="2094"/>
      <c r="W25" s="2094"/>
      <c r="X25" s="2094"/>
      <c r="Y25" s="2094"/>
      <c r="Z25" s="2094"/>
      <c r="AA25" s="20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7" t="s">
        <v>1497</v>
      </c>
      <c r="J27" s="2125"/>
      <c r="K27" s="2125"/>
      <c r="L27" s="2125"/>
      <c r="M27" s="2125"/>
      <c r="N27" s="2125"/>
      <c r="O27" s="2125"/>
      <c r="P27" s="2125"/>
      <c r="Q27" s="2125"/>
      <c r="R27" s="2125"/>
      <c r="S27" s="212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2017</v>
      </c>
      <c r="M29" s="40" t="s">
        <v>99</v>
      </c>
      <c r="N29" s="32" t="s">
        <v>1509</v>
      </c>
      <c r="O29" s="32"/>
      <c r="P29" s="32"/>
      <c r="Q29" s="32"/>
      <c r="R29" s="32"/>
      <c r="S29" s="120"/>
      <c r="T29" s="6"/>
      <c r="U29" s="6"/>
      <c r="V29" s="6"/>
      <c r="W29" s="6"/>
      <c r="X29" s="6"/>
      <c r="Y29" s="6"/>
      <c r="Z29" s="6"/>
      <c r="AA29" s="129"/>
    </row>
    <row r="30" spans="1:27" ht="13.5" customHeight="1" x14ac:dyDescent="0.2">
      <c r="A30" s="149"/>
      <c r="B30" s="133" t="s">
        <v>2017</v>
      </c>
      <c r="C30" s="121" t="s">
        <v>1156</v>
      </c>
      <c r="D30" s="28"/>
      <c r="E30" s="28"/>
      <c r="F30" s="136"/>
      <c r="G30" s="111"/>
      <c r="H30" s="111"/>
      <c r="I30" s="51"/>
      <c r="J30" s="99"/>
      <c r="K30" s="28" t="s">
        <v>572</v>
      </c>
      <c r="L30" s="99" t="s">
        <v>2017</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2017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9"/>
      <c r="Q35" s="2076"/>
      <c r="R35" s="207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6"/>
      <c r="B38" s="2127"/>
      <c r="C38" s="2127"/>
      <c r="D38" s="2127"/>
      <c r="E38" s="2127"/>
      <c r="F38" s="2076"/>
      <c r="G38" s="2076"/>
      <c r="H38" s="2077"/>
      <c r="I38" s="2151"/>
      <c r="J38" s="2085"/>
      <c r="K38" s="2085"/>
      <c r="L38" s="2085"/>
      <c r="M38" s="2085"/>
      <c r="N38" s="2085"/>
      <c r="O38" s="2085"/>
      <c r="P38" s="2104"/>
      <c r="Q38" s="2104"/>
      <c r="R38" s="2104"/>
      <c r="S38" s="2105"/>
      <c r="T38" s="2084"/>
      <c r="U38" s="2085"/>
      <c r="V38" s="2085"/>
      <c r="W38" s="2085"/>
      <c r="X38" s="2104"/>
      <c r="Y38" s="2104"/>
      <c r="Z38" s="2104"/>
      <c r="AA38" s="2105"/>
    </row>
    <row r="39" spans="1:27" ht="12" customHeight="1" x14ac:dyDescent="0.2">
      <c r="A39" s="2155" t="s">
        <v>528</v>
      </c>
      <c r="B39" s="2156"/>
      <c r="C39" s="69"/>
      <c r="D39" s="66"/>
      <c r="E39" s="66"/>
      <c r="F39" s="76"/>
      <c r="G39" s="66"/>
      <c r="H39" s="53"/>
      <c r="I39" s="2155" t="s">
        <v>528</v>
      </c>
      <c r="J39" s="2156"/>
      <c r="K39" s="2156"/>
      <c r="L39" s="2156"/>
      <c r="M39" s="2156"/>
      <c r="N39" s="64"/>
      <c r="O39" s="69"/>
      <c r="P39" s="69"/>
      <c r="Q39" s="75"/>
      <c r="R39" s="69"/>
      <c r="S39" s="53"/>
      <c r="T39" s="69" t="s">
        <v>528</v>
      </c>
      <c r="U39" s="48"/>
      <c r="V39" s="69"/>
      <c r="W39" s="47"/>
      <c r="X39" s="75"/>
      <c r="Y39" s="43"/>
      <c r="Z39" s="43"/>
      <c r="AA39" s="44"/>
    </row>
    <row r="40" spans="1:27" ht="13.5" customHeight="1" x14ac:dyDescent="0.2">
      <c r="A40" s="2158"/>
      <c r="B40" s="2159"/>
      <c r="C40" s="2160"/>
      <c r="D40" s="2160"/>
      <c r="E40" s="2160"/>
      <c r="F40" s="2161"/>
      <c r="G40" s="2161"/>
      <c r="H40" s="2162"/>
      <c r="I40" s="2106"/>
      <c r="J40" s="2108"/>
      <c r="K40" s="2108"/>
      <c r="L40" s="2108"/>
      <c r="M40" s="2108"/>
      <c r="N40" s="2108"/>
      <c r="O40" s="2108"/>
      <c r="P40" s="2108"/>
      <c r="Q40" s="2108"/>
      <c r="R40" s="2108"/>
      <c r="S40" s="2109"/>
      <c r="T40" s="2106"/>
      <c r="U40" s="2107"/>
      <c r="V40" s="2108"/>
      <c r="W40" s="2108"/>
      <c r="X40" s="2108"/>
      <c r="Y40" s="2108"/>
      <c r="Z40" s="2108"/>
      <c r="AA40" s="210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v>3095274410</v>
      </c>
      <c r="B42" s="2149"/>
      <c r="C42" s="2150"/>
      <c r="D42" s="2163">
        <v>3095274040</v>
      </c>
      <c r="E42" s="2149"/>
      <c r="F42" s="2149"/>
      <c r="G42" s="2149"/>
      <c r="H42" s="2150"/>
      <c r="I42" s="2103"/>
      <c r="J42" s="2099"/>
      <c r="K42" s="2099"/>
      <c r="L42" s="2099"/>
      <c r="M42" s="2099"/>
      <c r="N42" s="2099"/>
      <c r="O42" s="2100"/>
      <c r="P42" s="2098"/>
      <c r="Q42" s="2099"/>
      <c r="R42" s="2099"/>
      <c r="S42" s="2100"/>
      <c r="T42" s="2103"/>
      <c r="U42" s="2099"/>
      <c r="V42" s="2099"/>
      <c r="W42" s="2100"/>
      <c r="X42" s="2098"/>
      <c r="Y42" s="2099"/>
      <c r="Z42" s="2099"/>
      <c r="AA42" s="210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2"/>
      <c r="B44" s="2153"/>
      <c r="C44" s="2153"/>
      <c r="D44" s="2153"/>
      <c r="E44" s="2153"/>
      <c r="F44" s="2153"/>
      <c r="G44" s="2153"/>
      <c r="H44" s="2154"/>
      <c r="I44" s="2145"/>
      <c r="J44" s="2147"/>
      <c r="K44" s="2147"/>
      <c r="L44" s="2147"/>
      <c r="M44" s="2147"/>
      <c r="N44" s="2147"/>
      <c r="O44" s="2147"/>
      <c r="P44" s="2147"/>
      <c r="Q44" s="2147"/>
      <c r="R44" s="2147"/>
      <c r="S44" s="2148"/>
      <c r="T44" s="2145"/>
      <c r="U44" s="2146"/>
      <c r="V44" s="2146"/>
      <c r="W44" s="2146"/>
      <c r="X44" s="2146"/>
      <c r="Y44" s="2146"/>
      <c r="Z44" s="2147"/>
      <c r="AA44" s="21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A13:H13"/>
    <mergeCell ref="A15:H15"/>
    <mergeCell ref="I1:S1"/>
    <mergeCell ref="I2:S2"/>
    <mergeCell ref="I7:S7"/>
    <mergeCell ref="I9:S9"/>
    <mergeCell ref="I6:S6"/>
    <mergeCell ref="I3:S3"/>
    <mergeCell ref="I4:S4"/>
    <mergeCell ref="I5:S5"/>
    <mergeCell ref="T17:AA17"/>
    <mergeCell ref="A23:H23"/>
    <mergeCell ref="I21:S21"/>
    <mergeCell ref="I22:S22"/>
    <mergeCell ref="I18:S18"/>
    <mergeCell ref="A17:H17"/>
    <mergeCell ref="X21:AA21"/>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T19:W19"/>
    <mergeCell ref="T13:AA13"/>
    <mergeCell ref="T15:AA15"/>
    <mergeCell ref="Z19:AA19"/>
    <mergeCell ref="X19:Y19"/>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6"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7"/>
      <c r="B3" s="1293"/>
      <c r="C3" s="1294"/>
      <c r="D3" s="1295" t="s">
        <v>254</v>
      </c>
      <c r="E3" s="1294"/>
      <c r="F3" s="1295" t="s">
        <v>255</v>
      </c>
    </row>
    <row r="4" spans="1:8" ht="13.7" customHeight="1" x14ac:dyDescent="0.2">
      <c r="A4" s="579" t="s">
        <v>1147</v>
      </c>
      <c r="B4" s="1720">
        <f>'Revenues 9-14'!C5</f>
        <v>5700252</v>
      </c>
      <c r="C4" s="1721">
        <v>678127</v>
      </c>
      <c r="D4" s="1722">
        <f>B4-C4</f>
        <v>5022125</v>
      </c>
      <c r="E4" s="1721">
        <v>6072310</v>
      </c>
      <c r="F4" s="1722">
        <f>E4-C4</f>
        <v>5394183</v>
      </c>
    </row>
    <row r="5" spans="1:8" ht="13.7" customHeight="1" x14ac:dyDescent="0.2">
      <c r="A5" s="579" t="s">
        <v>865</v>
      </c>
      <c r="B5" s="1723">
        <f>'Revenues 9-14'!D5</f>
        <v>922222</v>
      </c>
      <c r="C5" s="1663">
        <v>109697</v>
      </c>
      <c r="D5" s="1724">
        <f t="shared" ref="D5:D18" si="0">B5-C5</f>
        <v>812525</v>
      </c>
      <c r="E5" s="1663">
        <v>1049365</v>
      </c>
      <c r="F5" s="1724">
        <f>E5-C5</f>
        <v>939668</v>
      </c>
    </row>
    <row r="6" spans="1:8" ht="13.7" customHeight="1" x14ac:dyDescent="0.2">
      <c r="A6" s="579" t="s">
        <v>408</v>
      </c>
      <c r="B6" s="1723">
        <f>'Revenues 9-14'!E5</f>
        <v>1005602</v>
      </c>
      <c r="C6" s="1663">
        <v>116420</v>
      </c>
      <c r="D6" s="1724">
        <f t="shared" si="0"/>
        <v>889182</v>
      </c>
      <c r="E6" s="1663">
        <v>982286</v>
      </c>
      <c r="F6" s="1724">
        <f t="shared" ref="F6:F18" si="1">E6-C6</f>
        <v>865866</v>
      </c>
    </row>
    <row r="7" spans="1:8" ht="13.7" customHeight="1" x14ac:dyDescent="0.2">
      <c r="A7" s="579" t="s">
        <v>154</v>
      </c>
      <c r="B7" s="1723">
        <f>'Revenues 9-14'!F5</f>
        <v>335355</v>
      </c>
      <c r="C7" s="1663">
        <v>39890</v>
      </c>
      <c r="D7" s="1724">
        <f t="shared" si="0"/>
        <v>295465</v>
      </c>
      <c r="E7" s="1663">
        <v>357195</v>
      </c>
      <c r="F7" s="1724">
        <f t="shared" si="1"/>
        <v>317305</v>
      </c>
    </row>
    <row r="8" spans="1:8" ht="13.7" customHeight="1" x14ac:dyDescent="0.2">
      <c r="A8" s="579" t="s">
        <v>1171</v>
      </c>
      <c r="B8" s="1723">
        <f>'Revenues 9-14'!G5</f>
        <v>238596</v>
      </c>
      <c r="C8" s="1663">
        <v>27649</v>
      </c>
      <c r="D8" s="1724">
        <f t="shared" si="0"/>
        <v>210947</v>
      </c>
      <c r="E8" s="1663">
        <v>249245</v>
      </c>
      <c r="F8" s="1724">
        <f t="shared" si="1"/>
        <v>221596</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83836</v>
      </c>
      <c r="C10" s="1663">
        <v>9973</v>
      </c>
      <c r="D10" s="1724">
        <f t="shared" si="0"/>
        <v>73863</v>
      </c>
      <c r="E10" s="1663">
        <v>89299</v>
      </c>
      <c r="F10" s="1724">
        <f t="shared" si="1"/>
        <v>79326</v>
      </c>
    </row>
    <row r="11" spans="1:8" x14ac:dyDescent="0.2">
      <c r="A11" s="579" t="s">
        <v>406</v>
      </c>
      <c r="B11" s="1723">
        <f>'Revenues 9-14'!J5</f>
        <v>625787</v>
      </c>
      <c r="C11" s="1663">
        <v>77418</v>
      </c>
      <c r="D11" s="1724">
        <f t="shared" si="0"/>
        <v>548369</v>
      </c>
      <c r="E11" s="1663">
        <v>697761</v>
      </c>
      <c r="F11" s="1724">
        <f t="shared" si="1"/>
        <v>620343</v>
      </c>
    </row>
    <row r="12" spans="1:8" ht="13.7" customHeight="1" x14ac:dyDescent="0.2">
      <c r="A12" s="579" t="s">
        <v>156</v>
      </c>
      <c r="B12" s="1723">
        <f>'Revenues 9-14'!K5</f>
        <v>83836</v>
      </c>
      <c r="C12" s="1663">
        <v>9973</v>
      </c>
      <c r="D12" s="1724">
        <f t="shared" si="0"/>
        <v>73863</v>
      </c>
      <c r="E12" s="1663">
        <v>89299</v>
      </c>
      <c r="F12" s="1724">
        <f t="shared" si="1"/>
        <v>79326</v>
      </c>
    </row>
    <row r="13" spans="1:8" ht="13.7" customHeight="1" x14ac:dyDescent="0.2">
      <c r="A13" s="579" t="s">
        <v>930</v>
      </c>
      <c r="B13" s="1723">
        <f>SUM('Revenues 9-14'!C6:D6)</f>
        <v>83836</v>
      </c>
      <c r="C13" s="1663">
        <v>9973</v>
      </c>
      <c r="D13" s="1724">
        <f t="shared" si="0"/>
        <v>73863</v>
      </c>
      <c r="E13" s="1663">
        <v>89301</v>
      </c>
      <c r="F13" s="1724">
        <f t="shared" si="1"/>
        <v>79328</v>
      </c>
    </row>
    <row r="14" spans="1:8" ht="13.7" customHeight="1" x14ac:dyDescent="0.2">
      <c r="A14" s="579" t="s">
        <v>407</v>
      </c>
      <c r="B14" s="1723">
        <f>SUM('Revenues 9-14'!C7:D7,'Revenues 9-14'!F7:H7)</f>
        <v>67069</v>
      </c>
      <c r="C14" s="1663">
        <v>7977</v>
      </c>
      <c r="D14" s="1724">
        <f t="shared" si="0"/>
        <v>59092</v>
      </c>
      <c r="E14" s="1663">
        <v>71440</v>
      </c>
      <c r="F14" s="1724">
        <f t="shared" si="1"/>
        <v>63463</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190825</v>
      </c>
      <c r="C16" s="1663">
        <v>22119</v>
      </c>
      <c r="D16" s="1724">
        <f t="shared" si="0"/>
        <v>168706</v>
      </c>
      <c r="E16" s="1663">
        <v>199394</v>
      </c>
      <c r="F16" s="1724">
        <f t="shared" si="1"/>
        <v>177275</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1153</v>
      </c>
      <c r="B19" s="1725">
        <f>SUM(B4:B18)</f>
        <v>9337216</v>
      </c>
      <c r="C19" s="1725">
        <f>SUM(C4:C18)</f>
        <v>1109216</v>
      </c>
      <c r="D19" s="1725">
        <f>SUM(D4:D18)</f>
        <v>8228000</v>
      </c>
      <c r="E19" s="1725">
        <f>SUM(E4:E18)</f>
        <v>9946895</v>
      </c>
      <c r="F19" s="1725">
        <f>SUM(F4:F18)</f>
        <v>8837679</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36" sqref="J36"/>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9"/>
      <c r="C1" s="585"/>
    </row>
    <row r="2" spans="1:7" ht="33.75" x14ac:dyDescent="0.2">
      <c r="A2" s="2318" t="s">
        <v>1778</v>
      </c>
      <c r="B2" s="231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5" t="s">
        <v>1106</v>
      </c>
      <c r="B3" s="2326"/>
      <c r="C3" s="2310"/>
      <c r="D3" s="2311"/>
      <c r="E3" s="2311"/>
      <c r="F3" s="2312"/>
    </row>
    <row r="4" spans="1:7" ht="12.75" customHeight="1" thickBot="1" x14ac:dyDescent="0.25">
      <c r="A4" s="2320" t="s">
        <v>626</v>
      </c>
      <c r="B4" s="2321"/>
      <c r="C4" s="1655"/>
      <c r="D4" s="1655"/>
      <c r="E4" s="1655"/>
      <c r="F4" s="1731">
        <f>SUM(C4+D4)-E4</f>
        <v>0</v>
      </c>
    </row>
    <row r="5" spans="1:7" ht="15.75" customHeight="1" thickTop="1" x14ac:dyDescent="0.2">
      <c r="A5" s="2322" t="s">
        <v>1103</v>
      </c>
      <c r="B5" s="2317"/>
      <c r="C5" s="2313"/>
      <c r="D5" s="2314"/>
      <c r="E5" s="2314"/>
      <c r="F5" s="2315"/>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23" t="s">
        <v>627</v>
      </c>
      <c r="B15" s="2324"/>
      <c r="C15" s="1731">
        <f>SUM(C6:C14)</f>
        <v>0</v>
      </c>
      <c r="D15" s="1731">
        <f>SUM(D6:D14)</f>
        <v>0</v>
      </c>
      <c r="E15" s="1731">
        <f>SUM(E6:E14)</f>
        <v>0</v>
      </c>
      <c r="F15" s="1731">
        <f>SUM(F6:F14)</f>
        <v>0</v>
      </c>
      <c r="G15" s="473"/>
    </row>
    <row r="16" spans="1:7" s="197" customFormat="1" ht="15.75" customHeight="1" thickTop="1" x14ac:dyDescent="0.2">
      <c r="A16" s="2316" t="s">
        <v>1104</v>
      </c>
      <c r="B16" s="2317"/>
      <c r="C16" s="2313"/>
      <c r="D16" s="2314"/>
      <c r="E16" s="2314"/>
      <c r="F16" s="2315"/>
    </row>
    <row r="17" spans="1:11" ht="12.75" customHeight="1" thickBot="1" x14ac:dyDescent="0.25">
      <c r="A17" s="2335" t="s">
        <v>64</v>
      </c>
      <c r="B17" s="2336"/>
      <c r="C17" s="1732"/>
      <c r="D17" s="1663"/>
      <c r="E17" s="1732"/>
      <c r="F17" s="1731">
        <f>SUM(C17+D17)-E17</f>
        <v>0</v>
      </c>
    </row>
    <row r="18" spans="1:11" ht="12.75" customHeight="1" thickTop="1" thickBot="1" x14ac:dyDescent="0.25">
      <c r="A18" s="2335" t="s">
        <v>6</v>
      </c>
      <c r="B18" s="2336"/>
      <c r="C18" s="1732"/>
      <c r="D18" s="1663"/>
      <c r="E18" s="1732"/>
      <c r="F18" s="1731">
        <f>SUM(C18+D18)-E18</f>
        <v>0</v>
      </c>
    </row>
    <row r="19" spans="1:11" ht="12.75" customHeight="1" thickTop="1" thickBot="1" x14ac:dyDescent="0.25">
      <c r="A19" s="2335" t="s">
        <v>385</v>
      </c>
      <c r="B19" s="2336"/>
      <c r="C19" s="1732"/>
      <c r="D19" s="1663"/>
      <c r="E19" s="1732"/>
      <c r="F19" s="1731">
        <f>SUM(C19+D19)-E19</f>
        <v>0</v>
      </c>
    </row>
    <row r="20" spans="1:11" ht="12.75" customHeight="1" thickTop="1" thickBot="1" x14ac:dyDescent="0.25">
      <c r="A20" s="2335" t="s">
        <v>445</v>
      </c>
      <c r="B20" s="2336"/>
      <c r="C20" s="1732"/>
      <c r="D20" s="1663"/>
      <c r="E20" s="1732"/>
      <c r="F20" s="1731">
        <f>SUM(C20+D20)-E20</f>
        <v>0</v>
      </c>
    </row>
    <row r="21" spans="1:11" ht="14.25" thickTop="1" thickBot="1" x14ac:dyDescent="0.25">
      <c r="A21" s="2323" t="s">
        <v>628</v>
      </c>
      <c r="B21" s="2324"/>
      <c r="C21" s="1731">
        <f>SUM(C17:C20)</f>
        <v>0</v>
      </c>
      <c r="D21" s="1731">
        <f>SUM(D17:D20)</f>
        <v>0</v>
      </c>
      <c r="E21" s="1731">
        <f>SUM(E17:E20)</f>
        <v>0</v>
      </c>
      <c r="F21" s="1731">
        <f>SUM(F17:F20)</f>
        <v>0</v>
      </c>
      <c r="G21" s="473"/>
    </row>
    <row r="22" spans="1:11" ht="15.75" customHeight="1" thickTop="1" x14ac:dyDescent="0.2">
      <c r="A22" s="2327" t="s">
        <v>1105</v>
      </c>
      <c r="B22" s="2317"/>
      <c r="C22" s="2313"/>
      <c r="D22" s="2314"/>
      <c r="E22" s="2314"/>
      <c r="F22" s="2315"/>
    </row>
    <row r="23" spans="1:11" ht="13.5" thickBot="1" x14ac:dyDescent="0.25">
      <c r="A23" s="2320" t="s">
        <v>629</v>
      </c>
      <c r="B23" s="2321"/>
      <c r="C23" s="1655"/>
      <c r="D23" s="1655"/>
      <c r="E23" s="1655"/>
      <c r="F23" s="1731">
        <f>SUM(C23+D23)-E23</f>
        <v>0</v>
      </c>
      <c r="G23" s="473"/>
    </row>
    <row r="24" spans="1:11" ht="15.75" customHeight="1" thickTop="1" x14ac:dyDescent="0.2">
      <c r="A24" s="2327" t="s">
        <v>2005</v>
      </c>
      <c r="B24" s="2317"/>
      <c r="C24" s="2313"/>
      <c r="D24" s="2314"/>
      <c r="E24" s="2314"/>
      <c r="F24" s="2315"/>
    </row>
    <row r="25" spans="1:11" ht="13.5" thickBot="1" x14ac:dyDescent="0.25">
      <c r="A25" s="2320" t="s">
        <v>2006</v>
      </c>
      <c r="B25" s="2321"/>
      <c r="C25" s="1655"/>
      <c r="D25" s="1655"/>
      <c r="E25" s="1655"/>
      <c r="F25" s="1731">
        <f>SUM(C25+D25)-E25</f>
        <v>0</v>
      </c>
      <c r="G25" s="473"/>
    </row>
    <row r="26" spans="1:11" ht="15.75" customHeight="1" thickTop="1" x14ac:dyDescent="0.2">
      <c r="A26" s="2322" t="s">
        <v>652</v>
      </c>
      <c r="B26" s="2317"/>
      <c r="C26" s="589"/>
      <c r="D26" s="589"/>
      <c r="E26" s="589"/>
      <c r="F26" s="590"/>
    </row>
    <row r="27" spans="1:11" ht="13.5" thickBot="1" x14ac:dyDescent="0.25">
      <c r="A27" s="2323" t="s">
        <v>1063</v>
      </c>
      <c r="B27" s="2324"/>
      <c r="C27" s="1663"/>
      <c r="D27" s="1663"/>
      <c r="E27" s="1663"/>
      <c r="F27" s="1731">
        <f>SUM(C27+D27)-E27</f>
        <v>0</v>
      </c>
      <c r="G27" s="473"/>
    </row>
    <row r="28" spans="1:11" ht="7.5" customHeight="1" thickTop="1" x14ac:dyDescent="0.2">
      <c r="A28" s="489"/>
    </row>
    <row r="29" spans="1:11" ht="23.25" customHeight="1" x14ac:dyDescent="0.2">
      <c r="A29" s="2328" t="s">
        <v>578</v>
      </c>
      <c r="B29" s="2309"/>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1919" t="s">
        <v>2031</v>
      </c>
      <c r="B31" s="1920">
        <v>42186</v>
      </c>
      <c r="C31" s="1921">
        <v>3550000</v>
      </c>
      <c r="D31" s="1922" t="s">
        <v>2032</v>
      </c>
      <c r="E31" s="1733">
        <v>925000</v>
      </c>
      <c r="F31" s="1733"/>
      <c r="G31" s="1733"/>
      <c r="H31" s="1733">
        <v>925000</v>
      </c>
      <c r="I31" s="1735">
        <f>((E31+F31)-H31)+G31</f>
        <v>0</v>
      </c>
      <c r="J31" s="1733"/>
      <c r="K31" s="596"/>
    </row>
    <row r="32" spans="1:11" ht="12" customHeight="1" x14ac:dyDescent="0.2">
      <c r="A32" s="1919"/>
      <c r="B32" s="1920"/>
      <c r="C32" s="1923"/>
      <c r="D32" s="1922"/>
      <c r="E32" s="1733">
        <v>0</v>
      </c>
      <c r="F32" s="1733"/>
      <c r="G32" s="1733"/>
      <c r="H32" s="1733"/>
      <c r="I32" s="1735">
        <f>((E32+F32)-H32)+G32</f>
        <v>0</v>
      </c>
      <c r="J32" s="1733"/>
      <c r="K32" s="596"/>
    </row>
    <row r="33" spans="1:11" ht="12" customHeight="1" x14ac:dyDescent="0.2">
      <c r="A33" s="1919" t="s">
        <v>2033</v>
      </c>
      <c r="B33" s="1920">
        <v>42558</v>
      </c>
      <c r="C33" s="1923">
        <v>400000</v>
      </c>
      <c r="D33" s="1922">
        <v>1</v>
      </c>
      <c r="E33" s="1733">
        <v>380000</v>
      </c>
      <c r="F33" s="1733"/>
      <c r="G33" s="1733"/>
      <c r="H33" s="1733">
        <v>50000</v>
      </c>
      <c r="I33" s="1735">
        <f t="shared" ref="I33:I48" si="1">((E33+F33)-H33)+G33</f>
        <v>330000</v>
      </c>
      <c r="J33" s="1733">
        <v>0</v>
      </c>
      <c r="K33" s="596"/>
    </row>
    <row r="34" spans="1:11" ht="12" customHeight="1" x14ac:dyDescent="0.2">
      <c r="A34" s="1919"/>
      <c r="B34" s="1920"/>
      <c r="C34" s="1923"/>
      <c r="D34" s="1922"/>
      <c r="E34" s="1733">
        <v>0</v>
      </c>
      <c r="F34" s="1733"/>
      <c r="G34" s="1733"/>
      <c r="H34" s="1733"/>
      <c r="I34" s="1735">
        <f t="shared" si="1"/>
        <v>0</v>
      </c>
      <c r="J34" s="1733"/>
      <c r="K34" s="597"/>
    </row>
    <row r="35" spans="1:11" ht="12" customHeight="1" x14ac:dyDescent="0.2">
      <c r="A35" s="1919" t="s">
        <v>2034</v>
      </c>
      <c r="B35" s="1920">
        <v>42558</v>
      </c>
      <c r="C35" s="1921">
        <v>2550000</v>
      </c>
      <c r="D35" s="1922" t="s">
        <v>2035</v>
      </c>
      <c r="E35" s="1736">
        <v>2550000</v>
      </c>
      <c r="F35" s="1736"/>
      <c r="G35" s="1736"/>
      <c r="H35" s="1736"/>
      <c r="I35" s="1735">
        <f t="shared" si="1"/>
        <v>2550000</v>
      </c>
      <c r="J35" s="1736">
        <v>2532519</v>
      </c>
      <c r="K35" s="597"/>
    </row>
    <row r="36" spans="1:11" ht="12" customHeight="1" x14ac:dyDescent="0.2">
      <c r="A36" s="594"/>
      <c r="B36" s="595"/>
      <c r="C36" s="1733"/>
      <c r="D36" s="1734"/>
      <c r="E36" s="1733">
        <v>0</v>
      </c>
      <c r="F36" s="1733"/>
      <c r="G36" s="1733"/>
      <c r="H36" s="1733"/>
      <c r="I36" s="1735">
        <f t="shared" si="1"/>
        <v>0</v>
      </c>
      <c r="J36" s="1733"/>
      <c r="K36" s="598"/>
    </row>
    <row r="37" spans="1:11" ht="12" customHeight="1" x14ac:dyDescent="0.2">
      <c r="A37" s="594"/>
      <c r="B37" s="595"/>
      <c r="C37" s="1573"/>
      <c r="D37" s="1737"/>
      <c r="E37" s="1573">
        <v>0</v>
      </c>
      <c r="F37" s="1573"/>
      <c r="G37" s="1573"/>
      <c r="H37" s="1573"/>
      <c r="I37" s="1735">
        <f t="shared" si="1"/>
        <v>0</v>
      </c>
      <c r="J37" s="1573"/>
      <c r="K37" s="597"/>
    </row>
    <row r="38" spans="1:11" ht="12" customHeight="1" x14ac:dyDescent="0.2">
      <c r="A38" s="594"/>
      <c r="B38" s="595"/>
      <c r="C38" s="1733"/>
      <c r="D38" s="1738"/>
      <c r="E38" s="1739">
        <v>0</v>
      </c>
      <c r="F38" s="1739"/>
      <c r="G38" s="1739"/>
      <c r="H38" s="1739"/>
      <c r="I38" s="1735">
        <f t="shared" si="1"/>
        <v>0</v>
      </c>
      <c r="J38" s="1740" t="s">
        <v>262</v>
      </c>
      <c r="K38" s="599"/>
    </row>
    <row r="39" spans="1:11" ht="12" customHeight="1" x14ac:dyDescent="0.2">
      <c r="A39" s="594"/>
      <c r="B39" s="595"/>
      <c r="C39" s="1733"/>
      <c r="D39" s="1738"/>
      <c r="E39" s="1739">
        <v>0</v>
      </c>
      <c r="F39" s="1739"/>
      <c r="G39" s="1739"/>
      <c r="H39" s="1739"/>
      <c r="I39" s="1735">
        <f t="shared" si="1"/>
        <v>0</v>
      </c>
      <c r="J39" s="1740"/>
      <c r="K39" s="599"/>
    </row>
    <row r="40" spans="1:11" ht="12" customHeight="1" x14ac:dyDescent="0.2">
      <c r="A40" s="594"/>
      <c r="B40" s="595"/>
      <c r="C40" s="1733"/>
      <c r="D40" s="1738"/>
      <c r="E40" s="1739">
        <v>0</v>
      </c>
      <c r="F40" s="1739"/>
      <c r="G40" s="1739"/>
      <c r="H40" s="1739"/>
      <c r="I40" s="1735">
        <f t="shared" si="1"/>
        <v>0</v>
      </c>
      <c r="J40" s="1740"/>
      <c r="K40" s="599"/>
    </row>
    <row r="41" spans="1:11" ht="12" customHeight="1" x14ac:dyDescent="0.2">
      <c r="A41" s="594"/>
      <c r="B41" s="595"/>
      <c r="C41" s="1733"/>
      <c r="D41" s="1738"/>
      <c r="E41" s="1739">
        <v>0</v>
      </c>
      <c r="F41" s="1739"/>
      <c r="G41" s="1739"/>
      <c r="H41" s="1739"/>
      <c r="I41" s="1735">
        <f t="shared" si="1"/>
        <v>0</v>
      </c>
      <c r="J41" s="1740"/>
      <c r="K41" s="599"/>
    </row>
    <row r="42" spans="1:11" ht="12" customHeight="1" x14ac:dyDescent="0.2">
      <c r="A42" s="594"/>
      <c r="B42" s="595"/>
      <c r="C42" s="1733"/>
      <c r="D42" s="1738"/>
      <c r="E42" s="1739">
        <v>0</v>
      </c>
      <c r="F42" s="1739"/>
      <c r="G42" s="1739"/>
      <c r="H42" s="1739"/>
      <c r="I42" s="1735">
        <f t="shared" si="1"/>
        <v>0</v>
      </c>
      <c r="J42" s="1740"/>
      <c r="K42" s="599"/>
    </row>
    <row r="43" spans="1:11" ht="12" customHeight="1" x14ac:dyDescent="0.2">
      <c r="A43" s="594"/>
      <c r="B43" s="595"/>
      <c r="C43" s="1733"/>
      <c r="D43" s="1738"/>
      <c r="E43" s="1739">
        <v>0</v>
      </c>
      <c r="F43" s="1739"/>
      <c r="G43" s="1739"/>
      <c r="H43" s="1739"/>
      <c r="I43" s="1735">
        <f t="shared" si="1"/>
        <v>0</v>
      </c>
      <c r="J43" s="1740"/>
      <c r="K43" s="599"/>
    </row>
    <row r="44" spans="1:11" ht="12" customHeight="1" x14ac:dyDescent="0.2">
      <c r="A44" s="594"/>
      <c r="B44" s="595"/>
      <c r="C44" s="1733"/>
      <c r="D44" s="1734"/>
      <c r="E44" s="1733">
        <v>0</v>
      </c>
      <c r="F44" s="1733"/>
      <c r="G44" s="1733"/>
      <c r="H44" s="1733"/>
      <c r="I44" s="1735">
        <f t="shared" si="1"/>
        <v>0</v>
      </c>
      <c r="J44" s="1733"/>
      <c r="K44" s="597"/>
    </row>
    <row r="45" spans="1:11" ht="12" customHeight="1" x14ac:dyDescent="0.2">
      <c r="A45" s="594"/>
      <c r="B45" s="595"/>
      <c r="C45" s="1733"/>
      <c r="D45" s="1734"/>
      <c r="E45" s="1733">
        <v>0</v>
      </c>
      <c r="F45" s="1733"/>
      <c r="G45" s="1733"/>
      <c r="H45" s="1733"/>
      <c r="I45" s="1735">
        <f t="shared" si="1"/>
        <v>0</v>
      </c>
      <c r="J45" s="1733"/>
      <c r="K45" s="597"/>
    </row>
    <row r="46" spans="1:11" ht="12" customHeight="1" x14ac:dyDescent="0.2">
      <c r="A46" s="594"/>
      <c r="B46" s="595"/>
      <c r="C46" s="1733"/>
      <c r="D46" s="1734"/>
      <c r="E46" s="1733">
        <v>0</v>
      </c>
      <c r="F46" s="1733"/>
      <c r="G46" s="1733"/>
      <c r="H46" s="1733"/>
      <c r="I46" s="1735">
        <f t="shared" si="1"/>
        <v>0</v>
      </c>
      <c r="J46" s="1733"/>
      <c r="K46" s="597"/>
    </row>
    <row r="47" spans="1:11" ht="12" customHeight="1" x14ac:dyDescent="0.2">
      <c r="A47" s="594"/>
      <c r="B47" s="595"/>
      <c r="C47" s="1736"/>
      <c r="D47" s="1734"/>
      <c r="E47" s="1736">
        <v>0</v>
      </c>
      <c r="F47" s="1736"/>
      <c r="G47" s="1736"/>
      <c r="H47" s="1736"/>
      <c r="I47" s="1735">
        <f t="shared" si="1"/>
        <v>0</v>
      </c>
      <c r="J47" s="1736"/>
      <c r="K47" s="597"/>
    </row>
    <row r="48" spans="1:11" ht="12" customHeight="1" x14ac:dyDescent="0.2">
      <c r="A48" s="594"/>
      <c r="B48" s="595"/>
      <c r="C48" s="1733"/>
      <c r="D48" s="1734"/>
      <c r="E48" s="1733">
        <v>0</v>
      </c>
      <c r="F48" s="1733"/>
      <c r="G48" s="1733"/>
      <c r="H48" s="1733"/>
      <c r="I48" s="1735">
        <f t="shared" si="1"/>
        <v>0</v>
      </c>
      <c r="J48" s="1733"/>
      <c r="K48" s="597"/>
    </row>
    <row r="49" spans="1:11" ht="12" customHeight="1" x14ac:dyDescent="0.2">
      <c r="A49" s="594"/>
      <c r="B49" s="595"/>
      <c r="C49" s="1735">
        <f>SUM(C31:C48)</f>
        <v>6500000</v>
      </c>
      <c r="D49" s="1741"/>
      <c r="E49" s="1735">
        <f t="shared" ref="E49:J49" si="2">SUM(E31:E48)</f>
        <v>3855000</v>
      </c>
      <c r="F49" s="1735">
        <f t="shared" si="2"/>
        <v>0</v>
      </c>
      <c r="G49" s="1735">
        <f t="shared" si="2"/>
        <v>0</v>
      </c>
      <c r="H49" s="1735">
        <f t="shared" si="2"/>
        <v>975000</v>
      </c>
      <c r="I49" s="1735">
        <f t="shared" si="2"/>
        <v>2880000</v>
      </c>
      <c r="J49" s="1735">
        <f t="shared" si="2"/>
        <v>2532519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29" t="s">
        <v>580</v>
      </c>
      <c r="C52" s="2330"/>
      <c r="D52" s="2330"/>
      <c r="E52" s="603" t="s">
        <v>840</v>
      </c>
      <c r="F52" s="2331"/>
      <c r="G52" s="2332"/>
      <c r="H52" s="596"/>
      <c r="I52" s="596"/>
      <c r="J52" s="600"/>
    </row>
    <row r="53" spans="1:11" ht="11.25" customHeight="1" x14ac:dyDescent="0.2">
      <c r="A53" s="604" t="s">
        <v>907</v>
      </c>
      <c r="B53" s="605" t="s">
        <v>945</v>
      </c>
      <c r="C53" s="600"/>
      <c r="D53" s="597"/>
      <c r="E53" s="603" t="s">
        <v>494</v>
      </c>
      <c r="F53" s="2333"/>
      <c r="G53" s="2334"/>
      <c r="H53" s="596"/>
      <c r="I53" s="596"/>
      <c r="J53" s="600"/>
    </row>
    <row r="54" spans="1:11" ht="11.25" customHeight="1" x14ac:dyDescent="0.2">
      <c r="A54" s="606" t="s">
        <v>908</v>
      </c>
      <c r="B54" s="601" t="s">
        <v>946</v>
      </c>
      <c r="C54" s="600"/>
      <c r="D54" s="597"/>
      <c r="E54" s="603" t="s">
        <v>495</v>
      </c>
      <c r="F54" s="2333"/>
      <c r="G54" s="233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topLeftCell="B1" colorId="8" zoomScale="110" zoomScaleNormal="110" workbookViewId="0">
      <selection activeCell="J25" sqref="J25"/>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7"/>
      <c r="I1" s="614"/>
      <c r="J1" s="400"/>
    </row>
    <row r="2" spans="1:11" ht="26.25" x14ac:dyDescent="0.2">
      <c r="A2" s="2340" t="s">
        <v>1661</v>
      </c>
      <c r="B2" s="2341"/>
      <c r="C2" s="2341"/>
      <c r="D2" s="2341"/>
      <c r="E2" s="2342"/>
      <c r="F2" s="615" t="s">
        <v>898</v>
      </c>
      <c r="G2" s="616" t="s">
        <v>1658</v>
      </c>
      <c r="H2" s="616" t="s">
        <v>407</v>
      </c>
      <c r="I2" s="616" t="s">
        <v>1150</v>
      </c>
      <c r="J2" s="616" t="s">
        <v>1788</v>
      </c>
      <c r="K2" s="616" t="s">
        <v>137</v>
      </c>
    </row>
    <row r="3" spans="1:11" x14ac:dyDescent="0.2">
      <c r="A3" s="2343" t="str">
        <f>"Cash Basis Fund Balance as of July 1, "&amp;'AFR20'!E2-1</f>
        <v>Cash Basis Fund Balance as of July 1, 2019</v>
      </c>
      <c r="B3" s="2344"/>
      <c r="C3" s="2344"/>
      <c r="D3" s="2344"/>
      <c r="E3" s="2345"/>
      <c r="F3" s="617"/>
      <c r="G3" s="1743"/>
      <c r="H3" s="1743"/>
      <c r="I3" s="1743"/>
      <c r="J3" s="1744">
        <v>179552</v>
      </c>
      <c r="K3" s="1744"/>
    </row>
    <row r="4" spans="1:11" x14ac:dyDescent="0.2">
      <c r="A4" s="2346" t="s">
        <v>366</v>
      </c>
      <c r="B4" s="2347"/>
      <c r="C4" s="2347"/>
      <c r="D4" s="2347"/>
      <c r="E4" s="2330"/>
      <c r="F4" s="620"/>
      <c r="G4" s="1745"/>
      <c r="H4" s="1746"/>
      <c r="I4" s="1745"/>
      <c r="J4" s="1747"/>
      <c r="K4" s="1747"/>
    </row>
    <row r="5" spans="1:11" x14ac:dyDescent="0.2">
      <c r="A5" s="2360" t="s">
        <v>1062</v>
      </c>
      <c r="B5" s="2337"/>
      <c r="C5" s="2337"/>
      <c r="D5" s="2337"/>
      <c r="E5" s="2361"/>
      <c r="F5" s="622" t="s">
        <v>843</v>
      </c>
      <c r="G5" s="1748"/>
      <c r="H5" s="1743">
        <v>67069</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18123</v>
      </c>
    </row>
    <row r="8" spans="1:11" x14ac:dyDescent="0.2">
      <c r="A8" s="629" t="s">
        <v>342</v>
      </c>
      <c r="B8" s="630"/>
      <c r="C8" s="630"/>
      <c r="D8" s="630"/>
      <c r="E8" s="631"/>
      <c r="F8" s="622" t="s">
        <v>846</v>
      </c>
      <c r="G8" s="1752"/>
      <c r="H8" s="1752"/>
      <c r="I8" s="1752"/>
      <c r="J8" s="1744">
        <v>268104</v>
      </c>
      <c r="K8" s="1747"/>
    </row>
    <row r="9" spans="1:11" x14ac:dyDescent="0.2">
      <c r="A9" s="629" t="s">
        <v>137</v>
      </c>
      <c r="B9" s="630"/>
      <c r="C9" s="630"/>
      <c r="D9" s="630"/>
      <c r="E9" s="631"/>
      <c r="F9" s="628" t="s">
        <v>848</v>
      </c>
      <c r="G9" s="1752"/>
      <c r="H9" s="1748"/>
      <c r="I9" s="1748"/>
      <c r="J9" s="1751"/>
      <c r="K9" s="1744">
        <v>8201</v>
      </c>
    </row>
    <row r="10" spans="1:11" x14ac:dyDescent="0.2">
      <c r="A10" s="2360" t="s">
        <v>1789</v>
      </c>
      <c r="B10" s="2337"/>
      <c r="C10" s="2337"/>
      <c r="D10" s="2337"/>
      <c r="E10" s="2362"/>
      <c r="F10" s="633" t="s">
        <v>857</v>
      </c>
      <c r="G10" s="1752"/>
      <c r="H10" s="1753"/>
      <c r="I10" s="1743"/>
      <c r="J10" s="1744"/>
      <c r="K10" s="1744"/>
    </row>
    <row r="11" spans="1:11" x14ac:dyDescent="0.2">
      <c r="A11" s="2360" t="s">
        <v>159</v>
      </c>
      <c r="B11" s="2337"/>
      <c r="C11" s="2337"/>
      <c r="D11" s="2337"/>
      <c r="E11" s="2361"/>
      <c r="F11" s="622" t="s">
        <v>847</v>
      </c>
      <c r="G11" s="1748"/>
      <c r="H11" s="1743"/>
      <c r="I11" s="1743"/>
      <c r="J11" s="1744"/>
      <c r="K11" s="1750"/>
    </row>
    <row r="12" spans="1:11" ht="13.5" thickBot="1" x14ac:dyDescent="0.25">
      <c r="A12" s="2354" t="s">
        <v>899</v>
      </c>
      <c r="B12" s="2355"/>
      <c r="C12" s="2355"/>
      <c r="D12" s="2355"/>
      <c r="E12" s="2356"/>
      <c r="F12" s="1432"/>
      <c r="G12" s="1754">
        <f>SUM(G5:G11)</f>
        <v>0</v>
      </c>
      <c r="H12" s="1754">
        <f>SUM(H5:H11)</f>
        <v>67069</v>
      </c>
      <c r="I12" s="1754">
        <f>SUM(I5:I11)</f>
        <v>0</v>
      </c>
      <c r="J12" s="1754">
        <f>SUM(J5:J11)</f>
        <v>268104</v>
      </c>
      <c r="K12" s="1754">
        <f>SUM(K5:K11)</f>
        <v>26324</v>
      </c>
    </row>
    <row r="13" spans="1:11" ht="13.5" thickTop="1" x14ac:dyDescent="0.2">
      <c r="A13" s="2348" t="s">
        <v>367</v>
      </c>
      <c r="B13" s="2349"/>
      <c r="C13" s="2349"/>
      <c r="D13" s="2349"/>
      <c r="E13" s="2350"/>
      <c r="F13" s="634"/>
      <c r="G13" s="1755"/>
      <c r="H13" s="1756"/>
      <c r="I13" s="1757"/>
      <c r="J13" s="1757"/>
      <c r="K13" s="1757"/>
    </row>
    <row r="14" spans="1:11" x14ac:dyDescent="0.2">
      <c r="A14" s="2370" t="s">
        <v>453</v>
      </c>
      <c r="B14" s="2370"/>
      <c r="C14" s="2370"/>
      <c r="D14" s="2370"/>
      <c r="E14" s="2371"/>
      <c r="F14" s="635" t="s">
        <v>849</v>
      </c>
      <c r="G14" s="1752"/>
      <c r="H14" s="1743">
        <v>67069</v>
      </c>
      <c r="I14" s="1748"/>
      <c r="J14" s="1750"/>
      <c r="K14" s="1744">
        <v>26324</v>
      </c>
    </row>
    <row r="15" spans="1:11" x14ac:dyDescent="0.2">
      <c r="A15" s="2337" t="s">
        <v>4</v>
      </c>
      <c r="B15" s="2337"/>
      <c r="C15" s="2337"/>
      <c r="D15" s="2337"/>
      <c r="E15" s="2361"/>
      <c r="F15" s="635" t="s">
        <v>850</v>
      </c>
      <c r="G15" s="1748"/>
      <c r="H15" s="1743"/>
      <c r="I15" s="1743"/>
      <c r="J15" s="1744"/>
      <c r="K15" s="1744"/>
    </row>
    <row r="16" spans="1:11" x14ac:dyDescent="0.2">
      <c r="A16" s="2337" t="s">
        <v>295</v>
      </c>
      <c r="B16" s="2337"/>
      <c r="C16" s="2337"/>
      <c r="D16" s="2337"/>
      <c r="E16" s="2361"/>
      <c r="F16" s="635" t="s">
        <v>917</v>
      </c>
      <c r="G16" s="1749"/>
      <c r="H16" s="1745"/>
      <c r="I16" s="1745"/>
      <c r="J16" s="1747"/>
      <c r="K16" s="1747"/>
    </row>
    <row r="17" spans="1:15" x14ac:dyDescent="0.2">
      <c r="A17" s="2365" t="s">
        <v>929</v>
      </c>
      <c r="B17" s="2365"/>
      <c r="C17" s="2365"/>
      <c r="D17" s="2365"/>
      <c r="E17" s="2366"/>
      <c r="F17" s="636"/>
      <c r="G17" s="1758"/>
      <c r="H17" s="1759"/>
      <c r="I17" s="1759"/>
      <c r="J17" s="1760"/>
      <c r="K17" s="1761"/>
    </row>
    <row r="18" spans="1:15" x14ac:dyDescent="0.2">
      <c r="A18" s="2351" t="s">
        <v>365</v>
      </c>
      <c r="B18" s="2352"/>
      <c r="C18" s="2352"/>
      <c r="D18" s="2352"/>
      <c r="E18" s="2353"/>
      <c r="F18" s="635" t="s">
        <v>926</v>
      </c>
      <c r="G18" s="1752"/>
      <c r="H18" s="1752"/>
      <c r="I18" s="1752"/>
      <c r="J18" s="1744"/>
      <c r="K18" s="1762"/>
    </row>
    <row r="19" spans="1:15" ht="21.75" customHeight="1" x14ac:dyDescent="0.2">
      <c r="A19" s="2337" t="s">
        <v>1785</v>
      </c>
      <c r="B19" s="2337"/>
      <c r="C19" s="2337"/>
      <c r="D19" s="2337"/>
      <c r="E19" s="2372"/>
      <c r="F19" s="635" t="s">
        <v>927</v>
      </c>
      <c r="G19" s="1752"/>
      <c r="H19" s="1752"/>
      <c r="I19" s="1752"/>
      <c r="J19" s="1744"/>
      <c r="K19" s="1762"/>
    </row>
    <row r="20" spans="1:15" x14ac:dyDescent="0.2">
      <c r="A20" s="2351" t="s">
        <v>1790</v>
      </c>
      <c r="B20" s="2352"/>
      <c r="C20" s="2352"/>
      <c r="D20" s="2352"/>
      <c r="E20" s="2353"/>
      <c r="F20" s="635" t="s">
        <v>928</v>
      </c>
      <c r="G20" s="1752"/>
      <c r="H20" s="1752"/>
      <c r="I20" s="1752"/>
      <c r="J20" s="1744"/>
      <c r="K20" s="1762"/>
    </row>
    <row r="21" spans="1:15" ht="13.5" thickBot="1" x14ac:dyDescent="0.25">
      <c r="A21" s="2373" t="s">
        <v>633</v>
      </c>
      <c r="B21" s="2373"/>
      <c r="C21" s="2373"/>
      <c r="D21" s="2373"/>
      <c r="E21" s="2373"/>
      <c r="F21" s="1433"/>
      <c r="G21" s="1759"/>
      <c r="H21" s="1763"/>
      <c r="I21" s="1763"/>
      <c r="J21" s="1764">
        <f>SUM(J18:J20)</f>
        <v>0</v>
      </c>
      <c r="K21" s="1760"/>
    </row>
    <row r="22" spans="1:15" ht="13.5" thickTop="1" x14ac:dyDescent="0.2">
      <c r="A22" s="2337" t="s">
        <v>1791</v>
      </c>
      <c r="B22" s="2337"/>
      <c r="C22" s="2337"/>
      <c r="D22" s="2337"/>
      <c r="E22" s="2361"/>
      <c r="F22" s="635" t="s">
        <v>857</v>
      </c>
      <c r="G22" s="1752"/>
      <c r="H22" s="1743"/>
      <c r="I22" s="1743"/>
      <c r="J22" s="1765"/>
      <c r="K22" s="1744"/>
    </row>
    <row r="23" spans="1:15" ht="13.5" thickBot="1" x14ac:dyDescent="0.25">
      <c r="A23" s="2374" t="s">
        <v>900</v>
      </c>
      <c r="B23" s="2373"/>
      <c r="C23" s="2373"/>
      <c r="D23" s="2373"/>
      <c r="E23" s="2373"/>
      <c r="F23" s="1435"/>
      <c r="G23" s="1754">
        <f>SUM(G14:G16,G21,G22)</f>
        <v>0</v>
      </c>
      <c r="H23" s="1754">
        <f>SUM(H14:H16,H21,H22)</f>
        <v>67069</v>
      </c>
      <c r="I23" s="1754">
        <f>SUM(I14:I16,I21,I22)</f>
        <v>0</v>
      </c>
      <c r="J23" s="1754">
        <f>SUM(J14:J16,J21,J22)</f>
        <v>0</v>
      </c>
      <c r="K23" s="1754">
        <f>SUM(K14:K16,K21,K22)</f>
        <v>26324</v>
      </c>
      <c r="M23" s="1845"/>
      <c r="N23" s="1845"/>
      <c r="O23" s="1845"/>
    </row>
    <row r="24" spans="1:15" ht="14.25" thickTop="1" thickBot="1" x14ac:dyDescent="0.25">
      <c r="A24" s="2363" t="str">
        <f>"Ending Cash Basis Fund Balance as of June 30, "&amp;'AFR20'!E2</f>
        <v>Ending Cash Basis Fund Balance as of June 30, 2020</v>
      </c>
      <c r="B24" s="2364"/>
      <c r="C24" s="2364"/>
      <c r="D24" s="2364"/>
      <c r="E24" s="2364"/>
      <c r="F24" s="1436"/>
      <c r="G24" s="1766">
        <f>SUM(G3,G12)-G23</f>
        <v>0</v>
      </c>
      <c r="H24" s="1766">
        <f>SUM(H3,H12)-H23</f>
        <v>0</v>
      </c>
      <c r="I24" s="1766">
        <f>SUM(I3,I12)-I23</f>
        <v>0</v>
      </c>
      <c r="J24" s="1766">
        <f>SUM(J3,J12)-J23</f>
        <v>447656</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447656</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7"/>
      <c r="I31" s="2368"/>
      <c r="J31" s="2368"/>
      <c r="K31" s="2368"/>
    </row>
    <row r="32" spans="1:15" x14ac:dyDescent="0.2">
      <c r="A32" s="649"/>
      <c r="B32" s="232"/>
      <c r="C32" s="232"/>
      <c r="D32" s="232"/>
      <c r="E32" s="645"/>
      <c r="F32" s="651" t="s">
        <v>537</v>
      </c>
      <c r="G32" s="618"/>
      <c r="H32" s="2369"/>
      <c r="I32" s="2368"/>
      <c r="J32" s="2368"/>
      <c r="K32" s="2368"/>
    </row>
    <row r="33" spans="1:11" ht="1.5" customHeight="1" x14ac:dyDescent="0.2">
      <c r="A33" s="652" t="s">
        <v>1161</v>
      </c>
      <c r="B33" s="341"/>
      <c r="C33" s="341"/>
      <c r="D33" s="341"/>
      <c r="E33" s="341"/>
      <c r="F33" s="341"/>
      <c r="G33" s="653"/>
      <c r="H33" s="2369"/>
      <c r="I33" s="2368"/>
      <c r="J33" s="2368"/>
      <c r="K33" s="2368"/>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7"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1786</v>
      </c>
      <c r="B46" s="382" t="s">
        <v>1659</v>
      </c>
    </row>
    <row r="47" spans="1:11" s="663" customFormat="1" ht="12.75" customHeight="1" x14ac:dyDescent="0.2">
      <c r="A47" s="661"/>
      <c r="B47" s="662" t="s">
        <v>1660</v>
      </c>
      <c r="E47" s="662"/>
      <c r="K47" s="664"/>
    </row>
    <row r="48" spans="1:11" ht="12.75" customHeight="1" x14ac:dyDescent="0.2">
      <c r="A48" s="1299" t="s">
        <v>1787</v>
      </c>
      <c r="B48" s="382" t="s">
        <v>918</v>
      </c>
    </row>
  </sheetData>
  <sheetProtection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7" t="s">
        <v>1874</v>
      </c>
      <c r="B1" s="2378"/>
      <c r="C1" s="2379"/>
      <c r="D1" s="666"/>
      <c r="E1" s="667"/>
      <c r="F1" s="667"/>
      <c r="G1" s="668"/>
      <c r="H1" s="669"/>
      <c r="I1" s="670"/>
      <c r="J1" s="2375"/>
      <c r="K1" s="2376"/>
      <c r="L1" s="2376"/>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c r="E3" s="1768"/>
      <c r="F3" s="1764">
        <f>(C3+D3)-E3</f>
        <v>0</v>
      </c>
      <c r="G3" s="675"/>
      <c r="H3" s="674">
        <v>0</v>
      </c>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0</v>
      </c>
      <c r="D5" s="1769"/>
      <c r="E5" s="1769"/>
      <c r="F5" s="1764">
        <f>(C5+D5)-E5</f>
        <v>0</v>
      </c>
      <c r="G5" s="676"/>
      <c r="H5" s="680"/>
      <c r="I5" s="680"/>
      <c r="J5" s="680"/>
      <c r="K5" s="637"/>
      <c r="L5" s="1441">
        <f>F5-K5</f>
        <v>0</v>
      </c>
    </row>
    <row r="6" spans="1:14" ht="14.25" thickTop="1" thickBot="1" x14ac:dyDescent="0.25">
      <c r="A6" s="629" t="s">
        <v>1109</v>
      </c>
      <c r="B6" s="679">
        <v>222</v>
      </c>
      <c r="C6" s="1744">
        <v>0</v>
      </c>
      <c r="D6" s="1744"/>
      <c r="E6" s="1744"/>
      <c r="F6" s="1764">
        <f>(C6+D6)-E6</f>
        <v>0</v>
      </c>
      <c r="G6" s="676">
        <v>50</v>
      </c>
      <c r="H6" s="619">
        <v>0</v>
      </c>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26017911</v>
      </c>
      <c r="D8" s="1770"/>
      <c r="E8" s="1770"/>
      <c r="F8" s="1764">
        <f>(C8+D8)-E8</f>
        <v>26017911</v>
      </c>
      <c r="G8" s="681">
        <v>50</v>
      </c>
      <c r="H8" s="619">
        <v>17394283</v>
      </c>
      <c r="I8" s="619">
        <v>272569</v>
      </c>
      <c r="J8" s="619"/>
      <c r="K8" s="1441">
        <f>(H8+I8)-J8</f>
        <v>17666852</v>
      </c>
      <c r="L8" s="1441">
        <f>F8-K8</f>
        <v>8351059</v>
      </c>
    </row>
    <row r="9" spans="1:14" ht="14.25" thickTop="1" thickBot="1" x14ac:dyDescent="0.25">
      <c r="A9" s="629" t="s">
        <v>1111</v>
      </c>
      <c r="B9" s="679">
        <v>232</v>
      </c>
      <c r="C9" s="1744">
        <v>0</v>
      </c>
      <c r="D9" s="1744"/>
      <c r="E9" s="1744"/>
      <c r="F9" s="1764">
        <f>(C9+D9)-E9</f>
        <v>0</v>
      </c>
      <c r="G9" s="681">
        <v>20</v>
      </c>
      <c r="H9" s="619">
        <v>0</v>
      </c>
      <c r="I9" s="619"/>
      <c r="J9" s="619"/>
      <c r="K9" s="1441">
        <f>(H9+I9)-J9</f>
        <v>0</v>
      </c>
      <c r="L9" s="1441">
        <f>F9-K9</f>
        <v>0</v>
      </c>
    </row>
    <row r="10" spans="1:14" ht="24" thickTop="1" thickBot="1" x14ac:dyDescent="0.25">
      <c r="A10" s="682" t="s">
        <v>1112</v>
      </c>
      <c r="B10" s="679">
        <v>240</v>
      </c>
      <c r="C10" s="1771">
        <v>1326597</v>
      </c>
      <c r="D10" s="1771"/>
      <c r="E10" s="1771"/>
      <c r="F10" s="1772">
        <f>(C10+D10)-E10</f>
        <v>1326597</v>
      </c>
      <c r="G10" s="681">
        <v>20</v>
      </c>
      <c r="H10" s="683">
        <v>592955</v>
      </c>
      <c r="I10" s="683">
        <v>63017</v>
      </c>
      <c r="J10" s="683"/>
      <c r="K10" s="1441">
        <f>(H10+I10)-J10</f>
        <v>655972</v>
      </c>
      <c r="L10" s="1441">
        <f>F10-K10</f>
        <v>670625</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5141018</v>
      </c>
      <c r="D12" s="1770">
        <f>4246+20977</f>
        <v>25223</v>
      </c>
      <c r="E12" s="1770"/>
      <c r="F12" s="1764">
        <f>(C12+D12)-E12</f>
        <v>5166241</v>
      </c>
      <c r="G12" s="681">
        <v>10</v>
      </c>
      <c r="H12" s="619">
        <v>4802156</v>
      </c>
      <c r="I12" s="619">
        <v>109639</v>
      </c>
      <c r="J12" s="619"/>
      <c r="K12" s="1441">
        <f>(H12+I12)-J12</f>
        <v>4911795</v>
      </c>
      <c r="L12" s="1441">
        <f>F12-K12</f>
        <v>254446</v>
      </c>
    </row>
    <row r="13" spans="1:14" ht="14.25" thickTop="1" thickBot="1" x14ac:dyDescent="0.25">
      <c r="A13" s="684" t="s">
        <v>1114</v>
      </c>
      <c r="B13" s="679">
        <v>252</v>
      </c>
      <c r="C13" s="1770">
        <v>1699159</v>
      </c>
      <c r="D13" s="1770"/>
      <c r="E13" s="1770"/>
      <c r="F13" s="1764">
        <f>(C13+D13)-E13</f>
        <v>1699159</v>
      </c>
      <c r="G13" s="681">
        <v>5</v>
      </c>
      <c r="H13" s="619">
        <v>1684115</v>
      </c>
      <c r="I13" s="619">
        <v>9316</v>
      </c>
      <c r="J13" s="619"/>
      <c r="K13" s="1441">
        <f>(H13+I13)-J13</f>
        <v>1693431</v>
      </c>
      <c r="L13" s="1441">
        <f>F13-K13</f>
        <v>5728</v>
      </c>
    </row>
    <row r="14" spans="1:14" ht="14.25" thickTop="1" thickBot="1" x14ac:dyDescent="0.25">
      <c r="A14" s="684" t="s">
        <v>1115</v>
      </c>
      <c r="B14" s="679">
        <v>253</v>
      </c>
      <c r="C14" s="1744">
        <v>0</v>
      </c>
      <c r="D14" s="1744">
        <v>49908</v>
      </c>
      <c r="E14" s="1744"/>
      <c r="F14" s="1764">
        <f>(C14+D14)-E14</f>
        <v>49908</v>
      </c>
      <c r="G14" s="681">
        <v>3</v>
      </c>
      <c r="H14" s="619">
        <v>0</v>
      </c>
      <c r="I14" s="619">
        <v>16636</v>
      </c>
      <c r="J14" s="619"/>
      <c r="K14" s="1441">
        <f>(H14+I14)-J14</f>
        <v>16636</v>
      </c>
      <c r="L14" s="1441">
        <f>F14-K14</f>
        <v>33272</v>
      </c>
    </row>
    <row r="15" spans="1:14" ht="15" customHeight="1" thickTop="1" thickBot="1" x14ac:dyDescent="0.25">
      <c r="A15" s="1365" t="s">
        <v>525</v>
      </c>
      <c r="B15" s="1364">
        <v>260</v>
      </c>
      <c r="C15" s="1770">
        <v>0</v>
      </c>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34184685</v>
      </c>
      <c r="D16" s="1764">
        <f>SUM(D3,D5:D6,D8:D10,D12:D15)</f>
        <v>75131</v>
      </c>
      <c r="E16" s="1764">
        <f>SUM(E3,E5:E6,E8:E10,E12:E15)</f>
        <v>0</v>
      </c>
      <c r="F16" s="1764">
        <f>SUM(F3,F5:F6,F8:F10,F12:F15)</f>
        <v>34259816</v>
      </c>
      <c r="G16" s="681"/>
      <c r="H16" s="1434">
        <f>SUM(H3,H6,H8:H10,H12:H14,)</f>
        <v>24473509</v>
      </c>
      <c r="I16" s="1434">
        <f>SUM(I3,I6,I8:I10,I12:I14,)</f>
        <v>471177</v>
      </c>
      <c r="J16" s="1434">
        <f>SUM(J3,J6,J8:J10,J12:J14,)</f>
        <v>0</v>
      </c>
      <c r="K16" s="1434">
        <f>(H16+I16)-J16</f>
        <v>24944686</v>
      </c>
      <c r="L16" s="1434">
        <f>F16-K16</f>
        <v>9315130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471177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49" activePane="bottomLeft" state="frozen"/>
      <selection activeCell="A47" sqref="A47"/>
      <selection pane="bottomLeft" activeCell="A56" sqref="A5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3" t="str">
        <f>"ESTIMATED OPERATING EXPENSE PER PUPIL (OEPP)/PER CAPITA TUITION CHARGE (PCTC) COMPUTATIONS ("&amp;'AFR20'!E2-1&amp;" - "&amp;'AFR20'!E2&amp;")"</f>
        <v>ESTIMATED OPERATING EXPENSE PER PUPIL (OEPP)/PER CAPITA TUITION CHARGE (PCTC) COMPUTATIONS (2019 - 2020)</v>
      </c>
      <c r="B1" s="2384"/>
      <c r="C1" s="2384"/>
      <c r="D1" s="2384"/>
      <c r="E1" s="2384"/>
      <c r="F1" s="2385"/>
      <c r="G1" s="691"/>
      <c r="I1" s="701"/>
    </row>
    <row r="2" spans="1:9" ht="15" customHeight="1" thickBot="1" x14ac:dyDescent="0.25">
      <c r="A2" s="2386" t="s">
        <v>474</v>
      </c>
      <c r="B2" s="2387"/>
      <c r="C2" s="2387"/>
      <c r="D2" s="2387"/>
      <c r="E2" s="2387"/>
      <c r="F2" s="238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9"/>
      <c r="B5" s="2390"/>
      <c r="C5" s="2390"/>
      <c r="D5" s="2390"/>
      <c r="E5" s="2390"/>
      <c r="F5" s="2390"/>
    </row>
    <row r="6" spans="1:9" ht="13.5" customHeight="1" thickBot="1" x14ac:dyDescent="0.25">
      <c r="A6" s="2380" t="s">
        <v>1097</v>
      </c>
      <c r="B6" s="2381"/>
      <c r="C6" s="2381"/>
      <c r="D6" s="2381"/>
      <c r="E6" s="2381"/>
      <c r="F6" s="238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10763722</v>
      </c>
      <c r="G8" s="701"/>
    </row>
    <row r="9" spans="1:9" x14ac:dyDescent="0.2">
      <c r="A9" s="705" t="s">
        <v>457</v>
      </c>
      <c r="B9" s="706" t="s">
        <v>1847</v>
      </c>
      <c r="C9" s="707"/>
      <c r="D9" s="705" t="s">
        <v>498</v>
      </c>
      <c r="E9" s="704"/>
      <c r="F9" s="1774">
        <f>'Expenditures 15-22'!K151</f>
        <v>901333</v>
      </c>
      <c r="G9" s="708"/>
    </row>
    <row r="10" spans="1:9" x14ac:dyDescent="0.2">
      <c r="A10" s="705" t="s">
        <v>496</v>
      </c>
      <c r="B10" s="706" t="s">
        <v>1848</v>
      </c>
      <c r="C10" s="707"/>
      <c r="D10" s="705" t="s">
        <v>498</v>
      </c>
      <c r="E10" s="704"/>
      <c r="F10" s="1774">
        <f>'Expenditures 15-22'!K174</f>
        <v>1055339</v>
      </c>
      <c r="G10" s="708"/>
    </row>
    <row r="11" spans="1:9" x14ac:dyDescent="0.2">
      <c r="A11" s="705" t="s">
        <v>458</v>
      </c>
      <c r="B11" s="706" t="s">
        <v>1849</v>
      </c>
      <c r="C11" s="707"/>
      <c r="D11" s="705" t="s">
        <v>498</v>
      </c>
      <c r="E11" s="704"/>
      <c r="F11" s="1774">
        <f>'Expenditures 15-22'!K210</f>
        <v>676032</v>
      </c>
      <c r="G11" s="708"/>
    </row>
    <row r="12" spans="1:9" x14ac:dyDescent="0.2">
      <c r="A12" s="705" t="s">
        <v>459</v>
      </c>
      <c r="B12" s="706" t="s">
        <v>1850</v>
      </c>
      <c r="C12" s="707"/>
      <c r="D12" s="705" t="s">
        <v>498</v>
      </c>
      <c r="E12" s="704"/>
      <c r="F12" s="1774">
        <f>'Expenditures 15-22'!K295</f>
        <v>335563</v>
      </c>
      <c r="G12" s="708"/>
    </row>
    <row r="13" spans="1:9" x14ac:dyDescent="0.2">
      <c r="A13" s="705" t="s">
        <v>106</v>
      </c>
      <c r="B13" s="706" t="s">
        <v>1851</v>
      </c>
      <c r="C13" s="707"/>
      <c r="D13" s="705" t="s">
        <v>498</v>
      </c>
      <c r="E13" s="704"/>
      <c r="F13" s="1774">
        <f>'Expenditures 15-22'!K342</f>
        <v>814567</v>
      </c>
      <c r="G13" s="709"/>
    </row>
    <row r="14" spans="1:9" ht="12" customHeight="1" thickBot="1" x14ac:dyDescent="0.25">
      <c r="A14" s="1442"/>
      <c r="B14" s="1443"/>
      <c r="C14" s="1444"/>
      <c r="D14" s="1445" t="s">
        <v>498</v>
      </c>
      <c r="E14" s="1446" t="s">
        <v>952</v>
      </c>
      <c r="F14" s="1775">
        <f>SUM(F8:F13)</f>
        <v>14546556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1905</v>
      </c>
      <c r="C30" s="716">
        <f>'Revenues 9-14'!B150</f>
        <v>3499</v>
      </c>
      <c r="D30" s="717" t="str">
        <f>'Revenues 9-14'!A150</f>
        <v>Adult Ed - Other (Describe &amp; Itemize)</v>
      </c>
      <c r="E30" s="704"/>
      <c r="F30" s="1782">
        <f>('Revenues 9-14'!D150+'Revenues 9-14'!F150)</f>
        <v>0</v>
      </c>
      <c r="G30" s="701"/>
    </row>
    <row r="31" spans="1:7" x14ac:dyDescent="0.2">
      <c r="A31" s="705" t="s">
        <v>1090</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1908</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139337</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13354</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650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473656</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3027</v>
      </c>
      <c r="G52" s="701"/>
    </row>
    <row r="53" spans="1:7" x14ac:dyDescent="0.2">
      <c r="A53" s="705" t="s">
        <v>456</v>
      </c>
      <c r="B53" s="705" t="s">
        <v>1461</v>
      </c>
      <c r="C53" s="724">
        <f>'Expenditures 15-22'!B102</f>
        <v>4000</v>
      </c>
      <c r="D53" s="723" t="str">
        <f>'Expenditures 15-22'!A102</f>
        <v>Total Payments to Other Govt Units</v>
      </c>
      <c r="E53" s="704"/>
      <c r="F53" s="1781">
        <f>'Expenditures 15-22'!K102</f>
        <v>459937</v>
      </c>
      <c r="G53" s="701"/>
    </row>
    <row r="54" spans="1:7" x14ac:dyDescent="0.2">
      <c r="A54" s="705" t="s">
        <v>456</v>
      </c>
      <c r="B54" s="705" t="s">
        <v>1462</v>
      </c>
      <c r="C54" s="724" t="s">
        <v>975</v>
      </c>
      <c r="D54" s="720" t="s">
        <v>1088</v>
      </c>
      <c r="E54" s="704"/>
      <c r="F54" s="1781">
        <f>'Expenditures 15-22'!G114</f>
        <v>65475</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1">
        <f>'Expenditures 15-22'!K139</f>
        <v>0</v>
      </c>
      <c r="G57" s="701"/>
    </row>
    <row r="58" spans="1:7" x14ac:dyDescent="0.2">
      <c r="A58" s="705" t="s">
        <v>457</v>
      </c>
      <c r="B58" s="705" t="s">
        <v>1853</v>
      </c>
      <c r="C58" s="721" t="s">
        <v>975</v>
      </c>
      <c r="D58" s="720" t="s">
        <v>1088</v>
      </c>
      <c r="E58" s="704"/>
      <c r="F58" s="1783">
        <f>'Expenditures 15-22'!G151</f>
        <v>9656</v>
      </c>
      <c r="G58" s="701"/>
    </row>
    <row r="59" spans="1:7" x14ac:dyDescent="0.2">
      <c r="A59" s="728" t="s">
        <v>457</v>
      </c>
      <c r="B59" s="692" t="s">
        <v>1854</v>
      </c>
      <c r="C59" s="729" t="s">
        <v>975</v>
      </c>
      <c r="D59" s="692" t="s">
        <v>288</v>
      </c>
      <c r="F59" s="1784">
        <f>'Expenditures 15-22'!I151</f>
        <v>0</v>
      </c>
      <c r="G59" s="701"/>
    </row>
    <row r="60" spans="1:7" x14ac:dyDescent="0.2">
      <c r="A60" s="728" t="s">
        <v>496</v>
      </c>
      <c r="B60" s="692" t="s">
        <v>1855</v>
      </c>
      <c r="C60" s="729">
        <v>4000</v>
      </c>
      <c r="D60" s="692" t="s">
        <v>309</v>
      </c>
      <c r="F60" s="1782">
        <f>'Expenditures 15-22'!K160</f>
        <v>0</v>
      </c>
      <c r="G60" s="701"/>
    </row>
    <row r="61" spans="1:7" x14ac:dyDescent="0.2">
      <c r="A61" s="730" t="s">
        <v>496</v>
      </c>
      <c r="B61" s="730" t="s">
        <v>1856</v>
      </c>
      <c r="C61" s="731" t="str">
        <f>'Expenditures 15-22'!B170</f>
        <v>5300</v>
      </c>
      <c r="D61" s="732" t="s">
        <v>308</v>
      </c>
      <c r="E61" s="715"/>
      <c r="F61" s="1781">
        <f>'Expenditures 15-22'!K170</f>
        <v>975000</v>
      </c>
      <c r="G61" s="701"/>
    </row>
    <row r="62" spans="1:7" x14ac:dyDescent="0.2">
      <c r="A62" s="705" t="s">
        <v>458</v>
      </c>
      <c r="B62" s="705" t="s">
        <v>1857</v>
      </c>
      <c r="C62" s="721">
        <f>'Expenditures 15-22'!B185</f>
        <v>3000</v>
      </c>
      <c r="D62" s="712" t="s">
        <v>446</v>
      </c>
      <c r="E62" s="704"/>
      <c r="F62" s="1781">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1859</v>
      </c>
      <c r="C64" s="731" t="str">
        <f>'Expenditures 15-22'!B206</f>
        <v>5300</v>
      </c>
      <c r="D64" s="727" t="s">
        <v>308</v>
      </c>
      <c r="E64" s="704"/>
      <c r="F64" s="1781">
        <f>'Expenditures 15-22'!K206</f>
        <v>0</v>
      </c>
      <c r="G64" s="701"/>
    </row>
    <row r="65" spans="1:9" x14ac:dyDescent="0.2">
      <c r="A65" s="705" t="s">
        <v>458</v>
      </c>
      <c r="B65" s="705" t="s">
        <v>1860</v>
      </c>
      <c r="C65" s="721" t="s">
        <v>975</v>
      </c>
      <c r="D65" s="720" t="s">
        <v>1088</v>
      </c>
      <c r="E65" s="704"/>
      <c r="F65" s="1781">
        <f>'Expenditures 15-22'!G210</f>
        <v>0</v>
      </c>
      <c r="G65" s="701"/>
    </row>
    <row r="66" spans="1:9" x14ac:dyDescent="0.2">
      <c r="A66" s="705" t="s">
        <v>458</v>
      </c>
      <c r="B66" s="705" t="s">
        <v>1861</v>
      </c>
      <c r="C66" s="721" t="s">
        <v>975</v>
      </c>
      <c r="D66" s="720" t="s">
        <v>288</v>
      </c>
      <c r="E66" s="704"/>
      <c r="F66" s="1781">
        <f>'Expenditures 15-22'!I210</f>
        <v>0</v>
      </c>
      <c r="G66" s="701"/>
    </row>
    <row r="67" spans="1:9" x14ac:dyDescent="0.2">
      <c r="A67" s="705" t="s">
        <v>459</v>
      </c>
      <c r="B67" s="705" t="s">
        <v>1862</v>
      </c>
      <c r="C67" s="721" t="str">
        <f>'Expenditures 15-22'!B216</f>
        <v>1125</v>
      </c>
      <c r="D67" s="727" t="str">
        <f>'Expenditures 15-22'!A216</f>
        <v>Pre-K Programs</v>
      </c>
      <c r="E67" s="704"/>
      <c r="F67" s="1781">
        <f>'Expenditures 15-22'!K216</f>
        <v>4392</v>
      </c>
      <c r="G67" s="701"/>
    </row>
    <row r="68" spans="1:9" x14ac:dyDescent="0.2">
      <c r="A68" s="705" t="s">
        <v>459</v>
      </c>
      <c r="B68" s="705" t="s">
        <v>1465</v>
      </c>
      <c r="C68" s="721" t="str">
        <f>'Expenditures 15-22'!B218</f>
        <v>1225</v>
      </c>
      <c r="D68" s="727" t="str">
        <f>'Expenditures 15-22'!A218</f>
        <v>Special Education Programs - Pre-K</v>
      </c>
      <c r="E68" s="704"/>
      <c r="F68" s="1781">
        <f>'Expenditures 15-22'!K218</f>
        <v>1703</v>
      </c>
      <c r="G68" s="701"/>
    </row>
    <row r="69" spans="1:9" x14ac:dyDescent="0.2">
      <c r="A69" s="705" t="s">
        <v>459</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1864</v>
      </c>
      <c r="C70" s="721">
        <f>'Expenditures 15-22'!B221</f>
        <v>1300</v>
      </c>
      <c r="D70" s="722" t="str">
        <f>'Expenditures 15-22'!A221</f>
        <v>Adult/Continuing Education Programs</v>
      </c>
      <c r="E70" s="704"/>
      <c r="F70" s="1781">
        <f>'Expenditures 15-22'!K221</f>
        <v>0</v>
      </c>
      <c r="G70" s="701"/>
    </row>
    <row r="71" spans="1:9" x14ac:dyDescent="0.2">
      <c r="A71" s="705" t="s">
        <v>459</v>
      </c>
      <c r="B71" s="705" t="s">
        <v>1865</v>
      </c>
      <c r="C71" s="721">
        <f>'Expenditures 15-22'!B224</f>
        <v>1600</v>
      </c>
      <c r="D71" s="722" t="str">
        <f>'Expenditures 15-22'!A224</f>
        <v>Summer School Programs</v>
      </c>
      <c r="E71" s="704"/>
      <c r="F71" s="1781">
        <f>'Expenditures 15-22'!K224</f>
        <v>0</v>
      </c>
      <c r="G71" s="701"/>
    </row>
    <row r="72" spans="1:9" x14ac:dyDescent="0.2">
      <c r="A72" s="705" t="s">
        <v>459</v>
      </c>
      <c r="B72" s="705" t="s">
        <v>1866</v>
      </c>
      <c r="C72" s="721">
        <f>'Expenditures 15-22'!B280</f>
        <v>3000</v>
      </c>
      <c r="D72" s="712" t="s">
        <v>446</v>
      </c>
      <c r="E72" s="704"/>
      <c r="F72" s="1781">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1868</v>
      </c>
      <c r="C74" s="721" t="s">
        <v>855</v>
      </c>
      <c r="D74" s="722" t="s">
        <v>1473</v>
      </c>
      <c r="E74" s="704"/>
      <c r="F74" s="1785">
        <f>'Expenditures 15-22'!K334</f>
        <v>0</v>
      </c>
      <c r="G74" s="701"/>
    </row>
    <row r="75" spans="1:9" x14ac:dyDescent="0.2">
      <c r="A75" s="705" t="s">
        <v>2007</v>
      </c>
      <c r="B75" s="705" t="s">
        <v>2008</v>
      </c>
      <c r="C75" s="721" t="s">
        <v>975</v>
      </c>
      <c r="D75" s="722" t="s">
        <v>1088</v>
      </c>
      <c r="E75" s="704"/>
      <c r="F75" s="1785">
        <f>'Expenditures 15-22'!G342</f>
        <v>0</v>
      </c>
      <c r="G75" s="701"/>
    </row>
    <row r="76" spans="1:9" ht="10.5" customHeight="1" x14ac:dyDescent="0.2">
      <c r="A76" s="701" t="s">
        <v>433</v>
      </c>
      <c r="B76" s="705" t="s">
        <v>2009</v>
      </c>
      <c r="C76" s="711" t="s">
        <v>975</v>
      </c>
      <c r="D76" s="701" t="s">
        <v>288</v>
      </c>
      <c r="E76" s="704"/>
      <c r="F76" s="1785">
        <f>'Expenditures 15-22'!I342</f>
        <v>0</v>
      </c>
      <c r="G76" s="703"/>
    </row>
    <row r="77" spans="1:9" ht="12" thickBot="1" x14ac:dyDescent="0.25">
      <c r="A77" s="1442"/>
      <c r="B77" s="1447"/>
      <c r="C77" s="1444"/>
      <c r="D77" s="1448" t="s">
        <v>2010</v>
      </c>
      <c r="E77" s="1446" t="s">
        <v>952</v>
      </c>
      <c r="F77" s="1786">
        <f>SUM(F18:F76)</f>
        <v>2146187</v>
      </c>
      <c r="G77" s="701"/>
    </row>
    <row r="78" spans="1:9" s="728" customFormat="1" ht="12" customHeight="1" thickTop="1" thickBot="1" x14ac:dyDescent="0.25">
      <c r="A78" s="1449"/>
      <c r="B78" s="1447"/>
      <c r="C78" s="1444"/>
      <c r="D78" s="1448" t="s">
        <v>2011</v>
      </c>
      <c r="E78" s="1446"/>
      <c r="F78" s="1787">
        <f>(F14-F77)</f>
        <v>12400369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1074.7</v>
      </c>
      <c r="G79" s="733"/>
      <c r="H79" s="705"/>
      <c r="I79" s="705"/>
    </row>
    <row r="80" spans="1:9" s="728" customFormat="1" ht="12" customHeight="1" thickBot="1" x14ac:dyDescent="0.25">
      <c r="A80" s="1451"/>
      <c r="B80" s="1447"/>
      <c r="C80" s="1444"/>
      <c r="D80" s="1448" t="s">
        <v>2012</v>
      </c>
      <c r="E80" s="1446" t="s">
        <v>952</v>
      </c>
      <c r="F80" s="1789">
        <f>IF(F79&gt;0,F78/F79," Complete Line 79")</f>
        <v>11538.447008467479</v>
      </c>
      <c r="G80" s="705"/>
    </row>
    <row r="81" spans="1:7" s="728" customFormat="1" ht="8.25" customHeight="1" thickTop="1" x14ac:dyDescent="0.2">
      <c r="A81" s="734"/>
      <c r="B81" s="705"/>
      <c r="C81" s="707"/>
      <c r="D81" s="735"/>
      <c r="E81" s="704"/>
      <c r="F81" s="1790"/>
      <c r="G81" s="705"/>
    </row>
    <row r="82" spans="1:7" s="728" customFormat="1" ht="12" thickBot="1" x14ac:dyDescent="0.25">
      <c r="A82" s="2380" t="s">
        <v>1098</v>
      </c>
      <c r="B82" s="2381"/>
      <c r="C82" s="2381"/>
      <c r="D82" s="2381"/>
      <c r="E82" s="2381"/>
      <c r="F82" s="238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136107</v>
      </c>
      <c r="G95" s="745"/>
    </row>
    <row r="96" spans="1:7" x14ac:dyDescent="0.2">
      <c r="A96" s="741" t="s">
        <v>139</v>
      </c>
      <c r="B96" s="741" t="s">
        <v>174</v>
      </c>
      <c r="C96" s="743">
        <v>1700</v>
      </c>
      <c r="D96" s="751" t="str">
        <f>'Revenues 9-14'!A82</f>
        <v>Total District/School Activity Income</v>
      </c>
      <c r="E96" s="739"/>
      <c r="F96" s="1792">
        <f>SUM('Revenues 9-14'!C82,'Revenues 9-14'!D82)</f>
        <v>91494</v>
      </c>
      <c r="G96" s="745"/>
    </row>
    <row r="97" spans="1:7" x14ac:dyDescent="0.2">
      <c r="A97" s="741" t="s">
        <v>456</v>
      </c>
      <c r="B97" s="741" t="s">
        <v>175</v>
      </c>
      <c r="C97" s="743">
        <f>'Revenues 9-14'!B84</f>
        <v>1811</v>
      </c>
      <c r="D97" s="744" t="str">
        <f>'Revenues 9-14'!A84</f>
        <v>Rentals - Regular Textbooks</v>
      </c>
      <c r="E97" s="739"/>
      <c r="F97" s="1792">
        <f>'Revenues 9-14'!C84</f>
        <v>74269</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46076</v>
      </c>
      <c r="G105" s="745"/>
    </row>
    <row r="106" spans="1:7" x14ac:dyDescent="0.2">
      <c r="A106" s="741" t="s">
        <v>500</v>
      </c>
      <c r="B106" s="741" t="s">
        <v>1909</v>
      </c>
      <c r="C106" s="746">
        <v>3100</v>
      </c>
      <c r="D106" s="752" t="str">
        <f>'Revenues 9-14'!A132</f>
        <v>Total Special Education</v>
      </c>
      <c r="E106" s="739"/>
      <c r="F106" s="1792">
        <f>SUM('Revenues 9-14'!C132:D132,'Revenues 9-14'!F132)</f>
        <v>189423</v>
      </c>
      <c r="G106" s="745"/>
    </row>
    <row r="107" spans="1:7" x14ac:dyDescent="0.2">
      <c r="A107" s="741" t="s">
        <v>668</v>
      </c>
      <c r="B107" s="741" t="s">
        <v>1910</v>
      </c>
      <c r="C107" s="753">
        <v>3200</v>
      </c>
      <c r="D107" s="744" t="str">
        <f>'Revenues 9-14'!A141</f>
        <v>Total Career and Technical Education</v>
      </c>
      <c r="E107" s="739"/>
      <c r="F107" s="1792">
        <f>SUM('Revenues 9-14'!C141,'Revenues 9-14'!D141,'Revenues 9-14'!G141)</f>
        <v>5796</v>
      </c>
      <c r="G107" s="745"/>
    </row>
    <row r="108" spans="1:7" x14ac:dyDescent="0.2">
      <c r="A108" s="754" t="s">
        <v>659</v>
      </c>
      <c r="B108" s="741" t="s">
        <v>1911</v>
      </c>
      <c r="C108" s="753">
        <v>3300</v>
      </c>
      <c r="D108" s="744" t="str">
        <f>'Revenues 9-14'!A145</f>
        <v>Total Bilingual Ed</v>
      </c>
      <c r="E108" s="739"/>
      <c r="F108" s="1792">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2">
        <f>'Revenues 9-14'!C146</f>
        <v>2957</v>
      </c>
      <c r="G109" s="745"/>
    </row>
    <row r="110" spans="1:7" x14ac:dyDescent="0.2">
      <c r="A110" s="741" t="s">
        <v>668</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12124</v>
      </c>
      <c r="G111" s="745"/>
    </row>
    <row r="112" spans="1:7" x14ac:dyDescent="0.2">
      <c r="A112" s="741" t="s">
        <v>663</v>
      </c>
      <c r="B112" s="741" t="s">
        <v>1915</v>
      </c>
      <c r="C112" s="755">
        <v>3500</v>
      </c>
      <c r="D112" s="744" t="str">
        <f>'Revenues 9-14'!A155</f>
        <v>Total Transportation</v>
      </c>
      <c r="E112" s="739"/>
      <c r="F112" s="1792">
        <f>SUM('Revenues 9-14'!C155,'Revenues 9-14'!D155,'Revenues 9-14'!F155,'Revenues 9-14'!G155)</f>
        <v>246653</v>
      </c>
      <c r="G112" s="745"/>
    </row>
    <row r="113" spans="1:7" x14ac:dyDescent="0.2">
      <c r="A113" s="741" t="s">
        <v>456</v>
      </c>
      <c r="B113" s="741" t="s">
        <v>1916</v>
      </c>
      <c r="C113" s="753">
        <f>'Revenues 9-14'!B156</f>
        <v>3610</v>
      </c>
      <c r="D113" s="744" t="str">
        <f>'Revenues 9-14'!A156</f>
        <v>Learning Improvement - Change Grants</v>
      </c>
      <c r="E113" s="739"/>
      <c r="F113" s="1792">
        <f>'Revenues 9-14'!C156</f>
        <v>0</v>
      </c>
      <c r="G113" s="745"/>
    </row>
    <row r="114" spans="1:7" x14ac:dyDescent="0.2">
      <c r="A114" s="741" t="s">
        <v>663</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1">
        <f>SUM('Revenues 9-14'!C163:G163)</f>
        <v>0</v>
      </c>
      <c r="G119" s="745"/>
    </row>
    <row r="120" spans="1:7" x14ac:dyDescent="0.2">
      <c r="A120" s="756" t="s">
        <v>501</v>
      </c>
      <c r="B120" s="756" t="s">
        <v>1923</v>
      </c>
      <c r="C120" s="757">
        <f>'Revenues 9-14'!B164</f>
        <v>3815</v>
      </c>
      <c r="D120" s="758" t="str">
        <f>'Revenues 9-14'!A164</f>
        <v>State Charter Schools</v>
      </c>
      <c r="E120" s="739"/>
      <c r="F120" s="1791">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2">
        <f>'Revenues 9-14'!D167</f>
        <v>0</v>
      </c>
      <c r="G121" s="763"/>
    </row>
    <row r="122" spans="1:7" x14ac:dyDescent="0.2">
      <c r="A122" s="760" t="s">
        <v>497</v>
      </c>
      <c r="B122" s="760" t="s">
        <v>1925</v>
      </c>
      <c r="C122" s="761">
        <f>'Revenues 9-14'!B168</f>
        <v>3999</v>
      </c>
      <c r="D122" s="762" t="s">
        <v>540</v>
      </c>
      <c r="E122" s="764"/>
      <c r="F122" s="1792">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2">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1928</v>
      </c>
      <c r="C125" s="765">
        <v>4100</v>
      </c>
      <c r="D125" s="766" t="str">
        <f>'Revenues 9-14'!A188</f>
        <v>Total Title V</v>
      </c>
      <c r="E125" s="739"/>
      <c r="F125" s="1792">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2">
        <f>SUM('Revenues 9-14'!C198,'Revenues 9-14'!G198)</f>
        <v>234470</v>
      </c>
      <c r="G126" s="763"/>
    </row>
    <row r="127" spans="1:7" x14ac:dyDescent="0.2">
      <c r="A127" s="760" t="s">
        <v>663</v>
      </c>
      <c r="B127" s="760" t="s">
        <v>1930</v>
      </c>
      <c r="C127" s="765">
        <v>4300</v>
      </c>
      <c r="D127" s="766" t="str">
        <f>'Revenues 9-14'!A204</f>
        <v>Total Title I</v>
      </c>
      <c r="E127" s="739"/>
      <c r="F127" s="1792">
        <f>SUM('Revenues 9-14'!C204,'Revenues 9-14'!D204,'Revenues 9-14'!F204,'Revenues 9-14'!G204)</f>
        <v>191790</v>
      </c>
      <c r="G127" s="763"/>
    </row>
    <row r="128" spans="1:7" x14ac:dyDescent="0.2">
      <c r="A128" s="760" t="s">
        <v>663</v>
      </c>
      <c r="B128" s="760" t="s">
        <v>1931</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2">
        <f>SUM('Revenues 9-14'!C213:D213,'Revenues 9-14'!F213:G213)</f>
        <v>377340</v>
      </c>
      <c r="G129" s="763"/>
    </row>
    <row r="130" spans="1:7" x14ac:dyDescent="0.2">
      <c r="A130" s="760" t="s">
        <v>663</v>
      </c>
      <c r="B130" s="760" t="s">
        <v>1933</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1950</v>
      </c>
      <c r="C158" s="773" t="s">
        <v>836</v>
      </c>
      <c r="D158" s="774" t="s">
        <v>772</v>
      </c>
      <c r="E158" s="775"/>
      <c r="F158" s="1792">
        <f>SUM(F134:F157)</f>
        <v>0</v>
      </c>
      <c r="G158" s="738"/>
    </row>
    <row r="159" spans="1:7" s="703" customFormat="1" x14ac:dyDescent="0.2">
      <c r="A159" s="771" t="s">
        <v>456</v>
      </c>
      <c r="B159" s="772" t="s">
        <v>1951</v>
      </c>
      <c r="C159" s="773" t="s">
        <v>1413</v>
      </c>
      <c r="D159" s="774" t="s">
        <v>1414</v>
      </c>
      <c r="E159" s="775"/>
      <c r="F159" s="1792">
        <f>SUM('Revenues 9-14'!C253)</f>
        <v>0</v>
      </c>
      <c r="G159" s="738"/>
    </row>
    <row r="160" spans="1:7" s="703" customFormat="1" x14ac:dyDescent="0.2">
      <c r="A160" s="771" t="s">
        <v>497</v>
      </c>
      <c r="B160" s="772" t="s">
        <v>1952</v>
      </c>
      <c r="C160" s="773" t="s">
        <v>1452</v>
      </c>
      <c r="D160" s="774" t="s">
        <v>1453</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1">
        <f>SUM('Revenues 9-14'!C259,'Revenues 9-14'!D259,'Revenues 9-14'!F259,'Revenues 9-14'!G259)</f>
        <v>48519</v>
      </c>
      <c r="G165" s="763"/>
    </row>
    <row r="166" spans="1:7" x14ac:dyDescent="0.2">
      <c r="A166" s="760" t="s">
        <v>663</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663</v>
      </c>
      <c r="B170" s="760" t="s">
        <v>1960</v>
      </c>
      <c r="C170" s="765">
        <f>'Revenues 9-14'!B264</f>
        <v>4992</v>
      </c>
      <c r="D170" s="766" t="str">
        <f>'Revenues 9-14'!A264</f>
        <v>Medicaid Matching Funds - Fee-for-Service Program</v>
      </c>
      <c r="E170" s="739"/>
      <c r="F170" s="1792">
        <f>SUM('Revenues 9-14'!C264:D264,'Revenues 9-14'!F264:G264)</f>
        <v>10415</v>
      </c>
      <c r="G170" s="780"/>
    </row>
    <row r="171" spans="1:7" x14ac:dyDescent="0.2">
      <c r="A171" s="781" t="s">
        <v>663</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1884</v>
      </c>
      <c r="C172" s="1530">
        <v>3100</v>
      </c>
      <c r="D172" s="1531" t="s">
        <v>1886</v>
      </c>
      <c r="E172" s="739"/>
      <c r="F172" s="1793">
        <v>381046</v>
      </c>
      <c r="G172" s="760"/>
    </row>
    <row r="173" spans="1:7" x14ac:dyDescent="0.2">
      <c r="A173" s="1528" t="s">
        <v>659</v>
      </c>
      <c r="B173" s="1529" t="s">
        <v>1884</v>
      </c>
      <c r="C173" s="1530">
        <v>3300</v>
      </c>
      <c r="D173" s="1531" t="s">
        <v>1887</v>
      </c>
      <c r="E173" s="739"/>
      <c r="F173" s="1793">
        <v>29</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952</v>
      </c>
      <c r="F175" s="1795">
        <f>SUM(F85:F133,F158:F173)</f>
        <v>2048508</v>
      </c>
    </row>
    <row r="176" spans="1:7" ht="12" customHeight="1" x14ac:dyDescent="0.2">
      <c r="A176" s="1442"/>
      <c r="B176" s="1452"/>
      <c r="C176" s="1453"/>
      <c r="D176" s="1454" t="s">
        <v>2013</v>
      </c>
      <c r="E176" s="1455"/>
      <c r="F176" s="1792">
        <f>'PCTC-OEPP 27-28'!F78-F175</f>
        <v>10351861</v>
      </c>
    </row>
    <row r="177" spans="1:9" ht="12" customHeight="1" x14ac:dyDescent="0.2">
      <c r="A177" s="1442"/>
      <c r="B177" s="1452"/>
      <c r="C177" s="1453"/>
      <c r="D177" s="1454" t="s">
        <v>1793</v>
      </c>
      <c r="E177" s="1455"/>
      <c r="F177" s="1792">
        <f>'Cap Outlay Deprec 26'!I18</f>
        <v>471177</v>
      </c>
    </row>
    <row r="178" spans="1:9" ht="12" customHeight="1" x14ac:dyDescent="0.2">
      <c r="A178" s="1442"/>
      <c r="B178" s="1452"/>
      <c r="C178" s="1453"/>
      <c r="D178" s="1454" t="s">
        <v>2014</v>
      </c>
      <c r="E178" s="1455"/>
      <c r="F178" s="1792">
        <f>F176+F177</f>
        <v>10823038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1074.7</v>
      </c>
      <c r="G179" s="763"/>
      <c r="I179" s="701"/>
    </row>
    <row r="180" spans="1:9" ht="12" customHeight="1" thickBot="1" x14ac:dyDescent="0.25">
      <c r="A180" s="1442"/>
      <c r="B180" s="1456"/>
      <c r="C180" s="1453"/>
      <c r="D180" s="1454" t="s">
        <v>2016</v>
      </c>
      <c r="E180" s="1455" t="s">
        <v>1531</v>
      </c>
      <c r="F180" s="1797">
        <f>F178/F179</f>
        <v>10070.752768214385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zoomScaleNormal="100" workbookViewId="0">
      <selection activeCell="A33" sqref="A33"/>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1806</v>
      </c>
      <c r="B1" s="1859"/>
      <c r="C1" s="1860"/>
      <c r="D1" s="1860"/>
      <c r="E1" s="1860"/>
      <c r="F1" s="1860"/>
    </row>
    <row r="2" spans="1:6" x14ac:dyDescent="0.25">
      <c r="A2" s="1862"/>
      <c r="B2" s="1863"/>
      <c r="C2" s="1911" t="s">
        <v>2002</v>
      </c>
      <c r="D2" s="1862"/>
      <c r="E2" s="1862"/>
      <c r="F2" s="1862"/>
    </row>
    <row r="3" spans="1:6" ht="5.25" customHeight="1" x14ac:dyDescent="0.25">
      <c r="A3" s="1864"/>
      <c r="B3" s="1865"/>
      <c r="C3" s="1864"/>
      <c r="D3" s="1864"/>
      <c r="E3" s="1864"/>
      <c r="F3" s="1864"/>
    </row>
    <row r="4" spans="1:6" ht="18.75" customHeight="1" x14ac:dyDescent="0.25">
      <c r="A4" s="2394" t="s">
        <v>1794</v>
      </c>
      <c r="B4" s="2395"/>
      <c r="C4" s="2395"/>
      <c r="D4" s="2395"/>
      <c r="E4" s="2395"/>
      <c r="F4" s="2396"/>
    </row>
    <row r="5" spans="1:6" x14ac:dyDescent="0.25">
      <c r="A5" s="2397"/>
      <c r="B5" s="2398"/>
      <c r="C5" s="2398"/>
      <c r="D5" s="2398"/>
      <c r="E5" s="2398"/>
      <c r="F5" s="2399"/>
    </row>
    <row r="6" spans="1:6" ht="18.75" x14ac:dyDescent="0.25">
      <c r="A6" s="1866" t="s">
        <v>1795</v>
      </c>
      <c r="B6" s="1867"/>
      <c r="C6" s="1868"/>
      <c r="D6" s="1868"/>
      <c r="E6" s="1868"/>
      <c r="F6" s="1869"/>
    </row>
    <row r="7" spans="1:6" ht="47.25" customHeight="1" x14ac:dyDescent="0.25">
      <c r="A7" s="2400" t="s">
        <v>1984</v>
      </c>
      <c r="B7" s="2401"/>
      <c r="C7" s="2401"/>
      <c r="D7" s="2401"/>
      <c r="E7" s="2401"/>
      <c r="F7" s="2402"/>
    </row>
    <row r="8" spans="1:6" ht="20.25" customHeight="1" x14ac:dyDescent="0.25">
      <c r="A8" s="1900" t="s">
        <v>1986</v>
      </c>
      <c r="B8" s="1901"/>
      <c r="C8" s="1901"/>
      <c r="D8" s="1901"/>
      <c r="E8" s="1870"/>
      <c r="F8" s="1871"/>
    </row>
    <row r="9" spans="1:6" ht="18" customHeight="1" x14ac:dyDescent="0.25">
      <c r="A9" s="1872" t="s">
        <v>1983</v>
      </c>
      <c r="B9" s="1874"/>
      <c r="C9" s="1874"/>
      <c r="D9" s="1874"/>
      <c r="E9" s="1870"/>
      <c r="F9" s="1871"/>
    </row>
    <row r="10" spans="1:6" ht="15.75" customHeight="1" x14ac:dyDescent="0.25">
      <c r="A10" s="2403" t="s">
        <v>1980</v>
      </c>
      <c r="B10" s="2404"/>
      <c r="C10" s="2404"/>
      <c r="D10" s="2404"/>
      <c r="E10" s="2404"/>
      <c r="F10" s="2405"/>
    </row>
    <row r="11" spans="1:6" ht="33" customHeight="1" x14ac:dyDescent="0.25">
      <c r="A11" s="2400" t="s">
        <v>1985</v>
      </c>
      <c r="B11" s="2401"/>
      <c r="C11" s="2401"/>
      <c r="D11" s="2401"/>
      <c r="E11" s="2401"/>
      <c r="F11" s="2402"/>
    </row>
    <row r="12" spans="1:6" ht="15" customHeight="1" x14ac:dyDescent="0.25">
      <c r="A12" s="1872" t="s">
        <v>1981</v>
      </c>
      <c r="B12" s="1873"/>
      <c r="C12" s="1874"/>
      <c r="D12" s="1874"/>
      <c r="E12" s="1874"/>
      <c r="F12" s="1875"/>
    </row>
    <row r="13" spans="1:6" ht="17.25" customHeight="1" x14ac:dyDescent="0.25">
      <c r="A13" s="2400" t="s">
        <v>1982</v>
      </c>
      <c r="B13" s="2401"/>
      <c r="C13" s="2401"/>
      <c r="D13" s="2401"/>
      <c r="E13" s="2401"/>
      <c r="F13" s="2402"/>
    </row>
    <row r="14" spans="1:6" ht="15" customHeight="1" x14ac:dyDescent="0.25">
      <c r="A14" s="1872" t="s">
        <v>1799</v>
      </c>
      <c r="B14" s="1873"/>
      <c r="C14" s="1874"/>
      <c r="D14" s="1874"/>
      <c r="E14" s="1874"/>
      <c r="F14" s="1875"/>
    </row>
    <row r="15" spans="1:6" ht="32.25" customHeight="1" x14ac:dyDescent="0.25">
      <c r="A15" s="239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2"/>
      <c r="C15" s="2392"/>
      <c r="D15" s="2392"/>
      <c r="E15" s="2392"/>
      <c r="F15" s="2393"/>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5" t="s">
        <v>1798</v>
      </c>
      <c r="C17" s="1880" t="s">
        <v>1796</v>
      </c>
      <c r="D17" s="1881">
        <v>500000</v>
      </c>
      <c r="E17" s="1881" t="str">
        <f>IF(D17&lt;25000,D17,"25,000")</f>
        <v>25,000</v>
      </c>
      <c r="F17" s="1882">
        <f>IF(D17&gt;=25000,(D17-E17),"0")</f>
        <v>475000</v>
      </c>
    </row>
    <row r="18" spans="1:7" x14ac:dyDescent="0.25">
      <c r="A18" s="1924" t="s">
        <v>2036</v>
      </c>
      <c r="B18" s="1906"/>
      <c r="C18" s="1912"/>
      <c r="D18" s="1884"/>
      <c r="E18" s="1904">
        <f t="shared" ref="E18:E29" si="0">IF(D18&lt;25000,D18,"25,000")</f>
        <v>0</v>
      </c>
      <c r="F18" s="1904" t="str">
        <f t="shared" ref="F18:F29"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7"/>
      <c r="C30" s="1887"/>
      <c r="D30" s="1884"/>
      <c r="E30" s="1904">
        <f t="shared" ref="E30:E36" si="2">IF(D30&lt;25000,D30,"25,000")</f>
        <v>0</v>
      </c>
      <c r="F30" s="1904" t="str">
        <f t="shared" ref="F30:F36" si="3">IF(D30&gt;=25000,(D30-E30),"0")</f>
        <v>0</v>
      </c>
    </row>
    <row r="31" spans="1:7" x14ac:dyDescent="0.25">
      <c r="A31" s="1886"/>
      <c r="B31" s="1907"/>
      <c r="C31" s="1887"/>
      <c r="D31" s="1884"/>
      <c r="E31" s="1904">
        <f t="shared" si="2"/>
        <v>0</v>
      </c>
      <c r="F31" s="1904" t="str">
        <f t="shared" si="3"/>
        <v>0</v>
      </c>
    </row>
    <row r="32" spans="1:7" x14ac:dyDescent="0.25">
      <c r="A32" s="1886"/>
      <c r="B32" s="1907"/>
      <c r="C32" s="1887"/>
      <c r="D32" s="1884"/>
      <c r="E32" s="1904">
        <f t="shared" si="2"/>
        <v>0</v>
      </c>
      <c r="F32" s="1904" t="str">
        <f t="shared" si="3"/>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8"/>
      <c r="C36" s="1887"/>
      <c r="D36" s="1884"/>
      <c r="E36" s="1904">
        <f t="shared" si="2"/>
        <v>0</v>
      </c>
      <c r="F36" s="1904" t="str">
        <f t="shared" si="3"/>
        <v>0</v>
      </c>
    </row>
    <row r="37" spans="1:6" x14ac:dyDescent="0.25">
      <c r="A37" s="1888" t="s">
        <v>155</v>
      </c>
      <c r="B37" s="1909"/>
      <c r="C37" s="1889"/>
      <c r="D37" s="1890">
        <f>SUM(D18:D36)</f>
        <v>0</v>
      </c>
      <c r="E37" s="1891">
        <f>SUM(E18:E36)</f>
        <v>0</v>
      </c>
      <c r="F37" s="1892">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5" colorId="8" zoomScale="110" zoomScaleNormal="110" workbookViewId="0">
      <selection activeCell="F19" sqref="F19"/>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6" t="s">
        <v>1663</v>
      </c>
      <c r="B5" s="2407"/>
      <c r="C5" s="2407"/>
      <c r="D5" s="2407"/>
      <c r="E5" s="2407"/>
      <c r="F5" s="2407"/>
      <c r="G5" s="2408"/>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c r="F10" s="805"/>
      <c r="G10" s="806"/>
      <c r="H10" s="157"/>
      <c r="I10" s="157"/>
    </row>
    <row r="11" spans="1:13" s="542" customFormat="1" ht="22.5" customHeight="1" x14ac:dyDescent="0.2">
      <c r="A11" s="241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2"/>
      <c r="C11" s="2412"/>
      <c r="D11" s="2413"/>
      <c r="E11" s="1800">
        <v>15717</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7766492</v>
      </c>
      <c r="F19" s="1801"/>
      <c r="G19" s="1803">
        <f>'Expenditures 15-22'!K33-SUM('Expenditures 15-22'!G33,'Expenditures 15-22'!I33)+'Expenditures 15-22'!D229</f>
        <v>7766492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285933</v>
      </c>
      <c r="F21" s="1804"/>
      <c r="G21" s="1807">
        <f>'Expenditures 15-22'!K42-SUM('Expenditures 15-22'!G42,'Expenditures 15-22'!I42)+'Expenditures 15-22'!K120-SUM('Expenditures 15-22'!G120,'Expenditures 15-22'!I120)+'Expenditures 15-22'!K180-SUM('Expenditures 15-22'!G180,'Expenditures 15-22'!I180)+'Expenditures 15-22'!D238</f>
        <v>285933</v>
      </c>
      <c r="H21" s="817"/>
      <c r="I21" s="157"/>
    </row>
    <row r="22" spans="1:9" s="542" customFormat="1" ht="12" customHeight="1" x14ac:dyDescent="0.2">
      <c r="A22" s="824" t="s">
        <v>560</v>
      </c>
      <c r="B22" s="825"/>
      <c r="C22" s="823">
        <v>2200</v>
      </c>
      <c r="D22" s="1804"/>
      <c r="E22" s="1806">
        <f>'Expenditures 15-22'!K47-SUM('Expenditures 15-22'!G47,'Expenditures 15-22'!I47)+'Expenditures 15-22'!D243</f>
        <v>378433</v>
      </c>
      <c r="F22" s="1804"/>
      <c r="G22" s="1807">
        <f>'Expenditures 15-22'!K47-SUM('Expenditures 15-22'!G47,'Expenditures 15-22'!I47)+'Expenditures 15-22'!D243</f>
        <v>378433</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1080374</v>
      </c>
      <c r="F23" s="1804"/>
      <c r="G23" s="1806">
        <f>'Expenditures 15-22'!K53-SUM('Expenditures 15-22'!G53,'Expenditures 15-22'!I53)+'Expenditures 15-22'!D257+'Expenditures 15-22'!K330-SUM('Expenditures 15-22'!G330,'Expenditures 15-22'!I330)</f>
        <v>1080374</v>
      </c>
      <c r="H23" s="817"/>
      <c r="I23" s="157"/>
    </row>
    <row r="24" spans="1:9" s="542" customFormat="1" ht="12" customHeight="1" x14ac:dyDescent="0.2">
      <c r="A24" s="824" t="s">
        <v>562</v>
      </c>
      <c r="B24" s="825"/>
      <c r="C24" s="823">
        <v>2400</v>
      </c>
      <c r="D24" s="1804"/>
      <c r="E24" s="1806">
        <f>'Expenditures 15-22'!K57-SUM('Expenditures 15-22'!G57,'Expenditures 15-22'!I57)+'Expenditures 15-22'!D261</f>
        <v>786408</v>
      </c>
      <c r="F24" s="1804"/>
      <c r="G24" s="1807">
        <f>'Expenditures 15-22'!K57-SUM('Expenditures 15-22'!G57,'Expenditures 15-22'!I57)+'Expenditures 15-22'!D261</f>
        <v>786408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164294</v>
      </c>
      <c r="E27" s="1806">
        <f>E8</f>
        <v>0</v>
      </c>
      <c r="F27" s="1806">
        <f>'Expenditures 15-22'!K60-SUM('Expenditures 15-22'!G60,'Expenditures 15-22'!I60)+'Expenditures 15-22'!D264-E8</f>
        <v>164294</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1172076</v>
      </c>
      <c r="F28" s="1808">
        <f>'Expenditures 15-22'!K61-SUM('Expenditures 15-22'!G61,'Expenditures 15-22'!I61)+'Expenditures 15-22'!K124-SUM('Expenditures 15-22'!G124,'Expenditures 15-22'!I124)+'Expenditures 15-22'!D266-E9</f>
        <v>1172076</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722729</v>
      </c>
      <c r="F29" s="1804"/>
      <c r="G29" s="1807">
        <f>'Expenditures 15-22'!K62-SUM('Expenditures 15-22'!G62,'Expenditures 15-22'!I62)+'Expenditures 15-22'!K125-SUM('Expenditures 15-22'!G125,'Expenditures 15-22'!I125)+'Expenditures 15-22'!K182-SUM('Expenditures 15-22'!G182,'Expenditures 15-22'!I182)+'Expenditures 15-22'!D267</f>
        <v>722729</v>
      </c>
      <c r="H29" s="815"/>
    </row>
    <row r="30" spans="1:9" ht="12" customHeight="1" x14ac:dyDescent="0.2">
      <c r="A30" s="824" t="s">
        <v>100</v>
      </c>
      <c r="B30" s="827"/>
      <c r="C30" s="823">
        <v>2560</v>
      </c>
      <c r="D30" s="1804"/>
      <c r="E30" s="1806">
        <f>'Expenditures 15-22'!K63-SUM('Expenditures 15-22'!G63,'Expenditures 15-22'!I63)+'Expenditures 15-22'!D268-E10</f>
        <v>302535</v>
      </c>
      <c r="F30" s="1804"/>
      <c r="G30" s="1806">
        <f>'Expenditures 15-22'!K63-SUM('Expenditures 15-22'!G63,'Expenditures 15-22'!I63)+'Expenditures 15-22'!D268-E10</f>
        <v>302535</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25568</v>
      </c>
      <c r="F35" s="1804"/>
      <c r="G35" s="1806">
        <f>'Expenditures 15-22'!K69-SUM('Expenditures 15-22'!G69,'Expenditures 15-22'!I69)+'Expenditures 15-22'!D274</f>
        <v>25568</v>
      </c>
    </row>
    <row r="36" spans="1:7" ht="12" customHeight="1" x14ac:dyDescent="0.2">
      <c r="A36" s="824" t="s">
        <v>400</v>
      </c>
      <c r="B36" s="827"/>
      <c r="C36" s="823">
        <v>2640</v>
      </c>
      <c r="D36" s="1806">
        <f>'Expenditures 15-22'!K70-SUM('Expenditures 15-22'!G70,'Expenditures 15-22'!I70)+'Expenditures 15-22'!D275-E13</f>
        <v>4278</v>
      </c>
      <c r="E36" s="1806">
        <f>E13</f>
        <v>0</v>
      </c>
      <c r="F36" s="1806">
        <f>'Expenditures 15-22'!K70-SUM('Expenditures 15-22'!G70,'Expenditures 15-22'!I70)+'Expenditures 15-22'!D275-E13</f>
        <v>4278</v>
      </c>
      <c r="G36" s="1806">
        <f>E13</f>
        <v>0</v>
      </c>
    </row>
    <row r="37" spans="1:7" ht="12" customHeight="1" x14ac:dyDescent="0.2">
      <c r="A37" s="824" t="s">
        <v>401</v>
      </c>
      <c r="B37" s="827"/>
      <c r="C37" s="823">
        <v>2660</v>
      </c>
      <c r="D37" s="1806">
        <f>'Expenditures 15-22'!K71-SUM('Expenditures 15-22'!G71,'Expenditures 15-22'!I71)+'Expenditures 15-22'!D276-E14</f>
        <v>262917</v>
      </c>
      <c r="E37" s="1806">
        <f>E14</f>
        <v>0</v>
      </c>
      <c r="F37" s="1806">
        <f>'Expenditures 15-22'!K71-SUM('Expenditures 15-22'!G71,'Expenditures 15-22'!I71)+'Expenditures 15-22'!D276-E14</f>
        <v>262917</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1085</v>
      </c>
      <c r="F38" s="1804"/>
      <c r="G38" s="1806">
        <f>'Expenditures 15-22'!K73-SUM('Expenditures 15-22'!G73,'Expenditures 15-22'!I73)+'Expenditures 15-22'!K128-SUM('Expenditures 15-22'!G128,'Expenditures 15-22'!I128)+'Expenditures 15-22'!K183-SUM('Expenditures 15-22'!G183,'Expenditures 15-22'!I183)+'Expenditures 15-22'!D278</f>
        <v>1085</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3027</v>
      </c>
      <c r="F39" s="1804"/>
      <c r="G39" s="1806">
        <f>'Expenditures 15-22'!K75-SUM('Expenditures 15-22'!G75,'Expenditures 15-22'!I75)+'Expenditures 15-22'!K130-SUM('Expenditures 15-22'!G130,'Expenditures 15-22'!I130)+'Expenditures 15-22'!K185-SUM('Expenditures 15-22'!G185,'Expenditures 15-22'!I185)+'Expenditures 15-22'!D280</f>
        <v>3027</v>
      </c>
    </row>
    <row r="40" spans="1:7" ht="12" customHeight="1" x14ac:dyDescent="0.2">
      <c r="A40" s="820" t="s">
        <v>1797</v>
      </c>
      <c r="B40" s="821"/>
      <c r="C40" s="823"/>
      <c r="D40" s="1804"/>
      <c r="E40" s="1808">
        <f>-'Contracts Paid in CY 29'!F37</f>
        <v>0</v>
      </c>
      <c r="F40" s="1804"/>
      <c r="G40" s="1808">
        <f>-'Contracts Paid in CY 29'!F37</f>
        <v>0</v>
      </c>
    </row>
    <row r="41" spans="1:7" ht="12" customHeight="1" x14ac:dyDescent="0.2">
      <c r="A41" s="828" t="s">
        <v>155</v>
      </c>
      <c r="B41" s="829"/>
      <c r="C41" s="830"/>
      <c r="D41" s="1808">
        <f>SUM(D19:D39)</f>
        <v>431489</v>
      </c>
      <c r="E41" s="1808">
        <f>SUM(E19:E40)</f>
        <v>12524660</v>
      </c>
      <c r="F41" s="1808">
        <f>SUM(F19:F39)</f>
        <v>1603565</v>
      </c>
      <c r="G41" s="1808">
        <f>SUM(G19:G40)</f>
        <v>11352584</v>
      </c>
    </row>
    <row r="42" spans="1:7" x14ac:dyDescent="0.2">
      <c r="A42" s="817"/>
      <c r="B42" s="157"/>
      <c r="C42" s="831"/>
      <c r="D42" s="2409" t="s">
        <v>519</v>
      </c>
      <c r="E42" s="2410"/>
      <c r="F42" s="832" t="s">
        <v>520</v>
      </c>
      <c r="G42" s="833"/>
    </row>
    <row r="43" spans="1:7" ht="12" customHeight="1" x14ac:dyDescent="0.2">
      <c r="A43" s="817"/>
      <c r="B43" s="157"/>
      <c r="C43" s="831"/>
      <c r="D43" s="1457" t="s">
        <v>470</v>
      </c>
      <c r="E43" s="1809">
        <f>D41</f>
        <v>431489</v>
      </c>
      <c r="F43" s="1457" t="s">
        <v>470</v>
      </c>
      <c r="G43" s="1809">
        <f>F41</f>
        <v>1603565</v>
      </c>
    </row>
    <row r="44" spans="1:7" ht="12" customHeight="1" x14ac:dyDescent="0.2">
      <c r="A44" s="817"/>
      <c r="B44" s="157"/>
      <c r="C44" s="831"/>
      <c r="D44" s="1457" t="s">
        <v>471</v>
      </c>
      <c r="E44" s="1809">
        <f>E41</f>
        <v>12524660</v>
      </c>
      <c r="F44" s="1457" t="s">
        <v>471</v>
      </c>
      <c r="G44" s="1809">
        <f>G41</f>
        <v>11352584</v>
      </c>
    </row>
    <row r="45" spans="1:7" ht="12" customHeight="1" x14ac:dyDescent="0.2">
      <c r="A45" s="817"/>
      <c r="B45" s="157"/>
      <c r="C45" s="157"/>
      <c r="D45" s="1458" t="s">
        <v>999</v>
      </c>
      <c r="E45" s="1810">
        <f>(E43/E44)</f>
        <v>3.4451154761885754E-2</v>
      </c>
      <c r="F45" s="1458" t="s">
        <v>999</v>
      </c>
      <c r="G45" s="1810">
        <f>(G43/G44)</f>
        <v>0.1412511019517671</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8" activePane="bottomLeft" state="frozen"/>
      <selection activeCell="A47" sqref="A47"/>
      <selection pane="bottomLeft" activeCell="G27" sqref="G27"/>
    </sheetView>
  </sheetViews>
  <sheetFormatPr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7" t="s">
        <v>1365</v>
      </c>
      <c r="B1" s="2417"/>
      <c r="C1" s="2417"/>
      <c r="D1" s="2417"/>
      <c r="E1" s="2417"/>
      <c r="F1" s="2417"/>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8" t="s">
        <v>1532</v>
      </c>
      <c r="B5" s="2419"/>
      <c r="C5" s="2420"/>
      <c r="D5" s="2420"/>
      <c r="E5" s="2420"/>
      <c r="F5" s="2420"/>
      <c r="G5" s="1506"/>
      <c r="L5" s="1506"/>
      <c r="M5" s="1854"/>
      <c r="N5" s="1854"/>
      <c r="O5" s="1854"/>
    </row>
    <row r="6" spans="1:15" ht="12" customHeight="1" x14ac:dyDescent="0.25">
      <c r="A6" s="1479"/>
      <c r="B6" s="1480"/>
      <c r="C6" s="2421" t="str">
        <f>COVER!A17</f>
        <v xml:space="preserve">   El Paso-Gridley CUSD 11</v>
      </c>
      <c r="D6" s="2421"/>
      <c r="E6" s="2421"/>
      <c r="F6" s="1481"/>
      <c r="G6" s="1506"/>
      <c r="L6" s="1506"/>
      <c r="M6" s="1854"/>
      <c r="N6" s="1854"/>
      <c r="O6" s="1854"/>
    </row>
    <row r="7" spans="1:15" ht="11.25" customHeight="1" thickBot="1" x14ac:dyDescent="0.3">
      <c r="A7" s="1479"/>
      <c r="B7" s="1480"/>
      <c r="C7" s="2422">
        <f>COVER!A13</f>
        <v>53102011026</v>
      </c>
      <c r="D7" s="2422"/>
      <c r="E7" s="2422"/>
      <c r="F7" s="1481"/>
      <c r="G7" s="1506"/>
      <c r="L7" s="1506"/>
      <c r="M7" s="1854"/>
      <c r="N7" s="1854"/>
      <c r="O7" s="1854"/>
    </row>
    <row r="8" spans="1:15" ht="25.5" customHeight="1" thickBot="1" x14ac:dyDescent="0.25">
      <c r="A8" s="1518" t="s">
        <v>1873</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t="s">
        <v>2026</v>
      </c>
      <c r="D13" s="1494" t="s">
        <v>2026</v>
      </c>
      <c r="E13" s="1497"/>
      <c r="F13" s="1496" t="s">
        <v>2037</v>
      </c>
      <c r="G13" s="1506"/>
      <c r="H13" s="1506">
        <f t="shared" si="0"/>
        <v>5</v>
      </c>
      <c r="I13" s="1506">
        <f t="shared" si="1"/>
        <v>5</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t="s">
        <v>2026</v>
      </c>
      <c r="D23" s="1494" t="s">
        <v>2026</v>
      </c>
      <c r="E23" s="1497"/>
      <c r="F23" s="1496" t="s">
        <v>2038</v>
      </c>
      <c r="G23" s="1506"/>
      <c r="H23" s="1506">
        <f t="shared" si="0"/>
        <v>5</v>
      </c>
      <c r="I23" s="1506">
        <f t="shared" si="1"/>
        <v>5</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2026</v>
      </c>
      <c r="D26" s="1494" t="s">
        <v>2026</v>
      </c>
      <c r="E26" s="1497"/>
      <c r="F26" s="1496" t="s">
        <v>2039</v>
      </c>
      <c r="G26" s="1506"/>
      <c r="H26" s="1506">
        <f t="shared" si="0"/>
        <v>5</v>
      </c>
      <c r="I26" s="1506">
        <f t="shared" si="1"/>
        <v>5</v>
      </c>
      <c r="J26" s="1506">
        <f t="shared" si="2"/>
        <v>0</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t="s">
        <v>2026</v>
      </c>
      <c r="D31" s="1494" t="s">
        <v>2026</v>
      </c>
      <c r="E31" s="1497"/>
      <c r="F31" s="1496" t="s">
        <v>2040</v>
      </c>
      <c r="G31" s="1506"/>
      <c r="H31" s="1506">
        <f t="shared" si="0"/>
        <v>5</v>
      </c>
      <c r="I31" s="1506">
        <f t="shared" si="1"/>
        <v>5</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54"/>
      <c r="N34" s="1854"/>
      <c r="O34" s="1854"/>
    </row>
    <row r="35" spans="1:15" ht="12" customHeight="1" x14ac:dyDescent="0.2">
      <c r="A35" s="1499" t="s">
        <v>1378</v>
      </c>
      <c r="B35" s="1500"/>
      <c r="C35" s="2423"/>
      <c r="D35" s="2423"/>
      <c r="E35" s="2423"/>
      <c r="F35" s="2424"/>
    </row>
    <row r="36" spans="1:15" ht="12" customHeight="1" x14ac:dyDescent="0.2">
      <c r="A36" s="2414"/>
      <c r="B36" s="2415"/>
      <c r="C36" s="2415"/>
      <c r="D36" s="2415"/>
      <c r="E36" s="2415"/>
      <c r="F36" s="2416"/>
    </row>
    <row r="37" spans="1:15" ht="12" customHeight="1" x14ac:dyDescent="0.2">
      <c r="A37" s="2414"/>
      <c r="B37" s="2415"/>
      <c r="C37" s="2415"/>
      <c r="D37" s="2415"/>
      <c r="E37" s="2415"/>
      <c r="F37" s="2416"/>
    </row>
    <row r="38" spans="1:15" ht="12" customHeight="1" x14ac:dyDescent="0.2">
      <c r="A38" s="2428"/>
      <c r="B38" s="2429"/>
      <c r="C38" s="2429"/>
      <c r="D38" s="2429"/>
      <c r="E38" s="2429"/>
      <c r="F38" s="2430"/>
    </row>
    <row r="39" spans="1:15" ht="4.5" hidden="1" customHeight="1" x14ac:dyDescent="0.2">
      <c r="A39" s="1501"/>
      <c r="B39" s="1501"/>
      <c r="C39" s="1501"/>
      <c r="D39" s="1501"/>
      <c r="E39" s="1501"/>
      <c r="F39" s="1501"/>
    </row>
    <row r="40" spans="1:15" s="1498" customFormat="1" ht="12" customHeight="1" x14ac:dyDescent="0.25">
      <c r="A40" s="1502" t="s">
        <v>1377</v>
      </c>
      <c r="B40" s="1503"/>
      <c r="C40" s="2431"/>
      <c r="D40" s="2431"/>
      <c r="E40" s="2431"/>
      <c r="F40" s="2432"/>
      <c r="H40" s="1507"/>
      <c r="I40" s="1507"/>
      <c r="J40" s="1507"/>
      <c r="K40" s="1507"/>
    </row>
    <row r="41" spans="1:15" s="1498" customFormat="1" ht="12" customHeight="1" x14ac:dyDescent="0.25">
      <c r="A41" s="2433"/>
      <c r="B41" s="2434"/>
      <c r="C41" s="2434"/>
      <c r="D41" s="2434"/>
      <c r="E41" s="2434"/>
      <c r="F41" s="2435"/>
      <c r="H41" s="1507"/>
      <c r="I41" s="1507"/>
      <c r="J41" s="1507"/>
      <c r="K41" s="1507"/>
    </row>
    <row r="42" spans="1:15" s="1498" customFormat="1" ht="12" customHeight="1" x14ac:dyDescent="0.25">
      <c r="A42" s="2433"/>
      <c r="B42" s="2434"/>
      <c r="C42" s="2434"/>
      <c r="D42" s="2434"/>
      <c r="E42" s="2434"/>
      <c r="F42" s="2435"/>
      <c r="H42" s="1507"/>
      <c r="I42" s="1507"/>
      <c r="J42" s="1507"/>
      <c r="K42" s="1507"/>
    </row>
    <row r="43" spans="1:15" s="1498" customFormat="1" ht="15" x14ac:dyDescent="0.25">
      <c r="A43" s="2425"/>
      <c r="B43" s="2426"/>
      <c r="C43" s="2426"/>
      <c r="D43" s="2426"/>
      <c r="E43" s="2426"/>
      <c r="F43" s="2427"/>
      <c r="H43" s="1507"/>
      <c r="I43" s="1507"/>
      <c r="J43" s="1507"/>
      <c r="K43" s="1507"/>
    </row>
    <row r="44" spans="1:15" s="1498" customFormat="1" ht="12" hidden="1" customHeight="1" x14ac:dyDescent="0.25">
      <c r="A44" s="2425"/>
      <c r="B44" s="2426"/>
      <c r="C44" s="2426"/>
      <c r="D44" s="2426"/>
      <c r="E44" s="2426"/>
      <c r="F44" s="242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40"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25"/>
      <c r="B1" s="1926"/>
      <c r="C1" s="1926"/>
      <c r="D1" s="1926"/>
      <c r="E1" s="1926"/>
      <c r="F1" s="1926"/>
      <c r="G1" s="1927" t="s">
        <v>402</v>
      </c>
      <c r="H1" s="1928"/>
      <c r="I1" s="1926"/>
      <c r="J1" s="1926"/>
      <c r="K1" s="1926"/>
      <c r="L1" s="1926"/>
      <c r="M1" s="1926"/>
      <c r="N1" s="1929"/>
    </row>
    <row r="2" spans="1:14" x14ac:dyDescent="0.2">
      <c r="A2" s="1930"/>
      <c r="B2" s="838"/>
      <c r="C2" s="838"/>
      <c r="D2" s="838"/>
      <c r="E2" s="838"/>
      <c r="F2" s="838"/>
      <c r="G2" s="1931" t="s">
        <v>2001</v>
      </c>
      <c r="H2" s="1932"/>
      <c r="I2" s="838"/>
      <c r="J2" s="838"/>
      <c r="K2" s="838"/>
      <c r="L2" s="838"/>
      <c r="M2" s="838"/>
      <c r="N2" s="1933"/>
    </row>
    <row r="3" spans="1:14" x14ac:dyDescent="0.2">
      <c r="A3" s="1930"/>
      <c r="B3" s="838"/>
      <c r="C3" s="838"/>
      <c r="D3" s="838"/>
      <c r="E3" s="838"/>
      <c r="F3" s="838"/>
      <c r="G3" s="1931" t="s">
        <v>403</v>
      </c>
      <c r="H3" s="838"/>
      <c r="I3" s="838"/>
      <c r="J3" s="838"/>
      <c r="K3" s="838"/>
      <c r="L3" s="838"/>
      <c r="M3" s="838"/>
      <c r="N3" s="1933"/>
    </row>
    <row r="4" spans="1:14" x14ac:dyDescent="0.2">
      <c r="A4" s="1930"/>
      <c r="B4" s="838"/>
      <c r="C4" s="838"/>
      <c r="D4" s="838"/>
      <c r="E4" s="838"/>
      <c r="F4" s="838"/>
      <c r="G4" s="1931" t="s">
        <v>863</v>
      </c>
      <c r="H4" s="838"/>
      <c r="I4" s="838"/>
      <c r="J4" s="838"/>
      <c r="K4" s="838"/>
      <c r="L4" s="838"/>
      <c r="M4" s="838"/>
      <c r="N4" s="1933"/>
    </row>
    <row r="5" spans="1:14" x14ac:dyDescent="0.2">
      <c r="A5" s="1930"/>
      <c r="B5" s="838"/>
      <c r="C5" s="838"/>
      <c r="D5" s="838"/>
      <c r="E5" s="838"/>
      <c r="F5" s="1931"/>
      <c r="G5" s="1931"/>
      <c r="H5" s="838"/>
      <c r="I5" s="838"/>
      <c r="J5" s="838"/>
      <c r="K5" s="838"/>
      <c r="L5" s="838"/>
      <c r="M5" s="838"/>
      <c r="N5" s="1933"/>
    </row>
    <row r="6" spans="1:14" x14ac:dyDescent="0.2">
      <c r="A6" s="1934" t="s">
        <v>667</v>
      </c>
      <c r="B6" s="1376"/>
      <c r="C6" s="1376"/>
      <c r="D6" s="1376"/>
      <c r="E6" s="1377"/>
      <c r="F6" s="1935"/>
      <c r="G6" s="1931"/>
      <c r="H6" s="838"/>
      <c r="I6" s="1936" t="s">
        <v>1021</v>
      </c>
      <c r="J6" s="2448" t="str">
        <f>+COVER!A17</f>
        <v xml:space="preserve">   El Paso-Gridley CUSD 11</v>
      </c>
      <c r="K6" s="2448"/>
      <c r="L6" s="2449"/>
      <c r="M6" s="838"/>
      <c r="N6" s="1933"/>
    </row>
    <row r="7" spans="1:14" x14ac:dyDescent="0.2">
      <c r="A7" s="2450" t="s">
        <v>864</v>
      </c>
      <c r="B7" s="2451"/>
      <c r="C7" s="2451"/>
      <c r="D7" s="2451"/>
      <c r="E7" s="2452"/>
      <c r="F7" s="839"/>
      <c r="G7" s="838"/>
      <c r="H7" s="838"/>
      <c r="I7" s="1936" t="s">
        <v>369</v>
      </c>
      <c r="J7" s="2453">
        <f>+COVER!A13</f>
        <v>53102011026</v>
      </c>
      <c r="K7" s="2453"/>
      <c r="L7" s="2453"/>
      <c r="M7" s="838"/>
      <c r="N7" s="1933"/>
    </row>
    <row r="8" spans="1:14" x14ac:dyDescent="0.2">
      <c r="A8" s="1937"/>
      <c r="B8" s="1938"/>
      <c r="C8" s="1938"/>
      <c r="D8" s="1938"/>
      <c r="E8" s="1939"/>
      <c r="F8" s="1940"/>
      <c r="G8" s="1910"/>
      <c r="H8" s="1910"/>
      <c r="I8" s="1910"/>
      <c r="J8" s="1910"/>
      <c r="K8" s="1910"/>
      <c r="L8" s="1910"/>
      <c r="M8" s="838"/>
      <c r="N8" s="1933"/>
    </row>
    <row r="9" spans="1:14" x14ac:dyDescent="0.2">
      <c r="A9" s="1941"/>
      <c r="B9" s="840"/>
      <c r="C9" s="840"/>
      <c r="D9" s="841"/>
      <c r="E9" s="1942" t="s">
        <v>2041</v>
      </c>
      <c r="F9" s="1856"/>
      <c r="G9" s="1856"/>
      <c r="H9" s="1856"/>
      <c r="I9" s="1943" t="s">
        <v>2042</v>
      </c>
      <c r="J9" s="1856"/>
      <c r="K9" s="1856"/>
      <c r="L9" s="1857"/>
      <c r="M9" s="838"/>
      <c r="N9" s="1933"/>
    </row>
    <row r="10" spans="1:14" x14ac:dyDescent="0.2">
      <c r="A10" s="1944"/>
      <c r="B10" s="1945"/>
      <c r="C10" s="1946"/>
      <c r="D10" s="1947"/>
      <c r="E10" s="1948" t="s">
        <v>422</v>
      </c>
      <c r="F10" s="1949" t="s">
        <v>423</v>
      </c>
      <c r="G10" s="1950" t="s">
        <v>429</v>
      </c>
      <c r="H10" s="1951"/>
      <c r="I10" s="1949" t="s">
        <v>422</v>
      </c>
      <c r="J10" s="1949" t="s">
        <v>423</v>
      </c>
      <c r="K10" s="1950" t="s">
        <v>429</v>
      </c>
      <c r="L10" s="1949"/>
      <c r="M10" s="838"/>
      <c r="N10" s="1933"/>
    </row>
    <row r="11" spans="1:14" ht="51" x14ac:dyDescent="0.2">
      <c r="A11" s="2454" t="s">
        <v>478</v>
      </c>
      <c r="B11" s="2455"/>
      <c r="C11" s="2456"/>
      <c r="D11" s="1952" t="s">
        <v>866</v>
      </c>
      <c r="E11" s="1952" t="s">
        <v>64</v>
      </c>
      <c r="F11" s="1952" t="s">
        <v>6</v>
      </c>
      <c r="G11" s="1953" t="s">
        <v>2043</v>
      </c>
      <c r="H11" s="1954" t="s">
        <v>155</v>
      </c>
      <c r="I11" s="1952" t="s">
        <v>64</v>
      </c>
      <c r="J11" s="1952" t="s">
        <v>6</v>
      </c>
      <c r="K11" s="1953" t="s">
        <v>2000</v>
      </c>
      <c r="L11" s="1954" t="s">
        <v>155</v>
      </c>
      <c r="M11" s="838"/>
      <c r="N11" s="1933"/>
    </row>
    <row r="12" spans="1:14" x14ac:dyDescent="0.2">
      <c r="A12" s="1955">
        <v>1</v>
      </c>
      <c r="B12" s="1956" t="s">
        <v>813</v>
      </c>
      <c r="C12" s="842"/>
      <c r="D12" s="1957">
        <v>2320</v>
      </c>
      <c r="E12" s="1958">
        <f>+'Expenditures 15-22'!K50</f>
        <v>207541</v>
      </c>
      <c r="F12" s="1959"/>
      <c r="G12" s="1960">
        <f>G68</f>
        <v>0</v>
      </c>
      <c r="H12" s="1961">
        <f t="shared" ref="H12:H18" si="0">SUM(E12:G12)</f>
        <v>207541</v>
      </c>
      <c r="I12" s="1962">
        <v>250170</v>
      </c>
      <c r="J12" s="1959"/>
      <c r="K12" s="1962"/>
      <c r="L12" s="1961">
        <f t="shared" ref="L12:L18" si="1">SUM(I12:K12)</f>
        <v>250170</v>
      </c>
      <c r="M12" s="838"/>
      <c r="N12" s="1933"/>
    </row>
    <row r="13" spans="1:14" x14ac:dyDescent="0.2">
      <c r="A13" s="1955">
        <v>2</v>
      </c>
      <c r="B13" s="1956" t="s">
        <v>42</v>
      </c>
      <c r="C13" s="842"/>
      <c r="D13" s="1957">
        <v>2330</v>
      </c>
      <c r="E13" s="1958">
        <f>+'Expenditures 15-22'!K51</f>
        <v>0</v>
      </c>
      <c r="F13" s="1959"/>
      <c r="G13" s="1960">
        <f>H68</f>
        <v>0</v>
      </c>
      <c r="H13" s="1961">
        <f t="shared" si="0"/>
        <v>0</v>
      </c>
      <c r="I13" s="1962"/>
      <c r="J13" s="1959"/>
      <c r="K13" s="1962"/>
      <c r="L13" s="1961">
        <f t="shared" si="1"/>
        <v>0</v>
      </c>
      <c r="M13" s="838"/>
      <c r="N13" s="1933"/>
    </row>
    <row r="14" spans="1:14" x14ac:dyDescent="0.2">
      <c r="A14" s="1955">
        <v>3</v>
      </c>
      <c r="B14" s="1956" t="s">
        <v>43</v>
      </c>
      <c r="C14" s="842"/>
      <c r="D14" s="1963">
        <v>2490</v>
      </c>
      <c r="E14" s="1958">
        <f>+'Expenditures 15-22'!K56</f>
        <v>0</v>
      </c>
      <c r="F14" s="1959"/>
      <c r="G14" s="1960">
        <f>I68</f>
        <v>105349</v>
      </c>
      <c r="H14" s="1961">
        <f t="shared" si="0"/>
        <v>105349</v>
      </c>
      <c r="I14" s="1962"/>
      <c r="J14" s="1959"/>
      <c r="K14" s="1962"/>
      <c r="L14" s="1961">
        <f t="shared" si="1"/>
        <v>0</v>
      </c>
      <c r="M14" s="838"/>
      <c r="N14" s="1933"/>
    </row>
    <row r="15" spans="1:14" x14ac:dyDescent="0.2">
      <c r="A15" s="1955">
        <v>4</v>
      </c>
      <c r="B15" s="1956" t="s">
        <v>1061</v>
      </c>
      <c r="C15" s="842"/>
      <c r="D15" s="1957">
        <v>2510</v>
      </c>
      <c r="E15" s="1958">
        <f>+'Expenditures 15-22'!K59</f>
        <v>0</v>
      </c>
      <c r="F15" s="1958">
        <f>+'Expenditures 15-22'!K122</f>
        <v>0</v>
      </c>
      <c r="G15" s="1960">
        <f>J68</f>
        <v>17797</v>
      </c>
      <c r="H15" s="1961">
        <f t="shared" si="0"/>
        <v>17797</v>
      </c>
      <c r="I15" s="1962"/>
      <c r="J15" s="1962"/>
      <c r="K15" s="1962"/>
      <c r="L15" s="1961">
        <f t="shared" si="1"/>
        <v>0</v>
      </c>
      <c r="M15" s="838"/>
      <c r="N15" s="1933"/>
    </row>
    <row r="16" spans="1:14" x14ac:dyDescent="0.2">
      <c r="A16" s="1955">
        <v>5</v>
      </c>
      <c r="B16" s="1956" t="s">
        <v>101</v>
      </c>
      <c r="C16" s="842"/>
      <c r="D16" s="1957">
        <v>2570</v>
      </c>
      <c r="E16" s="1958">
        <f>+'Expenditures 15-22'!K64</f>
        <v>0</v>
      </c>
      <c r="F16" s="1959"/>
      <c r="G16" s="1960">
        <f>K68</f>
        <v>0</v>
      </c>
      <c r="H16" s="1961">
        <f t="shared" si="0"/>
        <v>0</v>
      </c>
      <c r="I16" s="1962"/>
      <c r="J16" s="1959"/>
      <c r="K16" s="1962"/>
      <c r="L16" s="1961">
        <f t="shared" si="1"/>
        <v>0</v>
      </c>
      <c r="M16" s="838"/>
      <c r="N16" s="1933"/>
    </row>
    <row r="17" spans="1:14" x14ac:dyDescent="0.2">
      <c r="A17" s="1955">
        <v>6</v>
      </c>
      <c r="B17" s="1956" t="s">
        <v>1053</v>
      </c>
      <c r="C17" s="842"/>
      <c r="D17" s="1957">
        <v>2610</v>
      </c>
      <c r="E17" s="1958">
        <f>+'Expenditures 15-22'!K67</f>
        <v>0</v>
      </c>
      <c r="F17" s="1959"/>
      <c r="G17" s="1960">
        <f>L68</f>
        <v>17402</v>
      </c>
      <c r="H17" s="1961">
        <f t="shared" si="0"/>
        <v>17402</v>
      </c>
      <c r="I17" s="1962"/>
      <c r="J17" s="1959"/>
      <c r="K17" s="1962"/>
      <c r="L17" s="1961">
        <f t="shared" si="1"/>
        <v>0</v>
      </c>
      <c r="M17" s="838"/>
      <c r="N17" s="1933"/>
    </row>
    <row r="18" spans="1:14" ht="28.5" customHeight="1" x14ac:dyDescent="0.2">
      <c r="A18" s="1964">
        <v>7</v>
      </c>
      <c r="B18" s="2457" t="s">
        <v>7</v>
      </c>
      <c r="C18" s="2458"/>
      <c r="D18" s="2459"/>
      <c r="E18" s="1965"/>
      <c r="F18" s="1965"/>
      <c r="G18" s="1962"/>
      <c r="H18" s="1966">
        <f t="shared" si="0"/>
        <v>0</v>
      </c>
      <c r="I18" s="1962"/>
      <c r="J18" s="1962"/>
      <c r="K18" s="1962"/>
      <c r="L18" s="1961">
        <f t="shared" si="1"/>
        <v>0</v>
      </c>
      <c r="M18" s="838"/>
      <c r="N18" s="1933"/>
    </row>
    <row r="19" spans="1:14" ht="13.5" thickBot="1" x14ac:dyDescent="0.25">
      <c r="A19" s="1955">
        <v>8</v>
      </c>
      <c r="B19" s="1967" t="s">
        <v>1153</v>
      </c>
      <c r="C19" s="838"/>
      <c r="D19" s="1968"/>
      <c r="E19" s="1969">
        <f t="shared" ref="E19:L19" si="2">SUM(E12:E17)-E18</f>
        <v>207541</v>
      </c>
      <c r="F19" s="1969">
        <f t="shared" si="2"/>
        <v>0</v>
      </c>
      <c r="G19" s="1969">
        <f>SUM(G12:G17)-G18</f>
        <v>140548</v>
      </c>
      <c r="H19" s="1969">
        <f t="shared" si="2"/>
        <v>348089</v>
      </c>
      <c r="I19" s="1969">
        <f t="shared" si="2"/>
        <v>250170</v>
      </c>
      <c r="J19" s="1969">
        <f t="shared" si="2"/>
        <v>0</v>
      </c>
      <c r="K19" s="1969">
        <f t="shared" si="2"/>
        <v>0</v>
      </c>
      <c r="L19" s="1969">
        <f t="shared" si="2"/>
        <v>250170</v>
      </c>
      <c r="M19" s="838"/>
      <c r="N19" s="1933"/>
    </row>
    <row r="20" spans="1:14" ht="13.5" thickTop="1" x14ac:dyDescent="0.2">
      <c r="A20" s="1955">
        <v>9</v>
      </c>
      <c r="B20" s="2446" t="s">
        <v>2044</v>
      </c>
      <c r="C20" s="2446"/>
      <c r="D20" s="2447"/>
      <c r="E20" s="1970"/>
      <c r="F20" s="1970"/>
      <c r="G20" s="1970"/>
      <c r="H20" s="1970"/>
      <c r="I20" s="1970"/>
      <c r="J20" s="1970"/>
      <c r="K20" s="1970"/>
      <c r="L20" s="1971">
        <f>IF(AND(H19&gt;0,L19&gt;0),(((L19-H19)/H19)),"Enter Budget Data")</f>
        <v>-0.28130449396562374</v>
      </c>
      <c r="M20" s="838"/>
      <c r="N20" s="1933"/>
    </row>
    <row r="21" spans="1:14" x14ac:dyDescent="0.2">
      <c r="A21" s="1972" t="s">
        <v>194</v>
      </c>
      <c r="B21" s="1973" t="s">
        <v>2045</v>
      </c>
      <c r="C21" s="838"/>
      <c r="D21" s="1974"/>
      <c r="E21" s="1975"/>
      <c r="F21" s="1976"/>
      <c r="G21" s="1976"/>
      <c r="H21" s="1976"/>
      <c r="I21" s="1976"/>
      <c r="J21" s="1976"/>
      <c r="K21" s="1976"/>
      <c r="L21" s="1977"/>
      <c r="M21" s="838"/>
      <c r="N21" s="1933"/>
    </row>
    <row r="22" spans="1:14" x14ac:dyDescent="0.2">
      <c r="A22" s="1930"/>
      <c r="B22" s="1978"/>
      <c r="C22" s="838"/>
      <c r="D22" s="838"/>
      <c r="E22" s="838"/>
      <c r="F22" s="838"/>
      <c r="G22" s="838"/>
      <c r="H22" s="838"/>
      <c r="I22" s="838"/>
      <c r="J22" s="838"/>
      <c r="K22" s="838"/>
      <c r="L22" s="838"/>
      <c r="M22" s="838"/>
      <c r="N22" s="1933"/>
    </row>
    <row r="23" spans="1:14" x14ac:dyDescent="0.2">
      <c r="A23" s="1979" t="s">
        <v>132</v>
      </c>
      <c r="B23" s="1978"/>
      <c r="C23" s="838"/>
      <c r="D23" s="838"/>
      <c r="E23" s="838"/>
      <c r="F23" s="838"/>
      <c r="G23" s="838"/>
      <c r="H23" s="838"/>
      <c r="I23" s="838"/>
      <c r="J23" s="838"/>
      <c r="K23" s="838"/>
      <c r="L23" s="838"/>
      <c r="M23" s="838"/>
      <c r="N23" s="1933"/>
    </row>
    <row r="24" spans="1:14" x14ac:dyDescent="0.2">
      <c r="A24" s="1980" t="s">
        <v>2046</v>
      </c>
      <c r="B24" s="1981"/>
      <c r="C24" s="1982"/>
      <c r="D24" s="1982"/>
      <c r="E24" s="1982"/>
      <c r="F24" s="1982"/>
      <c r="G24" s="1982"/>
      <c r="H24" s="1982"/>
      <c r="I24" s="1982"/>
      <c r="J24" s="1982"/>
      <c r="K24" s="1982"/>
      <c r="L24" s="838"/>
      <c r="M24" s="838"/>
      <c r="N24" s="1933"/>
    </row>
    <row r="25" spans="1:14" x14ac:dyDescent="0.2">
      <c r="A25" s="1980" t="s">
        <v>2047</v>
      </c>
      <c r="B25" s="1981"/>
      <c r="C25" s="1982"/>
      <c r="D25" s="1982"/>
      <c r="E25" s="1982"/>
      <c r="F25" s="1982"/>
      <c r="G25" s="1982"/>
      <c r="H25" s="1982"/>
      <c r="I25" s="1982"/>
      <c r="J25" s="1982"/>
      <c r="K25" s="1982"/>
      <c r="L25" s="838"/>
      <c r="M25" s="838"/>
      <c r="N25" s="1933"/>
    </row>
    <row r="26" spans="1:14" x14ac:dyDescent="0.2">
      <c r="A26" s="1983"/>
      <c r="B26" s="1978"/>
      <c r="C26" s="838"/>
      <c r="D26" s="838"/>
      <c r="E26" s="838"/>
      <c r="F26" s="838"/>
      <c r="G26" s="838"/>
      <c r="H26" s="838"/>
      <c r="I26" s="838"/>
      <c r="J26" s="838"/>
      <c r="K26" s="838"/>
      <c r="L26" s="838"/>
      <c r="M26" s="838"/>
      <c r="N26" s="1933"/>
    </row>
    <row r="27" spans="1:14" x14ac:dyDescent="0.2">
      <c r="A27" s="1930"/>
      <c r="B27" s="1978"/>
      <c r="C27" s="2466"/>
      <c r="D27" s="2466"/>
      <c r="E27" s="843"/>
      <c r="F27" s="2467"/>
      <c r="G27" s="2467"/>
      <c r="H27" s="2467"/>
      <c r="I27" s="838"/>
      <c r="J27" s="838"/>
      <c r="K27" s="838"/>
      <c r="L27" s="838"/>
      <c r="M27" s="838"/>
      <c r="N27" s="1933"/>
    </row>
    <row r="28" spans="1:14" x14ac:dyDescent="0.2">
      <c r="A28" s="1930"/>
      <c r="B28" s="1978"/>
      <c r="C28" s="1984" t="s">
        <v>1026</v>
      </c>
      <c r="D28" s="844"/>
      <c r="E28" s="1985"/>
      <c r="F28" s="2468" t="s">
        <v>1495</v>
      </c>
      <c r="G28" s="2468"/>
      <c r="H28" s="2468"/>
      <c r="I28" s="838"/>
      <c r="J28" s="838"/>
      <c r="K28" s="838"/>
      <c r="L28" s="838"/>
      <c r="M28" s="838"/>
      <c r="N28" s="1933"/>
    </row>
    <row r="29" spans="1:14" x14ac:dyDescent="0.2">
      <c r="A29" s="1930"/>
      <c r="B29" s="1978"/>
      <c r="C29" s="2469"/>
      <c r="D29" s="2469"/>
      <c r="E29" s="845"/>
      <c r="F29" s="2469"/>
      <c r="G29" s="2469"/>
      <c r="H29" s="2469"/>
      <c r="I29" s="838"/>
      <c r="J29" s="838"/>
      <c r="K29" s="838"/>
      <c r="L29" s="838"/>
      <c r="M29" s="838"/>
      <c r="N29" s="1933"/>
    </row>
    <row r="30" spans="1:14" x14ac:dyDescent="0.2">
      <c r="A30" s="1930"/>
      <c r="B30" s="1978"/>
      <c r="C30" s="1986" t="s">
        <v>1547</v>
      </c>
      <c r="D30" s="838"/>
      <c r="E30" s="1987"/>
      <c r="F30" s="2470" t="s">
        <v>1496</v>
      </c>
      <c r="G30" s="2470"/>
      <c r="H30" s="2470"/>
      <c r="I30" s="838"/>
      <c r="J30" s="838"/>
      <c r="K30" s="838"/>
      <c r="L30" s="838"/>
      <c r="M30" s="838"/>
      <c r="N30" s="1933"/>
    </row>
    <row r="31" spans="1:14" x14ac:dyDescent="0.2">
      <c r="A31" s="1930"/>
      <c r="B31" s="1978"/>
      <c r="C31" s="1988"/>
      <c r="D31" s="838"/>
      <c r="E31" s="1974"/>
      <c r="F31" s="1975"/>
      <c r="G31" s="1975"/>
      <c r="H31" s="1975"/>
      <c r="I31" s="838"/>
      <c r="J31" s="838"/>
      <c r="K31" s="838"/>
      <c r="L31" s="838"/>
      <c r="M31" s="838"/>
      <c r="N31" s="1933"/>
    </row>
    <row r="32" spans="1:14" x14ac:dyDescent="0.2">
      <c r="A32" s="1930"/>
      <c r="B32" s="1989" t="s">
        <v>1027</v>
      </c>
      <c r="C32" s="838"/>
      <c r="D32" s="838"/>
      <c r="E32" s="838"/>
      <c r="F32" s="838"/>
      <c r="G32" s="838"/>
      <c r="H32" s="838"/>
      <c r="I32" s="838"/>
      <c r="J32" s="838"/>
      <c r="K32" s="838"/>
      <c r="L32" s="838"/>
      <c r="M32" s="838"/>
      <c r="N32" s="1933"/>
    </row>
    <row r="33" spans="1:14" x14ac:dyDescent="0.2">
      <c r="A33" s="1930"/>
      <c r="B33" s="1990"/>
      <c r="C33" s="838"/>
      <c r="D33" s="838"/>
      <c r="E33" s="838"/>
      <c r="F33" s="838"/>
      <c r="G33" s="838"/>
      <c r="H33" s="838"/>
      <c r="I33" s="838"/>
      <c r="J33" s="838"/>
      <c r="K33" s="838"/>
      <c r="L33" s="838"/>
      <c r="M33" s="838"/>
      <c r="N33" s="1933"/>
    </row>
    <row r="34" spans="1:14" x14ac:dyDescent="0.2">
      <c r="A34" s="1930"/>
      <c r="B34" s="846"/>
      <c r="C34" s="2436" t="s">
        <v>2048</v>
      </c>
      <c r="D34" s="2437"/>
      <c r="E34" s="2437"/>
      <c r="F34" s="2437"/>
      <c r="G34" s="2437"/>
      <c r="H34" s="2437"/>
      <c r="I34" s="2437"/>
      <c r="J34" s="2437"/>
      <c r="K34" s="1991"/>
      <c r="L34" s="838"/>
      <c r="M34" s="838"/>
      <c r="N34" s="1933"/>
    </row>
    <row r="35" spans="1:14" x14ac:dyDescent="0.2">
      <c r="A35" s="1930"/>
      <c r="B35" s="838"/>
      <c r="C35" s="2437"/>
      <c r="D35" s="2437"/>
      <c r="E35" s="2437"/>
      <c r="F35" s="2437"/>
      <c r="G35" s="2437"/>
      <c r="H35" s="2437"/>
      <c r="I35" s="2437"/>
      <c r="J35" s="2437"/>
      <c r="K35" s="1991"/>
      <c r="L35" s="838"/>
      <c r="M35" s="838"/>
      <c r="N35" s="1933"/>
    </row>
    <row r="36" spans="1:14" x14ac:dyDescent="0.2">
      <c r="A36" s="1930"/>
      <c r="B36" s="838"/>
      <c r="C36" s="1992"/>
      <c r="D36" s="838"/>
      <c r="E36" s="838"/>
      <c r="F36" s="838"/>
      <c r="G36" s="838"/>
      <c r="H36" s="838"/>
      <c r="I36" s="838"/>
      <c r="J36" s="838"/>
      <c r="K36" s="838"/>
      <c r="L36" s="838"/>
      <c r="M36" s="838"/>
      <c r="N36" s="1933"/>
    </row>
    <row r="37" spans="1:14" x14ac:dyDescent="0.2">
      <c r="A37" s="1930"/>
      <c r="B37" s="846"/>
      <c r="C37" s="2436" t="s">
        <v>2049</v>
      </c>
      <c r="D37" s="2437"/>
      <c r="E37" s="2437"/>
      <c r="F37" s="2437"/>
      <c r="G37" s="2437"/>
      <c r="H37" s="2437"/>
      <c r="I37" s="2437"/>
      <c r="J37" s="2437"/>
      <c r="K37" s="1991"/>
      <c r="L37" s="1993"/>
      <c r="M37" s="838"/>
      <c r="N37" s="1933"/>
    </row>
    <row r="38" spans="1:14" x14ac:dyDescent="0.2">
      <c r="A38" s="1930"/>
      <c r="B38" s="838"/>
      <c r="C38" s="2437"/>
      <c r="D38" s="2437"/>
      <c r="E38" s="2437"/>
      <c r="F38" s="2437"/>
      <c r="G38" s="2437"/>
      <c r="H38" s="2437"/>
      <c r="I38" s="2437"/>
      <c r="J38" s="2437"/>
      <c r="K38" s="1991"/>
      <c r="L38" s="1993"/>
      <c r="M38" s="838"/>
      <c r="N38" s="1933"/>
    </row>
    <row r="39" spans="1:14" x14ac:dyDescent="0.2">
      <c r="A39" s="1930"/>
      <c r="B39" s="838"/>
      <c r="C39" s="1992"/>
      <c r="D39" s="838"/>
      <c r="E39" s="1994"/>
      <c r="F39" s="1995"/>
      <c r="G39" s="1995"/>
      <c r="H39" s="1994"/>
      <c r="I39" s="838"/>
      <c r="J39" s="838"/>
      <c r="K39" s="838"/>
      <c r="L39" s="838"/>
      <c r="M39" s="838"/>
      <c r="N39" s="1933"/>
    </row>
    <row r="40" spans="1:14" x14ac:dyDescent="0.2">
      <c r="A40" s="1930"/>
      <c r="B40" s="846"/>
      <c r="C40" s="2438" t="s">
        <v>2050</v>
      </c>
      <c r="D40" s="2439"/>
      <c r="E40" s="2439"/>
      <c r="F40" s="2439"/>
      <c r="G40" s="2439"/>
      <c r="H40" s="2439"/>
      <c r="I40" s="2439"/>
      <c r="J40" s="2439"/>
      <c r="K40" s="1996"/>
      <c r="L40" s="838"/>
      <c r="M40" s="838"/>
      <c r="N40" s="1933"/>
    </row>
    <row r="41" spans="1:14" x14ac:dyDescent="0.2">
      <c r="A41" s="1930"/>
      <c r="B41" s="838"/>
      <c r="C41" s="1997"/>
      <c r="D41" s="1997"/>
      <c r="E41" s="1997"/>
      <c r="F41" s="1997"/>
      <c r="G41" s="1997"/>
      <c r="H41" s="1997"/>
      <c r="I41" s="1997"/>
      <c r="J41" s="1997"/>
      <c r="K41" s="1997"/>
      <c r="L41" s="838"/>
      <c r="M41" s="838"/>
      <c r="N41" s="1933"/>
    </row>
    <row r="42" spans="1:14" ht="13.5" thickBot="1" x14ac:dyDescent="0.25">
      <c r="A42" s="1998"/>
      <c r="B42" s="1999"/>
      <c r="C42" s="1999"/>
      <c r="D42" s="1999"/>
      <c r="E42" s="1999"/>
      <c r="F42" s="1999"/>
      <c r="G42" s="1999"/>
      <c r="H42" s="1999"/>
      <c r="I42" s="1999"/>
      <c r="J42" s="1999"/>
      <c r="K42" s="1999"/>
      <c r="L42" s="1999"/>
      <c r="M42" s="1999"/>
      <c r="N42" s="2000"/>
    </row>
    <row r="43" spans="1:14" ht="27" thickBot="1" x14ac:dyDescent="0.45">
      <c r="A43" s="2440" t="s">
        <v>2051</v>
      </c>
      <c r="B43" s="2441"/>
      <c r="C43" s="2441"/>
      <c r="D43" s="2441"/>
      <c r="E43" s="2441"/>
      <c r="F43" s="2441"/>
      <c r="G43" s="2441"/>
      <c r="H43" s="2441"/>
      <c r="I43" s="2441"/>
      <c r="J43" s="2441"/>
      <c r="K43" s="2441"/>
      <c r="L43" s="2441"/>
      <c r="M43" s="2441"/>
      <c r="N43" s="2442"/>
    </row>
    <row r="44" spans="1:14" x14ac:dyDescent="0.2">
      <c r="A44" s="2001"/>
      <c r="B44" s="2002"/>
      <c r="C44" s="2002"/>
      <c r="D44" s="2002"/>
      <c r="E44" s="2002"/>
      <c r="F44" s="2002"/>
      <c r="G44" s="2002"/>
      <c r="H44" s="2002"/>
      <c r="I44" s="2002"/>
      <c r="J44" s="2002"/>
      <c r="K44" s="2002"/>
      <c r="L44" s="2002"/>
      <c r="M44" s="2002"/>
      <c r="N44" s="2003"/>
    </row>
    <row r="45" spans="1:14" x14ac:dyDescent="0.2">
      <c r="A45" s="2001" t="s">
        <v>2052</v>
      </c>
      <c r="B45" s="2002"/>
      <c r="C45" s="2002"/>
      <c r="D45" s="2002"/>
      <c r="E45" s="2002"/>
      <c r="F45" s="2002"/>
      <c r="G45" s="2002"/>
      <c r="H45" s="2002"/>
      <c r="I45" s="2002"/>
      <c r="J45" s="2002"/>
      <c r="K45" s="2002"/>
      <c r="L45" s="2002"/>
      <c r="M45" s="2002"/>
      <c r="N45" s="2003"/>
    </row>
    <row r="46" spans="1:14" x14ac:dyDescent="0.2">
      <c r="A46" s="2443" t="s">
        <v>2053</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2004"/>
      <c r="B48" s="2002"/>
      <c r="C48" s="2002"/>
      <c r="D48" s="2005"/>
      <c r="E48" s="2005"/>
      <c r="F48" s="2005"/>
      <c r="G48" s="2005"/>
      <c r="H48" s="2005"/>
      <c r="I48" s="2005"/>
      <c r="J48" s="2005"/>
      <c r="K48" s="2005"/>
      <c r="L48" s="2005"/>
      <c r="M48" s="2005"/>
      <c r="N48" s="2006"/>
    </row>
    <row r="49" spans="1:14" ht="15.75" x14ac:dyDescent="0.25">
      <c r="A49" s="2007" t="s">
        <v>2054</v>
      </c>
      <c r="B49" s="2008"/>
      <c r="C49" s="2008"/>
      <c r="D49" s="2009"/>
      <c r="E49" s="2009"/>
      <c r="F49" s="2009"/>
      <c r="G49" s="2009"/>
      <c r="H49" s="2009"/>
      <c r="I49" s="2009"/>
      <c r="J49" s="2009"/>
      <c r="K49" s="2009"/>
      <c r="L49" s="2009"/>
      <c r="M49" s="2009"/>
      <c r="N49" s="2010"/>
    </row>
    <row r="50" spans="1:14" ht="15" x14ac:dyDescent="0.25">
      <c r="A50" s="2007" t="s">
        <v>2055</v>
      </c>
      <c r="B50" s="2002"/>
      <c r="C50" s="2002"/>
      <c r="D50" s="2002"/>
      <c r="E50" s="2002"/>
      <c r="F50" s="2002"/>
      <c r="G50" s="2002"/>
      <c r="H50" s="2002"/>
      <c r="I50" s="2002"/>
      <c r="J50" s="2002"/>
      <c r="K50" s="2002"/>
      <c r="L50" s="2002"/>
      <c r="M50" s="2002"/>
      <c r="N50" s="2003"/>
    </row>
    <row r="51" spans="1:14" x14ac:dyDescent="0.2">
      <c r="A51" s="2001"/>
      <c r="B51" s="2002"/>
      <c r="C51" s="2002"/>
      <c r="D51" s="2002"/>
      <c r="E51" s="2002"/>
      <c r="F51" s="2002"/>
      <c r="G51" s="2002"/>
      <c r="H51" s="2002"/>
      <c r="I51" s="2002"/>
      <c r="J51" s="2002"/>
      <c r="K51" s="2002"/>
      <c r="L51" s="2002"/>
      <c r="M51" s="2002"/>
      <c r="N51" s="2003"/>
    </row>
    <row r="52" spans="1:14" x14ac:dyDescent="0.2">
      <c r="A52" s="2001"/>
      <c r="B52" s="2002"/>
      <c r="C52" s="2002"/>
      <c r="D52" s="2002"/>
      <c r="E52" s="2002"/>
      <c r="F52" s="2002"/>
      <c r="G52" s="2002"/>
      <c r="H52" s="2002"/>
      <c r="I52" s="2002"/>
      <c r="J52" s="2002"/>
      <c r="K52" s="1936" t="s">
        <v>1021</v>
      </c>
      <c r="L52" s="2464" t="str">
        <f>J6</f>
        <v xml:space="preserve">   El Paso-Gridley CUSD 11</v>
      </c>
      <c r="M52" s="2464"/>
      <c r="N52" s="2465"/>
    </row>
    <row r="53" spans="1:14" x14ac:dyDescent="0.2">
      <c r="A53" s="2001"/>
      <c r="B53" s="2002"/>
      <c r="C53" s="2002"/>
      <c r="D53" s="2002"/>
      <c r="E53" s="2002"/>
      <c r="F53" s="2002"/>
      <c r="G53" s="2002"/>
      <c r="H53" s="2002"/>
      <c r="I53" s="2002"/>
      <c r="J53" s="2002"/>
      <c r="K53" s="1936" t="s">
        <v>369</v>
      </c>
      <c r="L53" s="2471">
        <f>J7</f>
        <v>53102011026</v>
      </c>
      <c r="M53" s="2471"/>
      <c r="N53" s="2472"/>
    </row>
    <row r="54" spans="1:14" ht="13.5" thickBot="1" x14ac:dyDescent="0.25">
      <c r="A54" s="2001"/>
      <c r="B54" s="2002"/>
      <c r="C54" s="2002"/>
      <c r="D54" s="2002"/>
      <c r="E54" s="2002"/>
      <c r="F54" s="2002"/>
      <c r="G54" s="2002"/>
      <c r="H54" s="2002"/>
      <c r="I54" s="2002"/>
      <c r="J54" s="2002"/>
      <c r="K54" s="2002"/>
      <c r="L54" s="2002"/>
      <c r="M54" s="2002"/>
      <c r="N54" s="2003"/>
    </row>
    <row r="55" spans="1:14" x14ac:dyDescent="0.2">
      <c r="A55" s="2473"/>
      <c r="B55" s="2474"/>
      <c r="C55" s="2474"/>
      <c r="D55" s="2011"/>
      <c r="E55" s="2011"/>
      <c r="F55" s="2011"/>
      <c r="G55" s="2475" t="s">
        <v>2056</v>
      </c>
      <c r="H55" s="2475"/>
      <c r="I55" s="2475"/>
      <c r="J55" s="2475"/>
      <c r="K55" s="2475"/>
      <c r="L55" s="2475"/>
      <c r="M55" s="2475"/>
      <c r="N55" s="2476"/>
    </row>
    <row r="56" spans="1:14" ht="63.75" x14ac:dyDescent="0.2">
      <c r="A56" s="2477" t="s">
        <v>2057</v>
      </c>
      <c r="B56" s="2478"/>
      <c r="C56" s="2479"/>
      <c r="D56" s="2012" t="s">
        <v>2058</v>
      </c>
      <c r="E56" s="2012" t="s">
        <v>2059</v>
      </c>
      <c r="F56" s="2013"/>
      <c r="G56" s="2012" t="s">
        <v>2060</v>
      </c>
      <c r="H56" s="2012" t="s">
        <v>2061</v>
      </c>
      <c r="I56" s="2012" t="s">
        <v>2062</v>
      </c>
      <c r="J56" s="2012" t="s">
        <v>2063</v>
      </c>
      <c r="K56" s="2012" t="s">
        <v>2064</v>
      </c>
      <c r="L56" s="2012" t="s">
        <v>2065</v>
      </c>
      <c r="M56" s="2012" t="s">
        <v>2066</v>
      </c>
      <c r="N56" s="2014" t="s">
        <v>2067</v>
      </c>
    </row>
    <row r="57" spans="1:14" ht="24" customHeight="1" x14ac:dyDescent="0.2">
      <c r="A57" s="2480" t="s">
        <v>296</v>
      </c>
      <c r="B57" s="2481"/>
      <c r="C57" s="2481"/>
      <c r="D57" s="2015">
        <v>2361</v>
      </c>
      <c r="E57" s="2016">
        <f>+'Expenditures 15-22'!K319</f>
        <v>0</v>
      </c>
      <c r="F57" s="2017"/>
      <c r="G57" s="2018"/>
      <c r="H57" s="2019"/>
      <c r="I57" s="2019"/>
      <c r="J57" s="2019"/>
      <c r="K57" s="2019"/>
      <c r="L57" s="2019"/>
      <c r="M57" s="2019">
        <v>0</v>
      </c>
      <c r="N57" s="2020">
        <f>IF((SUM(G57:M57))=E57,SUM(G57:M57),"Column N does not agree with Column E")</f>
        <v>0</v>
      </c>
    </row>
    <row r="58" spans="1:14" ht="24.75" customHeight="1" x14ac:dyDescent="0.2">
      <c r="A58" s="2462" t="s">
        <v>2068</v>
      </c>
      <c r="B58" s="2463"/>
      <c r="C58" s="2463"/>
      <c r="D58" s="2021">
        <v>2362</v>
      </c>
      <c r="E58" s="2016">
        <f>+'Expenditures 15-22'!K320</f>
        <v>15612</v>
      </c>
      <c r="F58" s="2017"/>
      <c r="G58" s="2022"/>
      <c r="H58" s="2023"/>
      <c r="I58" s="2023"/>
      <c r="J58" s="2023"/>
      <c r="K58" s="2023"/>
      <c r="L58" s="2023"/>
      <c r="M58" s="2023">
        <v>15612</v>
      </c>
      <c r="N58" s="2020">
        <f>IF((SUM(G58:M58))=E58,SUM(G58:M58),"Column N does not agree with Column E")</f>
        <v>15612</v>
      </c>
    </row>
    <row r="59" spans="1:14" ht="24.75" customHeight="1" x14ac:dyDescent="0.2">
      <c r="A59" s="2460" t="s">
        <v>297</v>
      </c>
      <c r="B59" s="2461"/>
      <c r="C59" s="2461"/>
      <c r="D59" s="2021">
        <v>2363</v>
      </c>
      <c r="E59" s="2016">
        <f>+'Expenditures 15-22'!K321</f>
        <v>0</v>
      </c>
      <c r="F59" s="2017"/>
      <c r="G59" s="2022"/>
      <c r="H59" s="2023"/>
      <c r="I59" s="2023"/>
      <c r="J59" s="2023"/>
      <c r="K59" s="2023"/>
      <c r="L59" s="2023"/>
      <c r="M59" s="2023">
        <v>0</v>
      </c>
      <c r="N59" s="2020">
        <f t="shared" ref="N59:N67" si="3">IF((SUM(G59:M59))=E59,SUM(G59:M59),"Column N does not agree with Column E")</f>
        <v>0</v>
      </c>
    </row>
    <row r="60" spans="1:14" ht="24.75" customHeight="1" x14ac:dyDescent="0.2">
      <c r="A60" s="2460" t="s">
        <v>236</v>
      </c>
      <c r="B60" s="2461"/>
      <c r="C60" s="2461"/>
      <c r="D60" s="2021">
        <v>2364</v>
      </c>
      <c r="E60" s="2016">
        <f>+'Expenditures 15-22'!K322</f>
        <v>32770</v>
      </c>
      <c r="F60" s="2017"/>
      <c r="G60" s="2022"/>
      <c r="H60" s="2023"/>
      <c r="I60" s="2023"/>
      <c r="J60" s="2023"/>
      <c r="K60" s="2023"/>
      <c r="L60" s="2023"/>
      <c r="M60" s="2023">
        <v>32770</v>
      </c>
      <c r="N60" s="2020">
        <f t="shared" si="3"/>
        <v>32770</v>
      </c>
    </row>
    <row r="61" spans="1:14" ht="24.75" customHeight="1" x14ac:dyDescent="0.2">
      <c r="A61" s="2460" t="s">
        <v>697</v>
      </c>
      <c r="B61" s="2461"/>
      <c r="C61" s="2461"/>
      <c r="D61" s="2021">
        <v>2365</v>
      </c>
      <c r="E61" s="2016">
        <f>+'Expenditures 15-22'!K323</f>
        <v>0</v>
      </c>
      <c r="F61" s="2017"/>
      <c r="G61" s="2022"/>
      <c r="H61" s="2023"/>
      <c r="I61" s="2023"/>
      <c r="J61" s="2023"/>
      <c r="K61" s="2023"/>
      <c r="L61" s="2023"/>
      <c r="M61" s="2023">
        <v>0</v>
      </c>
      <c r="N61" s="2020">
        <f t="shared" si="3"/>
        <v>0</v>
      </c>
    </row>
    <row r="62" spans="1:14" ht="24.75" customHeight="1" x14ac:dyDescent="0.2">
      <c r="A62" s="2460" t="s">
        <v>237</v>
      </c>
      <c r="B62" s="2461"/>
      <c r="C62" s="2461"/>
      <c r="D62" s="2021">
        <v>2366</v>
      </c>
      <c r="E62" s="2016">
        <f>+'Expenditures 15-22'!K324</f>
        <v>0</v>
      </c>
      <c r="F62" s="2017"/>
      <c r="G62" s="2022"/>
      <c r="H62" s="2023"/>
      <c r="I62" s="2023"/>
      <c r="J62" s="2023"/>
      <c r="K62" s="2023"/>
      <c r="L62" s="2023"/>
      <c r="M62" s="2023">
        <v>0</v>
      </c>
      <c r="N62" s="2020">
        <f t="shared" si="3"/>
        <v>0</v>
      </c>
    </row>
    <row r="63" spans="1:14" ht="24.75" customHeight="1" x14ac:dyDescent="0.2">
      <c r="A63" s="2462" t="s">
        <v>1022</v>
      </c>
      <c r="B63" s="2463"/>
      <c r="C63" s="2463"/>
      <c r="D63" s="2021">
        <v>2367</v>
      </c>
      <c r="E63" s="2016">
        <f>+'Expenditures 15-22'!K325</f>
        <v>670444</v>
      </c>
      <c r="F63" s="2017"/>
      <c r="G63" s="2022"/>
      <c r="H63" s="2023"/>
      <c r="I63" s="2023">
        <v>105349</v>
      </c>
      <c r="J63" s="2023">
        <v>17797</v>
      </c>
      <c r="K63" s="2023"/>
      <c r="L63" s="2023">
        <v>17402</v>
      </c>
      <c r="M63" s="2023">
        <v>529896</v>
      </c>
      <c r="N63" s="2020">
        <f t="shared" si="3"/>
        <v>670444</v>
      </c>
    </row>
    <row r="64" spans="1:14" ht="24.75" customHeight="1" x14ac:dyDescent="0.2">
      <c r="A64" s="2460" t="s">
        <v>1023</v>
      </c>
      <c r="B64" s="2461"/>
      <c r="C64" s="2461"/>
      <c r="D64" s="2021">
        <v>2368</v>
      </c>
      <c r="E64" s="2016">
        <f>+'Expenditures 15-22'!K326</f>
        <v>0</v>
      </c>
      <c r="F64" s="2017"/>
      <c r="G64" s="2022"/>
      <c r="H64" s="2023"/>
      <c r="I64" s="2023"/>
      <c r="J64" s="2023"/>
      <c r="K64" s="2023"/>
      <c r="L64" s="2023"/>
      <c r="M64" s="2023">
        <v>0</v>
      </c>
      <c r="N64" s="2020">
        <f t="shared" si="3"/>
        <v>0</v>
      </c>
    </row>
    <row r="65" spans="1:14" ht="24" customHeight="1" x14ac:dyDescent="0.2">
      <c r="A65" s="2460" t="s">
        <v>965</v>
      </c>
      <c r="B65" s="2461"/>
      <c r="C65" s="2461"/>
      <c r="D65" s="2021">
        <v>2369</v>
      </c>
      <c r="E65" s="2016">
        <f>+'Expenditures 15-22'!K327</f>
        <v>1000</v>
      </c>
      <c r="F65" s="2017"/>
      <c r="G65" s="2022"/>
      <c r="H65" s="2023"/>
      <c r="I65" s="2023"/>
      <c r="J65" s="2023"/>
      <c r="K65" s="2023"/>
      <c r="L65" s="2023"/>
      <c r="M65" s="2023">
        <v>1000</v>
      </c>
      <c r="N65" s="2020">
        <f t="shared" si="3"/>
        <v>1000</v>
      </c>
    </row>
    <row r="66" spans="1:14" ht="24.75" customHeight="1" x14ac:dyDescent="0.2">
      <c r="A66" s="2460" t="s">
        <v>469</v>
      </c>
      <c r="B66" s="2461"/>
      <c r="C66" s="2461"/>
      <c r="D66" s="2021">
        <v>2371</v>
      </c>
      <c r="E66" s="2016">
        <f>+'Expenditures 15-22'!K328</f>
        <v>94741</v>
      </c>
      <c r="F66" s="2017"/>
      <c r="G66" s="2022"/>
      <c r="H66" s="2023"/>
      <c r="I66" s="2023"/>
      <c r="J66" s="2023"/>
      <c r="K66" s="2023"/>
      <c r="L66" s="2023"/>
      <c r="M66" s="2023">
        <v>94741</v>
      </c>
      <c r="N66" s="2020">
        <f t="shared" si="3"/>
        <v>94741</v>
      </c>
    </row>
    <row r="67" spans="1:14" ht="24.75" customHeight="1" x14ac:dyDescent="0.2">
      <c r="A67" s="2486" t="s">
        <v>2069</v>
      </c>
      <c r="B67" s="2487"/>
      <c r="C67" s="2487"/>
      <c r="D67" s="2024">
        <v>2372</v>
      </c>
      <c r="E67" s="2016">
        <f>+'Expenditures 15-22'!K329</f>
        <v>0</v>
      </c>
      <c r="F67" s="2017"/>
      <c r="G67" s="2025"/>
      <c r="H67" s="2026"/>
      <c r="I67" s="2026"/>
      <c r="J67" s="2026"/>
      <c r="K67" s="2026"/>
      <c r="L67" s="2026"/>
      <c r="M67" s="2026"/>
      <c r="N67" s="2020">
        <f t="shared" si="3"/>
        <v>0</v>
      </c>
    </row>
    <row r="68" spans="1:14" x14ac:dyDescent="0.2">
      <c r="A68" s="2488" t="s">
        <v>1153</v>
      </c>
      <c r="B68" s="2489"/>
      <c r="C68" s="2489"/>
      <c r="D68" s="2011"/>
      <c r="E68" s="2027">
        <f>SUM(E57:E67)</f>
        <v>814567</v>
      </c>
      <c r="F68" s="2028"/>
      <c r="G68" s="2027">
        <f t="shared" ref="G68:N68" si="4">SUM(G57:G67)</f>
        <v>0</v>
      </c>
      <c r="H68" s="2027">
        <f t="shared" si="4"/>
        <v>0</v>
      </c>
      <c r="I68" s="2027">
        <f t="shared" si="4"/>
        <v>105349</v>
      </c>
      <c r="J68" s="2027">
        <f t="shared" si="4"/>
        <v>17797</v>
      </c>
      <c r="K68" s="2027">
        <f t="shared" si="4"/>
        <v>0</v>
      </c>
      <c r="L68" s="2027">
        <f t="shared" si="4"/>
        <v>17402</v>
      </c>
      <c r="M68" s="2027">
        <f t="shared" si="4"/>
        <v>674019</v>
      </c>
      <c r="N68" s="2029">
        <f t="shared" si="4"/>
        <v>814567</v>
      </c>
    </row>
    <row r="69" spans="1:14" x14ac:dyDescent="0.2">
      <c r="A69" s="2030"/>
      <c r="B69" s="2031"/>
      <c r="C69" s="2031"/>
      <c r="D69" s="2031"/>
      <c r="E69" s="2031"/>
      <c r="F69" s="2031"/>
      <c r="G69" s="2031"/>
      <c r="H69" s="2032" t="s">
        <v>2070</v>
      </c>
      <c r="I69" s="2031"/>
      <c r="J69" s="2031"/>
      <c r="K69" s="2031"/>
      <c r="L69" s="2032" t="s">
        <v>2071</v>
      </c>
      <c r="M69" s="2031"/>
      <c r="N69" s="2033"/>
    </row>
    <row r="70" spans="1:14" ht="46.5" customHeight="1" x14ac:dyDescent="0.25">
      <c r="A70" s="2034" t="s">
        <v>2072</v>
      </c>
      <c r="B70" s="2031"/>
      <c r="C70" s="2031"/>
      <c r="D70" s="2031"/>
      <c r="E70" s="2031"/>
      <c r="F70" s="2031"/>
      <c r="G70" s="2031"/>
      <c r="H70" s="2482" t="s">
        <v>2073</v>
      </c>
      <c r="I70" s="2482"/>
      <c r="J70" s="2482"/>
      <c r="K70" s="2031"/>
      <c r="L70" s="2482" t="s">
        <v>2074</v>
      </c>
      <c r="M70" s="2482"/>
      <c r="N70" s="2490"/>
    </row>
    <row r="71" spans="1:14" ht="42.75" customHeight="1" x14ac:dyDescent="0.2">
      <c r="A71" s="2030"/>
      <c r="B71" s="2031"/>
      <c r="C71" s="2031"/>
      <c r="D71" s="2031"/>
      <c r="E71" s="2031"/>
      <c r="F71" s="2031"/>
      <c r="G71" s="2031"/>
      <c r="H71" s="2482" t="s">
        <v>2075</v>
      </c>
      <c r="I71" s="2482"/>
      <c r="J71" s="2482"/>
      <c r="K71" s="2031"/>
      <c r="L71" s="2483" t="s">
        <v>2076</v>
      </c>
      <c r="M71" s="2483"/>
      <c r="N71" s="2484"/>
    </row>
    <row r="72" spans="1:14" ht="52.5" customHeight="1" thickBot="1" x14ac:dyDescent="0.25">
      <c r="A72" s="2035"/>
      <c r="B72" s="2036"/>
      <c r="C72" s="2036"/>
      <c r="D72" s="2036"/>
      <c r="E72" s="2036"/>
      <c r="F72" s="2036"/>
      <c r="G72" s="2036"/>
      <c r="H72" s="2485" t="s">
        <v>2077</v>
      </c>
      <c r="I72" s="2485"/>
      <c r="J72" s="2485"/>
      <c r="K72" s="2036"/>
      <c r="L72" s="2036"/>
      <c r="M72" s="2036"/>
      <c r="N72" s="2037"/>
    </row>
  </sheetData>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9">
    <dataValidation allowBlank="1" showInputMessage="1" showErrorMessage="1" prompt="Link cell K319 from &quot;Expenditures 15-22&quot; tab" sqref="E57:E67"/>
    <dataValidation allowBlank="1" showInputMessage="1" showErrorMessage="1" prompt="Link cell K122 from &quot;Expenditures 15-22&quot; tab" sqref="F15"/>
    <dataValidation allowBlank="1" showInputMessage="1" showErrorMessage="1" prompt="Link cell K67 from &quot;Expenditures 15-22&quot; tab" sqref="E17"/>
    <dataValidation allowBlank="1" showInputMessage="1" showErrorMessage="1" prompt="Link cell K64 from &quot;Expenditures 15-22&quot; tab" sqref="E16"/>
    <dataValidation allowBlank="1" showInputMessage="1" showErrorMessage="1" prompt="Link cell K59 from &quot;Expenditures 15-22&quot; tab" sqref="E15"/>
    <dataValidation allowBlank="1" showInputMessage="1" showErrorMessage="1" prompt="Link cell K56 from &quot;Expenditures 15-22&quot; tab" sqref="E14"/>
    <dataValidation allowBlank="1" showInputMessage="1" showErrorMessage="1" prompt="Link cell K50 from &quot;Expenditures 15-22&quot; tab " sqref="E12:E13"/>
    <dataValidation allowBlank="1" showInputMessage="1" showErrorMessage="1" prompt="Link cell A13 from &quot;Cover&quot; tab" sqref="J7:L7"/>
    <dataValidation allowBlank="1" showInputMessage="1" showErrorMessage="1" prompt="Link cell A17 from &quot;Cover&quot; tab" sqref="J6:L6"/>
  </dataValidations>
  <pageMargins left="0.7" right="0.7" top="0.75" bottom="0.75" header="0.3" footer="0.3"/>
  <pageSetup scale="54" orientation="portrait" r:id="rId1"/>
  <headerFooter>
    <oddHeader xml:space="preserve">&amp;LPage 32
&amp;RPage 32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El Paso-Gridley CUSD 11</v>
      </c>
    </row>
    <row r="65" spans="2:2" x14ac:dyDescent="0.2">
      <c r="B65" s="849">
        <f>COVER!A13</f>
        <v>53102011026</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1829</v>
      </c>
      <c r="C4" s="157" t="s">
        <v>1161</v>
      </c>
      <c r="D4" s="164" t="s">
        <v>10</v>
      </c>
      <c r="E4" s="165" t="s">
        <v>22</v>
      </c>
    </row>
    <row r="5" spans="1:5" x14ac:dyDescent="0.2">
      <c r="A5" s="163" t="s">
        <v>1831</v>
      </c>
      <c r="C5" s="157" t="s">
        <v>1161</v>
      </c>
      <c r="D5" s="164" t="s">
        <v>10</v>
      </c>
      <c r="E5" s="165" t="s">
        <v>22</v>
      </c>
    </row>
    <row r="6" spans="1:5" x14ac:dyDescent="0.2">
      <c r="A6" s="163" t="s">
        <v>1830</v>
      </c>
      <c r="C6" s="157" t="s">
        <v>1161</v>
      </c>
      <c r="D6" s="162" t="s">
        <v>11</v>
      </c>
      <c r="E6" s="165" t="s">
        <v>935</v>
      </c>
    </row>
    <row r="7" spans="1:5" x14ac:dyDescent="0.2">
      <c r="A7" s="163" t="s">
        <v>1832</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1833</v>
      </c>
      <c r="C11" s="157" t="s">
        <v>1161</v>
      </c>
      <c r="D11" s="164" t="s">
        <v>14</v>
      </c>
      <c r="E11" s="165" t="s">
        <v>1148</v>
      </c>
    </row>
    <row r="12" spans="1:5" x14ac:dyDescent="0.2">
      <c r="B12" s="164" t="s">
        <v>1834</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1835</v>
      </c>
      <c r="C15" s="157" t="s">
        <v>1161</v>
      </c>
      <c r="D15" s="164" t="s">
        <v>17</v>
      </c>
      <c r="E15" s="165" t="s">
        <v>631</v>
      </c>
    </row>
    <row r="16" spans="1:5" x14ac:dyDescent="0.2">
      <c r="A16" s="167"/>
      <c r="B16" s="157" t="s">
        <v>1836</v>
      </c>
      <c r="C16" s="157" t="s">
        <v>1161</v>
      </c>
      <c r="D16" s="164" t="s">
        <v>676</v>
      </c>
      <c r="E16" s="165" t="s">
        <v>1033</v>
      </c>
    </row>
    <row r="17" spans="1:5" x14ac:dyDescent="0.2">
      <c r="B17" s="162" t="s">
        <v>981</v>
      </c>
      <c r="C17" s="157" t="s">
        <v>1161</v>
      </c>
    </row>
    <row r="18" spans="1:5" x14ac:dyDescent="0.2">
      <c r="B18" s="162" t="s">
        <v>1842</v>
      </c>
      <c r="D18" s="164" t="s">
        <v>18</v>
      </c>
      <c r="E18" s="165" t="s">
        <v>1034</v>
      </c>
    </row>
    <row r="19" spans="1:5" x14ac:dyDescent="0.2">
      <c r="A19" s="163" t="s">
        <v>1092</v>
      </c>
      <c r="C19" s="157" t="s">
        <v>1161</v>
      </c>
      <c r="D19" s="164"/>
      <c r="E19" s="166"/>
    </row>
    <row r="20" spans="1:5" x14ac:dyDescent="0.2">
      <c r="B20" s="162" t="s">
        <v>1837</v>
      </c>
      <c r="C20" s="157" t="s">
        <v>1161</v>
      </c>
      <c r="D20" s="164" t="s">
        <v>19</v>
      </c>
      <c r="E20" s="165" t="s">
        <v>51</v>
      </c>
    </row>
    <row r="21" spans="1:5" x14ac:dyDescent="0.2">
      <c r="B21" s="162" t="s">
        <v>1838</v>
      </c>
      <c r="C21" s="157" t="s">
        <v>1161</v>
      </c>
      <c r="D21" s="164" t="s">
        <v>20</v>
      </c>
      <c r="E21" s="165" t="s">
        <v>1596</v>
      </c>
    </row>
    <row r="22" spans="1:5" x14ac:dyDescent="0.2">
      <c r="A22" s="163"/>
      <c r="B22" s="157" t="s">
        <v>1826</v>
      </c>
      <c r="C22" s="157" t="s">
        <v>1161</v>
      </c>
      <c r="D22" s="162" t="s">
        <v>1828</v>
      </c>
      <c r="E22" s="1469" t="s">
        <v>1597</v>
      </c>
    </row>
    <row r="23" spans="1:5" x14ac:dyDescent="0.2">
      <c r="A23" s="163"/>
      <c r="B23" s="157" t="s">
        <v>1827</v>
      </c>
      <c r="D23" s="162" t="s">
        <v>632</v>
      </c>
      <c r="E23" s="1469" t="s">
        <v>953</v>
      </c>
    </row>
    <row r="24" spans="1:5" x14ac:dyDescent="0.2">
      <c r="A24" s="163" t="s">
        <v>1595</v>
      </c>
      <c r="C24" s="157" t="s">
        <v>1161</v>
      </c>
      <c r="D24" s="162" t="s">
        <v>1379</v>
      </c>
      <c r="E24" s="165" t="s">
        <v>954</v>
      </c>
    </row>
    <row r="25" spans="1:5" x14ac:dyDescent="0.2">
      <c r="A25" s="163" t="s">
        <v>1839</v>
      </c>
      <c r="C25" s="157" t="s">
        <v>1161</v>
      </c>
      <c r="D25" s="164" t="s">
        <v>21</v>
      </c>
      <c r="E25" s="165" t="s">
        <v>1035</v>
      </c>
    </row>
    <row r="26" spans="1:5" x14ac:dyDescent="0.2">
      <c r="A26" s="163" t="s">
        <v>1840</v>
      </c>
      <c r="C26" s="157" t="s">
        <v>1161</v>
      </c>
      <c r="D26" s="164" t="s">
        <v>559</v>
      </c>
      <c r="E26" s="165" t="s">
        <v>1036</v>
      </c>
    </row>
    <row r="27" spans="1:5" x14ac:dyDescent="0.2">
      <c r="A27" s="163" t="s">
        <v>1841</v>
      </c>
      <c r="C27" s="157" t="s">
        <v>1161</v>
      </c>
      <c r="D27" s="164" t="s">
        <v>553</v>
      </c>
      <c r="E27" s="165" t="s">
        <v>678</v>
      </c>
    </row>
    <row r="28" spans="1:5" x14ac:dyDescent="0.2">
      <c r="A28" s="163" t="s">
        <v>1843</v>
      </c>
      <c r="D28" s="164" t="s">
        <v>679</v>
      </c>
      <c r="E28" s="165" t="s">
        <v>1352</v>
      </c>
    </row>
    <row r="29" spans="1:5" x14ac:dyDescent="0.2">
      <c r="A29" s="163" t="s">
        <v>1844</v>
      </c>
      <c r="D29" s="164" t="s">
        <v>1380</v>
      </c>
      <c r="E29" s="165" t="s">
        <v>1361</v>
      </c>
    </row>
    <row r="30" spans="1:5" x14ac:dyDescent="0.2">
      <c r="A30" s="168" t="s">
        <v>1845</v>
      </c>
      <c r="C30" s="157" t="s">
        <v>1161</v>
      </c>
      <c r="D30" s="164" t="s">
        <v>40</v>
      </c>
      <c r="E30" s="165" t="s">
        <v>975</v>
      </c>
    </row>
    <row r="31" spans="1:5" x14ac:dyDescent="0.2">
      <c r="A31" s="163" t="s">
        <v>1507</v>
      </c>
      <c r="C31" s="157" t="s">
        <v>1161</v>
      </c>
      <c r="D31" s="162"/>
      <c r="E31" s="166"/>
    </row>
    <row r="32" spans="1:5" x14ac:dyDescent="0.2">
      <c r="B32" s="162" t="s">
        <v>1846</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71" t="s">
        <v>1058</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686</v>
      </c>
      <c r="B40" s="2168"/>
      <c r="C40" s="2168"/>
      <c r="D40" s="2168"/>
      <c r="E40" s="2168"/>
    </row>
    <row r="41" spans="1:5" x14ac:dyDescent="0.2">
      <c r="A41" s="2169" t="s">
        <v>1594</v>
      </c>
      <c r="B41" s="2169"/>
      <c r="C41" s="2169"/>
      <c r="D41" s="2169"/>
      <c r="E41" s="2169"/>
    </row>
    <row r="42" spans="1:5" ht="12.75" customHeight="1" x14ac:dyDescent="0.2">
      <c r="A42" s="2170" t="s">
        <v>1015</v>
      </c>
      <c r="B42" s="2170"/>
      <c r="C42" s="2170"/>
      <c r="D42" s="2170"/>
      <c r="E42" s="2170"/>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1602</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1605</v>
      </c>
    </row>
    <row r="72" spans="1:9" ht="9" customHeight="1" x14ac:dyDescent="0.2">
      <c r="A72" s="187"/>
      <c r="B72" s="194"/>
    </row>
    <row r="73" spans="1:9" x14ac:dyDescent="0.2">
      <c r="A73" s="184" t="s">
        <v>1606</v>
      </c>
      <c r="B73" s="164" t="s">
        <v>1760</v>
      </c>
    </row>
    <row r="74" spans="1:9" x14ac:dyDescent="0.2">
      <c r="A74" s="184"/>
      <c r="B74" s="164" t="s">
        <v>1759</v>
      </c>
    </row>
    <row r="75" spans="1:9" ht="8.25" customHeight="1" x14ac:dyDescent="0.2">
      <c r="A75" s="184"/>
      <c r="B75" s="184"/>
    </row>
    <row r="76" spans="1:9" ht="12.2" customHeight="1" x14ac:dyDescent="0.2">
      <c r="A76" s="184" t="s">
        <v>1607</v>
      </c>
      <c r="B76" s="193" t="s">
        <v>1761</v>
      </c>
    </row>
    <row r="77" spans="1:9" ht="12.2" customHeight="1" x14ac:dyDescent="0.2">
      <c r="A77" s="185"/>
      <c r="B77" s="164" t="s">
        <v>1608</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91" t="s">
        <v>1668</v>
      </c>
      <c r="B18" s="2491"/>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shapeId="49154" r:id="rId4">
          <objectPr defaultSize="0" r:id="rId5">
            <anchor moveWithCells="1">
              <from>
                <xdr:col>0</xdr:col>
                <xdr:colOff>0</xdr:colOff>
                <xdr:row>0</xdr:row>
                <xdr:rowOff>0</xdr:rowOff>
              </from>
              <to>
                <xdr:col>1</xdr:col>
                <xdr:colOff>714375</xdr:colOff>
                <xdr:row>3</xdr:row>
                <xdr:rowOff>28575</xdr:rowOff>
              </to>
            </anchor>
          </objectPr>
        </oleObject>
      </mc:Choice>
      <mc:Fallback>
        <oleObject progId="Packager Shell Object" shapeId="4915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92" t="s">
        <v>1672</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3"/>
      <c r="H2" s="853"/>
    </row>
    <row r="3" spans="1:8" ht="57" customHeight="1" x14ac:dyDescent="0.2">
      <c r="A3" s="2505" t="s">
        <v>1971</v>
      </c>
      <c r="B3" s="2506"/>
      <c r="C3" s="2506"/>
      <c r="D3" s="2506"/>
      <c r="E3" s="2506"/>
      <c r="F3" s="2507"/>
      <c r="G3" s="853"/>
      <c r="H3" s="853"/>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3"/>
      <c r="H4" s="853"/>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3"/>
      <c r="H5" s="853"/>
    </row>
    <row r="6" spans="1:8" s="854" customFormat="1" ht="41.25" customHeight="1" x14ac:dyDescent="0.2">
      <c r="A6" s="2508" t="s">
        <v>1673</v>
      </c>
      <c r="B6" s="2509"/>
      <c r="C6" s="2509"/>
      <c r="D6" s="2509"/>
      <c r="E6" s="2509"/>
      <c r="F6" s="2510"/>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10741519</v>
      </c>
      <c r="C8" s="1812">
        <f>'Acct Summary 7-8'!D8</f>
        <v>922682</v>
      </c>
      <c r="D8" s="1812">
        <f>'Acct Summary 7-8'!F8</f>
        <v>583008</v>
      </c>
      <c r="E8" s="1812">
        <f>'Acct Summary 7-8'!I8</f>
        <v>83836</v>
      </c>
      <c r="F8" s="1812">
        <f>SUM(B8:E8)</f>
        <v>12331045</v>
      </c>
    </row>
    <row r="9" spans="1:8" s="858" customFormat="1" ht="14.25" customHeight="1" thickBot="1" x14ac:dyDescent="0.25">
      <c r="A9" s="857" t="s">
        <v>1355</v>
      </c>
      <c r="B9" s="1813">
        <f>'Acct Summary 7-8'!C17</f>
        <v>10763722</v>
      </c>
      <c r="C9" s="1813">
        <f>'Acct Summary 7-8'!D17</f>
        <v>901333</v>
      </c>
      <c r="D9" s="1813">
        <f>'Acct Summary 7-8'!F17</f>
        <v>676032</v>
      </c>
      <c r="E9" s="1812"/>
      <c r="F9" s="1812">
        <f>SUM(B9:E9)</f>
        <v>12341087</v>
      </c>
    </row>
    <row r="10" spans="1:8" s="858" customFormat="1" ht="14.25" thickTop="1" thickBot="1" x14ac:dyDescent="0.25">
      <c r="A10" s="859" t="s">
        <v>1356</v>
      </c>
      <c r="B10" s="1814">
        <f>(B8-B9)</f>
        <v>-22203</v>
      </c>
      <c r="C10" s="1814">
        <f>(C8-C9)</f>
        <v>21349</v>
      </c>
      <c r="D10" s="1814">
        <f>(D8-D9)</f>
        <v>-93024</v>
      </c>
      <c r="E10" s="1813">
        <f>(E8-E9)</f>
        <v>83836</v>
      </c>
      <c r="F10" s="1815">
        <f>SUM(F8-F9)</f>
        <v>-10042</v>
      </c>
    </row>
    <row r="11" spans="1:8" s="858" customFormat="1" ht="14.25" thickTop="1" thickBot="1" x14ac:dyDescent="0.25">
      <c r="A11" s="860" t="s">
        <v>1902</v>
      </c>
      <c r="B11" s="1816">
        <f>'Acct Summary 7-8'!C81</f>
        <v>663813</v>
      </c>
      <c r="C11" s="1816">
        <f>'Acct Summary 7-8'!D81</f>
        <v>1071267</v>
      </c>
      <c r="D11" s="1816">
        <f>'Acct Summary 7-8'!F81</f>
        <v>356199</v>
      </c>
      <c r="E11" s="1816">
        <f>'Acct Summary 7-8'!I81</f>
        <v>1354908</v>
      </c>
      <c r="F11" s="1817">
        <f>SUM(B11:E11)</f>
        <v>3446187</v>
      </c>
    </row>
    <row r="12" spans="1:8" ht="16.5" customHeight="1" thickTop="1" x14ac:dyDescent="0.2">
      <c r="A12" s="861"/>
      <c r="B12" s="862"/>
      <c r="C12" s="2496" t="str">
        <f>IF(AND(F10&lt;0,F11&gt;=0,ABS(F10*3)&gt;ABS(F11)),A16,IF(AND(F10&lt;0,F11&gt;0,ABS(F10*3)&lt;=ABS(F11)),A17,IF(AND(F10&lt;0,F11&lt;0),A16,IF(F11=0,A19,A18))))</f>
        <v>Unbalanced -  however, a deficit reduction plan is not required at this time.</v>
      </c>
      <c r="D12" s="2497"/>
      <c r="E12" s="2497"/>
      <c r="F12" s="2498"/>
    </row>
    <row r="13" spans="1:8" ht="19.5" customHeight="1" x14ac:dyDescent="0.2">
      <c r="A13" s="863"/>
      <c r="B13" s="864"/>
      <c r="C13" s="2496"/>
      <c r="D13" s="2497"/>
      <c r="E13" s="2497"/>
      <c r="F13" s="2498"/>
      <c r="H13" s="853"/>
    </row>
    <row r="14" spans="1:8" ht="19.5" customHeight="1" x14ac:dyDescent="0.2">
      <c r="A14" s="863"/>
      <c r="B14" s="864"/>
      <c r="C14" s="2496"/>
      <c r="D14" s="2497"/>
      <c r="E14" s="2497"/>
      <c r="F14" s="2498"/>
      <c r="H14" s="853"/>
    </row>
    <row r="15" spans="1:8" ht="17.25" customHeight="1" x14ac:dyDescent="0.2">
      <c r="A15" s="863"/>
      <c r="B15" s="864"/>
      <c r="C15" s="2499"/>
      <c r="D15" s="2500"/>
      <c r="E15" s="2500"/>
      <c r="F15" s="2501"/>
      <c r="H15" s="853"/>
    </row>
    <row r="16" spans="1:8" s="288" customFormat="1" ht="51.75" hidden="1" customHeight="1" x14ac:dyDescent="0.2">
      <c r="A16" s="2495" t="s">
        <v>1669</v>
      </c>
      <c r="B16" s="2495"/>
      <c r="C16" s="2495"/>
      <c r="D16" s="2495"/>
      <c r="E16" s="2495"/>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50" colorId="8" zoomScale="110" zoomScaleNormal="110" workbookViewId="0">
      <selection activeCell="D84" sqref="D84"/>
    </sheetView>
  </sheetViews>
  <sheetFormatPr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17" t="s">
        <v>660</v>
      </c>
      <c r="B3" s="2518"/>
      <c r="C3" s="2518"/>
      <c r="D3" s="2519"/>
    </row>
    <row r="4" spans="1:4" x14ac:dyDescent="0.2">
      <c r="A4" s="931" t="s">
        <v>1674</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8" t="s">
        <v>1490</v>
      </c>
      <c r="D7" s="2529"/>
    </row>
    <row r="8" spans="1:4" s="542" customFormat="1" ht="12.75" x14ac:dyDescent="0.2">
      <c r="A8" s="917"/>
      <c r="B8" s="872"/>
      <c r="C8" s="875" t="s">
        <v>1489</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5" t="s">
        <v>1675</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31" t="s">
        <v>311</v>
      </c>
      <c r="D21" s="2532"/>
    </row>
    <row r="22" spans="1:10" ht="12.75" x14ac:dyDescent="0.2">
      <c r="A22" s="918"/>
      <c r="B22" s="919">
        <v>2</v>
      </c>
      <c r="C22" s="2530" t="s">
        <v>1510</v>
      </c>
      <c r="D22" s="231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3" t="s">
        <v>533</v>
      </c>
      <c r="D43" s="2534"/>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26" t="s">
        <v>779</v>
      </c>
      <c r="D56" s="2527"/>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6" t="s">
        <v>1677</v>
      </c>
      <c r="D70" s="2527"/>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899"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1966</v>
      </c>
      <c r="F1" s="1542" t="s">
        <v>1967</v>
      </c>
      <c r="G1" s="1898" t="s">
        <v>1977</v>
      </c>
    </row>
    <row r="2" spans="1:7" ht="15.75" x14ac:dyDescent="0.25">
      <c r="A2" t="s">
        <v>260</v>
      </c>
      <c r="B2" s="135">
        <f>COVER!A13</f>
        <v>53102011026</v>
      </c>
      <c r="E2" s="1541">
        <v>2020</v>
      </c>
      <c r="F2" s="1541">
        <v>1</v>
      </c>
      <c r="G2" s="1897">
        <v>101000300</v>
      </c>
    </row>
    <row r="3" spans="1:7" ht="15" x14ac:dyDescent="0.25">
      <c r="A3" t="s">
        <v>950</v>
      </c>
      <c r="B3" s="135" t="str">
        <f>COVER!A15</f>
        <v>Woodford</v>
      </c>
      <c r="E3" s="1829" t="s">
        <v>1970</v>
      </c>
      <c r="F3" s="1829" t="s">
        <v>1969</v>
      </c>
      <c r="G3" s="1897">
        <v>101000400</v>
      </c>
    </row>
    <row r="4" spans="1:7" ht="15" x14ac:dyDescent="0.25">
      <c r="A4" t="s">
        <v>1000</v>
      </c>
      <c r="B4" s="135" t="str">
        <f>COVER!A17</f>
        <v xml:space="preserve">   El Paso-Gridley CUSD 11</v>
      </c>
      <c r="E4" s="1827">
        <v>44119</v>
      </c>
      <c r="F4" s="1828">
        <v>44151</v>
      </c>
      <c r="G4" s="1897">
        <v>101000600</v>
      </c>
    </row>
    <row r="5" spans="1:7" ht="15" x14ac:dyDescent="0.25">
      <c r="A5" t="s">
        <v>699</v>
      </c>
      <c r="B5" s="135">
        <f>COVER!A38</f>
        <v>0</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824160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824160</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-2397</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160347</v>
      </c>
      <c r="C91" s="2" t="s">
        <v>569</v>
      </c>
      <c r="D91" s="2" t="str">
        <f t="shared" si="0"/>
        <v>Error?</v>
      </c>
      <c r="G91" s="1897">
        <v>102640400</v>
      </c>
    </row>
    <row r="92" spans="1:7" ht="15" x14ac:dyDescent="0.25">
      <c r="A92" s="5">
        <v>31</v>
      </c>
      <c r="B92" s="1831">
        <f>'Assets-Liab 5-6'!C39</f>
        <v>663813</v>
      </c>
      <c r="D92" s="2" t="str">
        <f t="shared" si="0"/>
        <v>Error?</v>
      </c>
      <c r="G92" s="1897">
        <v>102640600</v>
      </c>
    </row>
    <row r="93" spans="1:7" ht="15" x14ac:dyDescent="0.25">
      <c r="A93" s="5">
        <v>32</v>
      </c>
      <c r="B93" s="1831">
        <f>'Assets-Liab 5-6'!C41</f>
        <v>824160</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1033931</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1071133</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-134</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-134</v>
      </c>
      <c r="C122" s="2" t="s">
        <v>569</v>
      </c>
      <c r="D122" s="2" t="str">
        <f t="shared" si="0"/>
        <v>Error?</v>
      </c>
      <c r="G122" s="1897">
        <v>203000300</v>
      </c>
    </row>
    <row r="123" spans="1:7" ht="15" x14ac:dyDescent="0.25">
      <c r="A123" s="5">
        <v>62</v>
      </c>
      <c r="B123" s="1831">
        <f>'Assets-Liab 5-6'!D39</f>
        <v>1071267</v>
      </c>
      <c r="D123" s="2" t="str">
        <f t="shared" si="0"/>
        <v>Error?</v>
      </c>
      <c r="G123" s="1897">
        <v>203000400</v>
      </c>
    </row>
    <row r="124" spans="1:7" ht="15" x14ac:dyDescent="0.25">
      <c r="A124" s="5">
        <v>63</v>
      </c>
      <c r="B124" s="1831">
        <f>'Assets-Liab 5-6'!D41</f>
        <v>1071133</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118840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347480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347480</v>
      </c>
      <c r="D140" s="2" t="str">
        <f t="shared" si="1"/>
        <v>Error?</v>
      </c>
    </row>
    <row r="141" spans="1:7" x14ac:dyDescent="0.2">
      <c r="A141" s="5">
        <v>80</v>
      </c>
      <c r="B141" s="1831">
        <f>'Assets-Liab 5-6'!E41</f>
        <v>347480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297667</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356083</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-116</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-116</v>
      </c>
      <c r="C169" s="2" t="s">
        <v>569</v>
      </c>
      <c r="D169" s="2" t="str">
        <f t="shared" si="1"/>
        <v>Error?</v>
      </c>
    </row>
    <row r="170" spans="1:4" x14ac:dyDescent="0.2">
      <c r="A170" s="5">
        <v>109</v>
      </c>
      <c r="B170" s="1831">
        <f>'Assets-Liab 5-6'!F39</f>
        <v>356199</v>
      </c>
      <c r="D170" s="2" t="str">
        <f t="shared" si="1"/>
        <v>Error?</v>
      </c>
    </row>
    <row r="171" spans="1:4" x14ac:dyDescent="0.2">
      <c r="A171" s="5">
        <v>110</v>
      </c>
      <c r="B171" s="1831">
        <f>'Assets-Liab 5-6'!F41</f>
        <v>356083</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717964</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717964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215</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10877</v>
      </c>
      <c r="C188" s="2" t="s">
        <v>569</v>
      </c>
      <c r="D188" s="2" t="str">
        <f t="shared" si="1"/>
        <v>Error?</v>
      </c>
    </row>
    <row r="189" spans="1:4" x14ac:dyDescent="0.2">
      <c r="A189" s="5">
        <v>128</v>
      </c>
      <c r="B189" s="1831">
        <f>'Assets-Liab 5-6'!G39</f>
        <v>707087</v>
      </c>
      <c r="D189" s="2" t="str">
        <f t="shared" si="1"/>
        <v>Error?</v>
      </c>
    </row>
    <row r="190" spans="1:4" x14ac:dyDescent="0.2">
      <c r="A190" s="5">
        <v>129</v>
      </c>
      <c r="B190" s="1831">
        <f>'Assets-Liab 5-6'!G41</f>
        <v>717964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240000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575191</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575191</v>
      </c>
      <c r="D212" s="2" t="str">
        <f t="shared" si="2"/>
        <v>Error?</v>
      </c>
    </row>
    <row r="213" spans="1:4" x14ac:dyDescent="0.2">
      <c r="A213" s="12">
        <v>152</v>
      </c>
      <c r="B213" s="1831">
        <f>'Assets-Liab 5-6'!H41</f>
        <v>575191</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26017911</v>
      </c>
      <c r="D274" s="2" t="str">
        <f t="shared" si="3"/>
        <v>Error?</v>
      </c>
    </row>
    <row r="275" spans="1:4" x14ac:dyDescent="0.2">
      <c r="A275" s="5">
        <v>214</v>
      </c>
      <c r="B275" s="1831">
        <f>'Assets-Liab 5-6'!M18</f>
        <v>1326597</v>
      </c>
      <c r="D275" s="2" t="str">
        <f t="shared" si="3"/>
        <v>Error?</v>
      </c>
    </row>
    <row r="276" spans="1:4" x14ac:dyDescent="0.2">
      <c r="A276" s="5">
        <v>215</v>
      </c>
      <c r="B276" s="1831">
        <f>'Assets-Liab 5-6'!M19</f>
        <v>6915308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34259816</v>
      </c>
      <c r="C279" s="2" t="s">
        <v>569</v>
      </c>
      <c r="D279" s="2" t="str">
        <f t="shared" si="3"/>
        <v>Error?</v>
      </c>
    </row>
    <row r="280" spans="1:4" x14ac:dyDescent="0.2">
      <c r="A280" s="5">
        <v>219</v>
      </c>
      <c r="B280" s="1831">
        <f>'Assets-Liab 5-6'!M40</f>
        <v>34259816</v>
      </c>
      <c r="D280" s="2" t="str">
        <f t="shared" si="3"/>
        <v>Error?</v>
      </c>
    </row>
    <row r="281" spans="1:4" x14ac:dyDescent="0.2">
      <c r="A281" s="5">
        <v>220</v>
      </c>
      <c r="B281" s="1831">
        <f>'Assets-Liab 5-6'!M41</f>
        <v>34259816</v>
      </c>
      <c r="C281" s="2" t="s">
        <v>569</v>
      </c>
      <c r="D281" s="2" t="str">
        <f t="shared" si="3"/>
        <v>Error?</v>
      </c>
    </row>
    <row r="282" spans="1:4" x14ac:dyDescent="0.2">
      <c r="A282" s="5">
        <v>221</v>
      </c>
      <c r="B282" s="1831">
        <f>'Assets-Liab 5-6'!N21</f>
        <v>347481</v>
      </c>
      <c r="D282" s="2" t="str">
        <f t="shared" si="3"/>
        <v>Error?</v>
      </c>
    </row>
    <row r="283" spans="1:4" x14ac:dyDescent="0.2">
      <c r="A283" s="5">
        <v>222</v>
      </c>
      <c r="B283" s="1831">
        <f>'Assets-Liab 5-6'!N22</f>
        <v>2532519</v>
      </c>
      <c r="D283" s="2" t="str">
        <f t="shared" si="3"/>
        <v>Error?</v>
      </c>
    </row>
    <row r="284" spans="1:4" x14ac:dyDescent="0.2">
      <c r="A284" s="5">
        <v>223</v>
      </c>
      <c r="B284" s="1831">
        <f>'Assets-Liab 5-6'!N23</f>
        <v>2880000</v>
      </c>
      <c r="C284" s="2" t="s">
        <v>569</v>
      </c>
      <c r="D284" s="2" t="str">
        <f t="shared" si="3"/>
        <v>Error?</v>
      </c>
    </row>
    <row r="285" spans="1:4" x14ac:dyDescent="0.2">
      <c r="A285" s="5">
        <v>224</v>
      </c>
      <c r="B285" s="1831">
        <f>'Assets-Liab 5-6'!N36</f>
        <v>2880000</v>
      </c>
      <c r="D285" s="2" t="str">
        <f t="shared" si="3"/>
        <v>Error?</v>
      </c>
    </row>
    <row r="286" spans="1:4" x14ac:dyDescent="0.2">
      <c r="A286" s="10">
        <v>225</v>
      </c>
      <c r="B286" s="1831"/>
      <c r="D286" s="2" t="str">
        <f t="shared" si="3"/>
        <v>OK</v>
      </c>
    </row>
    <row r="287" spans="1:4" x14ac:dyDescent="0.2">
      <c r="A287" s="5">
        <v>226</v>
      </c>
      <c r="B287" s="1831">
        <f>'Assets-Liab 5-6'!N37</f>
        <v>2880000</v>
      </c>
      <c r="C287" s="2" t="s">
        <v>569</v>
      </c>
      <c r="D287" s="2" t="str">
        <f t="shared" si="3"/>
        <v>Error?</v>
      </c>
    </row>
    <row r="288" spans="1:4" x14ac:dyDescent="0.2">
      <c r="A288" s="5">
        <v>227</v>
      </c>
      <c r="B288" s="1831">
        <f>'Assets-Liab 5-6'!N41</f>
        <v>2880000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3701858</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227460</v>
      </c>
      <c r="D717" s="2" t="str">
        <f t="shared" si="10"/>
        <v>Error?</v>
      </c>
    </row>
    <row r="718" spans="1:4" x14ac:dyDescent="0.2">
      <c r="A718" s="5">
        <v>657</v>
      </c>
      <c r="B718" s="1831">
        <f>'Expenditures 15-22'!C14</f>
        <v>214802</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5475763</v>
      </c>
      <c r="C720" s="2" t="s">
        <v>569</v>
      </c>
      <c r="D720" s="2" t="str">
        <f t="shared" si="10"/>
        <v>Error?</v>
      </c>
    </row>
    <row r="721" spans="1:4" x14ac:dyDescent="0.2">
      <c r="A721" s="5">
        <v>660</v>
      </c>
      <c r="B721" s="1831">
        <f>'Expenditures 15-22'!C36</f>
        <v>48604</v>
      </c>
      <c r="D721" s="2" t="str">
        <f t="shared" si="10"/>
        <v>Error?</v>
      </c>
    </row>
    <row r="722" spans="1:4" x14ac:dyDescent="0.2">
      <c r="A722" s="5">
        <v>661</v>
      </c>
      <c r="B722" s="1831">
        <f>'Expenditures 15-22'!C37</f>
        <v>71218</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106950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226772</v>
      </c>
      <c r="C727" s="2" t="s">
        <v>569</v>
      </c>
      <c r="D727" s="2" t="str">
        <f t="shared" si="10"/>
        <v>Error?</v>
      </c>
    </row>
    <row r="728" spans="1:4" x14ac:dyDescent="0.2">
      <c r="A728" s="5">
        <v>667</v>
      </c>
      <c r="B728" s="1831">
        <f>'Expenditures 15-22'!C44</f>
        <v>97204</v>
      </c>
      <c r="D728" s="2" t="str">
        <f t="shared" si="10"/>
        <v>Error?</v>
      </c>
    </row>
    <row r="729" spans="1:4" x14ac:dyDescent="0.2">
      <c r="A729" s="5">
        <v>668</v>
      </c>
      <c r="B729" s="1831">
        <f>'Expenditures 15-22'!C45</f>
        <v>90609</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187813</v>
      </c>
      <c r="C731" s="2" t="s">
        <v>569</v>
      </c>
      <c r="D731" s="2" t="str">
        <f t="shared" si="10"/>
        <v>Error?</v>
      </c>
    </row>
    <row r="732" spans="1:4" x14ac:dyDescent="0.2">
      <c r="A732" s="5">
        <v>671</v>
      </c>
      <c r="B732" s="1831">
        <f>'Expenditures 15-22'!C49</f>
        <v>1639</v>
      </c>
      <c r="D732" s="2" t="str">
        <f t="shared" si="10"/>
        <v>Error?</v>
      </c>
    </row>
    <row r="733" spans="1:4" x14ac:dyDescent="0.2">
      <c r="A733" s="5">
        <v>672</v>
      </c>
      <c r="B733" s="1831">
        <f>'Expenditures 15-22'!C50</f>
        <v>174152</v>
      </c>
      <c r="D733" s="2" t="str">
        <f t="shared" si="10"/>
        <v>Error?</v>
      </c>
    </row>
    <row r="734" spans="1:4" x14ac:dyDescent="0.2">
      <c r="A734" s="5">
        <v>673</v>
      </c>
      <c r="B734" s="1831">
        <f>'Expenditures 15-22'!C53</f>
        <v>175791</v>
      </c>
      <c r="C734" s="2" t="s">
        <v>569</v>
      </c>
      <c r="D734" s="2" t="str">
        <f t="shared" si="10"/>
        <v>Error?</v>
      </c>
    </row>
    <row r="735" spans="1:4" x14ac:dyDescent="0.2">
      <c r="A735" s="5">
        <v>674</v>
      </c>
      <c r="B735" s="1831">
        <f>'Expenditures 15-22'!C55</f>
        <v>569356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569356</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71189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10878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82067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123449</v>
      </c>
      <c r="D751" s="2" t="str">
        <f t="shared" si="10"/>
        <v>Error?</v>
      </c>
    </row>
    <row r="752" spans="1:4" x14ac:dyDescent="0.2">
      <c r="A752" s="10">
        <v>691</v>
      </c>
      <c r="B752" s="1831"/>
      <c r="D752" s="2" t="str">
        <f t="shared" si="10"/>
        <v>OK</v>
      </c>
    </row>
    <row r="753" spans="1:4" x14ac:dyDescent="0.2">
      <c r="A753" s="5">
        <v>692</v>
      </c>
      <c r="B753" s="1831">
        <f>'Expenditures 15-22'!C72</f>
        <v>123449</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1365248</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6841011</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888378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50241</v>
      </c>
      <c r="D775" s="2" t="str">
        <f t="shared" si="11"/>
        <v>Error?</v>
      </c>
    </row>
    <row r="776" spans="1:4" x14ac:dyDescent="0.2">
      <c r="A776" s="5">
        <v>715</v>
      </c>
      <c r="B776" s="1831">
        <f>'Expenditures 15-22'!D14</f>
        <v>19358</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1252271</v>
      </c>
      <c r="C778" s="2" t="s">
        <v>569</v>
      </c>
      <c r="D778" s="2" t="str">
        <f t="shared" si="11"/>
        <v>Error?</v>
      </c>
    </row>
    <row r="779" spans="1:4" x14ac:dyDescent="0.2">
      <c r="A779" s="5">
        <v>718</v>
      </c>
      <c r="B779" s="1831">
        <f>'Expenditures 15-22'!D36</f>
        <v>6310</v>
      </c>
      <c r="D779" s="2" t="str">
        <f t="shared" si="11"/>
        <v>Error?</v>
      </c>
    </row>
    <row r="780" spans="1:4" x14ac:dyDescent="0.2">
      <c r="A780" s="5">
        <v>719</v>
      </c>
      <c r="B780" s="1831">
        <f>'Expenditures 15-22'!D37</f>
        <v>17346</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28255</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51911</v>
      </c>
      <c r="C785" s="2" t="s">
        <v>569</v>
      </c>
      <c r="D785" s="2" t="str">
        <f t="shared" si="11"/>
        <v>Error?</v>
      </c>
    </row>
    <row r="786" spans="1:4" x14ac:dyDescent="0.2">
      <c r="A786" s="5">
        <v>725</v>
      </c>
      <c r="B786" s="1831">
        <f>'Expenditures 15-22'!D44</f>
        <v>28434</v>
      </c>
      <c r="D786" s="2" t="str">
        <f t="shared" si="11"/>
        <v>Error?</v>
      </c>
    </row>
    <row r="787" spans="1:4" x14ac:dyDescent="0.2">
      <c r="A787" s="5">
        <v>726</v>
      </c>
      <c r="B787" s="1831">
        <f>'Expenditures 15-22'!D45</f>
        <v>34584</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63018</v>
      </c>
      <c r="C789" s="2" t="s">
        <v>569</v>
      </c>
      <c r="D789" s="2" t="str">
        <f t="shared" si="11"/>
        <v>Error?</v>
      </c>
    </row>
    <row r="790" spans="1:4" x14ac:dyDescent="0.2">
      <c r="A790" s="5">
        <v>729</v>
      </c>
      <c r="B790" s="1831">
        <f>'Expenditures 15-22'!D49</f>
        <v>5639</v>
      </c>
      <c r="D790" s="2" t="str">
        <f t="shared" si="11"/>
        <v>Error?</v>
      </c>
    </row>
    <row r="791" spans="1:4" x14ac:dyDescent="0.2">
      <c r="A791" s="5">
        <v>730</v>
      </c>
      <c r="B791" s="1831">
        <f>'Expenditures 15-22'!D50</f>
        <v>19958</v>
      </c>
      <c r="D791" s="2" t="str">
        <f t="shared" si="11"/>
        <v>Error?</v>
      </c>
    </row>
    <row r="792" spans="1:4" x14ac:dyDescent="0.2">
      <c r="A792" s="5">
        <v>731</v>
      </c>
      <c r="B792" s="1831">
        <f>'Expenditures 15-22'!D53</f>
        <v>25597</v>
      </c>
      <c r="C792" s="2" t="s">
        <v>569</v>
      </c>
      <c r="D792" s="2" t="str">
        <f t="shared" si="11"/>
        <v>Error?</v>
      </c>
    </row>
    <row r="793" spans="1:4" x14ac:dyDescent="0.2">
      <c r="A793" s="5">
        <v>732</v>
      </c>
      <c r="B793" s="1831">
        <f>'Expenditures 15-22'!D55</f>
        <v>172714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172714</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29851</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29851</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16519</v>
      </c>
      <c r="D809" s="2" t="str">
        <f t="shared" si="11"/>
        <v>Error?</v>
      </c>
    </row>
    <row r="810" spans="1:4" x14ac:dyDescent="0.2">
      <c r="A810" s="10">
        <v>749</v>
      </c>
      <c r="B810" s="1831"/>
      <c r="D810" s="2" t="str">
        <f t="shared" si="11"/>
        <v>OK</v>
      </c>
    </row>
    <row r="811" spans="1:4" x14ac:dyDescent="0.2">
      <c r="A811" s="5">
        <v>750</v>
      </c>
      <c r="B811" s="1831">
        <f>'Expenditures 15-22'!D72</f>
        <v>16519</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359610</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1611881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73926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86</v>
      </c>
      <c r="D833" s="2" t="str">
        <f t="shared" si="12"/>
        <v>Error?</v>
      </c>
    </row>
    <row r="834" spans="1:4" x14ac:dyDescent="0.2">
      <c r="A834" s="5">
        <v>773</v>
      </c>
      <c r="B834" s="1831">
        <f>'Expenditures 15-22'!E14</f>
        <v>137582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214062</v>
      </c>
      <c r="C836" s="2" t="s">
        <v>569</v>
      </c>
      <c r="D836" s="2" t="str">
        <f t="shared" si="12"/>
        <v>Error?</v>
      </c>
    </row>
    <row r="837" spans="1:4" x14ac:dyDescent="0.2">
      <c r="A837" s="5">
        <v>776</v>
      </c>
      <c r="B837" s="1831">
        <f>'Expenditures 15-22'!E36</f>
        <v>349</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1087</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339</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1775</v>
      </c>
      <c r="C843" s="2" t="s">
        <v>569</v>
      </c>
      <c r="D843" s="2" t="str">
        <f t="shared" si="12"/>
        <v>Error?</v>
      </c>
    </row>
    <row r="844" spans="1:4" x14ac:dyDescent="0.2">
      <c r="A844" s="5">
        <v>783</v>
      </c>
      <c r="B844" s="1831">
        <f>'Expenditures 15-22'!E44</f>
        <v>82163</v>
      </c>
      <c r="D844" s="2" t="str">
        <f t="shared" si="12"/>
        <v>Error?</v>
      </c>
    </row>
    <row r="845" spans="1:4" x14ac:dyDescent="0.2">
      <c r="A845" s="5">
        <v>784</v>
      </c>
      <c r="B845" s="1831">
        <f>'Expenditures 15-22'!E45</f>
        <v>4252</v>
      </c>
      <c r="D845" s="2" t="str">
        <f t="shared" si="12"/>
        <v>Error?</v>
      </c>
    </row>
    <row r="846" spans="1:4" x14ac:dyDescent="0.2">
      <c r="A846" s="5">
        <v>785</v>
      </c>
      <c r="B846" s="1831">
        <f>'Expenditures 15-22'!E46</f>
        <v>12333</v>
      </c>
      <c r="D846" s="2" t="str">
        <f t="shared" si="12"/>
        <v>Error?</v>
      </c>
    </row>
    <row r="847" spans="1:4" x14ac:dyDescent="0.2">
      <c r="A847" s="5">
        <v>786</v>
      </c>
      <c r="B847" s="1831">
        <f>'Expenditures 15-22'!E47</f>
        <v>98748</v>
      </c>
      <c r="C847" s="2" t="s">
        <v>569</v>
      </c>
      <c r="D847" s="2" t="str">
        <f t="shared" si="12"/>
        <v>Error?</v>
      </c>
    </row>
    <row r="848" spans="1:4" x14ac:dyDescent="0.2">
      <c r="A848" s="5">
        <v>787</v>
      </c>
      <c r="B848" s="1831">
        <f>'Expenditures 15-22'!E49</f>
        <v>39878</v>
      </c>
      <c r="D848" s="2" t="str">
        <f t="shared" si="12"/>
        <v>Error?</v>
      </c>
    </row>
    <row r="849" spans="1:4" x14ac:dyDescent="0.2">
      <c r="A849" s="5">
        <v>788</v>
      </c>
      <c r="B849" s="1831">
        <f>'Expenditures 15-22'!E50</f>
        <v>7933</v>
      </c>
      <c r="D849" s="2" t="str">
        <f t="shared" si="12"/>
        <v>Error?</v>
      </c>
    </row>
    <row r="850" spans="1:4" x14ac:dyDescent="0.2">
      <c r="A850" s="5">
        <v>789</v>
      </c>
      <c r="B850" s="1831">
        <f>'Expenditures 15-22'!E53</f>
        <v>47684</v>
      </c>
      <c r="C850" s="2" t="s">
        <v>569</v>
      </c>
      <c r="D850" s="2" t="str">
        <f t="shared" si="12"/>
        <v>Error?</v>
      </c>
    </row>
    <row r="851" spans="1:4" x14ac:dyDescent="0.2">
      <c r="A851" s="5">
        <v>790</v>
      </c>
      <c r="B851" s="1831">
        <f>'Expenditures 15-22'!E55</f>
        <v>2286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2286</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27436</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285502</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312938</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25568</v>
      </c>
      <c r="D864" s="2" t="str">
        <f t="shared" si="12"/>
        <v>Error?</v>
      </c>
    </row>
    <row r="865" spans="1:4" x14ac:dyDescent="0.2">
      <c r="A865" s="5">
        <v>804</v>
      </c>
      <c r="B865" s="1831">
        <f>'Expenditures 15-22'!E70</f>
        <v>4278</v>
      </c>
      <c r="D865" s="2" t="str">
        <f t="shared" si="12"/>
        <v>Error?</v>
      </c>
    </row>
    <row r="866" spans="1:4" x14ac:dyDescent="0.2">
      <c r="A866" s="10">
        <v>805</v>
      </c>
      <c r="B866" s="1831"/>
      <c r="D866" s="2" t="str">
        <f t="shared" si="12"/>
        <v>OK</v>
      </c>
    </row>
    <row r="867" spans="1:4" x14ac:dyDescent="0.2">
      <c r="A867" s="5">
        <v>806</v>
      </c>
      <c r="B867" s="1831">
        <f>'Expenditures 15-22'!E71</f>
        <v>9234</v>
      </c>
      <c r="D867" s="2" t="str">
        <f t="shared" si="12"/>
        <v>Error?</v>
      </c>
    </row>
    <row r="868" spans="1:4" x14ac:dyDescent="0.2">
      <c r="A868" s="10">
        <v>807</v>
      </c>
      <c r="B868" s="1831"/>
      <c r="D868" s="2" t="str">
        <f t="shared" si="12"/>
        <v>OK</v>
      </c>
    </row>
    <row r="869" spans="1:4" x14ac:dyDescent="0.2">
      <c r="A869" s="5">
        <v>808</v>
      </c>
      <c r="B869" s="1831">
        <f>'Expenditures 15-22'!E72</f>
        <v>39080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502511</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1030221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75960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6751</v>
      </c>
      <c r="D891" s="2" t="str">
        <f t="shared" si="12"/>
        <v>Error?</v>
      </c>
    </row>
    <row r="892" spans="1:4" x14ac:dyDescent="0.2">
      <c r="A892" s="5">
        <v>831</v>
      </c>
      <c r="B892" s="1831">
        <f>'Expenditures 15-22'!F14</f>
        <v>13065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215613</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2491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140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2631</v>
      </c>
      <c r="C901" s="2" t="s">
        <v>569</v>
      </c>
      <c r="D901" s="2" t="str">
        <f t="shared" si="13"/>
        <v>Error?</v>
      </c>
    </row>
    <row r="902" spans="1:4" x14ac:dyDescent="0.2">
      <c r="A902" s="5">
        <v>841</v>
      </c>
      <c r="B902" s="1831">
        <f>'Expenditures 15-22'!F44</f>
        <v>1362</v>
      </c>
      <c r="D902" s="2" t="str">
        <f t="shared" si="13"/>
        <v>Error?</v>
      </c>
    </row>
    <row r="903" spans="1:4" x14ac:dyDescent="0.2">
      <c r="A903" s="5">
        <v>842</v>
      </c>
      <c r="B903" s="1831">
        <f>'Expenditures 15-22'!F45</f>
        <v>14495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15857</v>
      </c>
      <c r="C905" s="2" t="s">
        <v>569</v>
      </c>
      <c r="D905" s="2" t="str">
        <f t="shared" si="13"/>
        <v>Error?</v>
      </c>
    </row>
    <row r="906" spans="1:4" x14ac:dyDescent="0.2">
      <c r="A906" s="5">
        <v>845</v>
      </c>
      <c r="B906" s="1831">
        <f>'Expenditures 15-22'!F49</f>
        <v>4726</v>
      </c>
      <c r="D906" s="2" t="str">
        <f t="shared" si="13"/>
        <v>Error?</v>
      </c>
    </row>
    <row r="907" spans="1:4" x14ac:dyDescent="0.2">
      <c r="A907" s="5">
        <v>846</v>
      </c>
      <c r="B907" s="1831">
        <f>'Expenditures 15-22'!F50</f>
        <v>4360</v>
      </c>
      <c r="D907" s="2" t="str">
        <f t="shared" si="13"/>
        <v>Error?</v>
      </c>
    </row>
    <row r="908" spans="1:4" x14ac:dyDescent="0.2">
      <c r="A908" s="5">
        <v>847</v>
      </c>
      <c r="B908" s="1831">
        <f>'Expenditures 15-22'!F53</f>
        <v>9086</v>
      </c>
      <c r="C908" s="2" t="s">
        <v>569</v>
      </c>
      <c r="D908" s="2" t="str">
        <f t="shared" si="13"/>
        <v>Error?</v>
      </c>
    </row>
    <row r="909" spans="1:4" x14ac:dyDescent="0.2">
      <c r="A909" s="5">
        <v>848</v>
      </c>
      <c r="B909" s="1831">
        <f>'Expenditures 15-22'!F55</f>
        <v>8532</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8532</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15087</v>
      </c>
      <c r="D913" s="2" t="str">
        <f t="shared" si="13"/>
        <v>Error?</v>
      </c>
    </row>
    <row r="914" spans="1:4" x14ac:dyDescent="0.2">
      <c r="A914" s="5">
        <v>853</v>
      </c>
      <c r="B914" s="1831">
        <f>'Expenditures 15-22'!F61</f>
        <v>207747</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4259</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227093</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98313</v>
      </c>
      <c r="D925" s="2" t="str">
        <f t="shared" si="13"/>
        <v>Error?</v>
      </c>
    </row>
    <row r="926" spans="1:4" x14ac:dyDescent="0.2">
      <c r="A926" s="10">
        <v>865</v>
      </c>
      <c r="B926" s="1831"/>
      <c r="D926" s="2" t="str">
        <f t="shared" si="13"/>
        <v>OK</v>
      </c>
    </row>
    <row r="927" spans="1:4" x14ac:dyDescent="0.2">
      <c r="A927" s="5">
        <v>866</v>
      </c>
      <c r="B927" s="1831">
        <f>'Expenditures 15-22'!F72</f>
        <v>98313</v>
      </c>
      <c r="C927" s="2" t="s">
        <v>569</v>
      </c>
      <c r="D927" s="2" t="str">
        <f t="shared" si="13"/>
        <v>Error?</v>
      </c>
    </row>
    <row r="928" spans="1:4" x14ac:dyDescent="0.2">
      <c r="A928" s="5">
        <v>867</v>
      </c>
      <c r="B928" s="1831">
        <f>'Expenditures 15-22'!F73</f>
        <v>1085</v>
      </c>
      <c r="D928" s="2" t="str">
        <f t="shared" si="13"/>
        <v>Error?</v>
      </c>
    </row>
    <row r="929" spans="1:4" x14ac:dyDescent="0.2">
      <c r="A929" s="5">
        <v>868</v>
      </c>
      <c r="B929" s="1831">
        <f>'Expenditures 15-22'!F74</f>
        <v>362597</v>
      </c>
      <c r="C929" s="2" t="s">
        <v>569</v>
      </c>
      <c r="D929" s="2" t="str">
        <f t="shared" si="13"/>
        <v>Error?</v>
      </c>
    </row>
    <row r="930" spans="1:4" x14ac:dyDescent="0.2">
      <c r="A930" s="5">
        <v>869</v>
      </c>
      <c r="B930" s="1831">
        <f>'Expenditures 15-22'!F75</f>
        <v>3027</v>
      </c>
      <c r="D930" s="2" t="str">
        <f t="shared" si="13"/>
        <v>Error?</v>
      </c>
    </row>
    <row r="931" spans="1:4" x14ac:dyDescent="0.2">
      <c r="A931" s="5">
        <v>870</v>
      </c>
      <c r="B931" s="1831">
        <f>'Expenditures 15-22'!F114</f>
        <v>581237</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1430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12887</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4246</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4246</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48342</v>
      </c>
      <c r="D983" s="2" t="str">
        <f t="shared" si="14"/>
        <v>Error?</v>
      </c>
    </row>
    <row r="984" spans="1:4" x14ac:dyDescent="0.2">
      <c r="A984" s="10">
        <v>923</v>
      </c>
      <c r="B984" s="1831"/>
      <c r="D984" s="2" t="str">
        <f t="shared" si="14"/>
        <v>OK</v>
      </c>
    </row>
    <row r="985" spans="1:4" x14ac:dyDescent="0.2">
      <c r="A985" s="5">
        <v>924</v>
      </c>
      <c r="B985" s="1831">
        <f>'Expenditures 15-22'!G72</f>
        <v>48342</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52588</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65475</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165</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-15598</v>
      </c>
      <c r="D1007" s="2" t="str">
        <f t="shared" si="14"/>
        <v>Error?</v>
      </c>
    </row>
    <row r="1008" spans="1:4" x14ac:dyDescent="0.2">
      <c r="A1008" s="5">
        <v>947</v>
      </c>
      <c r="B1008" s="1831">
        <f>'Expenditures 15-22'!H14</f>
        <v>17952</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476825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565</v>
      </c>
      <c r="D1018" s="2" t="str">
        <f t="shared" si="14"/>
        <v>Error?</v>
      </c>
    </row>
    <row r="1019" spans="1:4" x14ac:dyDescent="0.2">
      <c r="A1019" s="5">
        <v>958</v>
      </c>
      <c r="B1019" s="1831">
        <f>'Expenditures 15-22'!H45</f>
        <v>271</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836</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1138</v>
      </c>
      <c r="D1023" s="2" t="str">
        <f t="shared" ref="D1023:D1086" si="15">IF(ISBLANK(B1023),"OK",IF(A1023-B1023=0,"OK","Error?"))</f>
        <v>Error?</v>
      </c>
    </row>
    <row r="1024" spans="1:4" x14ac:dyDescent="0.2">
      <c r="A1024" s="5">
        <v>963</v>
      </c>
      <c r="B1024" s="1831">
        <f>'Expenditures 15-22'!H53</f>
        <v>1138</v>
      </c>
      <c r="C1024" s="2" t="s">
        <v>569</v>
      </c>
      <c r="D1024" s="2" t="str">
        <f t="shared" si="15"/>
        <v>Error?</v>
      </c>
    </row>
    <row r="1025" spans="1:4" x14ac:dyDescent="0.2">
      <c r="A1025" s="5">
        <v>964</v>
      </c>
      <c r="B1025" s="1831">
        <f>'Expenditures 15-22'!H55</f>
        <v>2219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2219</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6521</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69</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6590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10783</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146289</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633897</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1996</v>
      </c>
      <c r="E1056" s="4" t="s">
        <v>1995</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4741717</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268940</v>
      </c>
      <c r="C1105" s="2" t="s">
        <v>569</v>
      </c>
      <c r="D1105" s="2" t="str">
        <f t="shared" si="16"/>
        <v>Error?</v>
      </c>
    </row>
    <row r="1106" spans="1:4" x14ac:dyDescent="0.2">
      <c r="A1106" s="5">
        <v>1045</v>
      </c>
      <c r="B1106" s="1831">
        <f>'Expenditures 15-22'!K14</f>
        <v>402759</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7647421</v>
      </c>
      <c r="C1108" s="2" t="s">
        <v>569</v>
      </c>
      <c r="D1108" s="2" t="str">
        <f t="shared" si="16"/>
        <v>Error?</v>
      </c>
    </row>
    <row r="1109" spans="1:4" x14ac:dyDescent="0.2">
      <c r="A1109" s="5">
        <v>1048</v>
      </c>
      <c r="B1109" s="1831">
        <f>'Expenditures 15-22'!K36</f>
        <v>55263</v>
      </c>
      <c r="C1109" s="2" t="s">
        <v>569</v>
      </c>
      <c r="D1109" s="2" t="str">
        <f t="shared" si="16"/>
        <v>Error?</v>
      </c>
    </row>
    <row r="1110" spans="1:4" x14ac:dyDescent="0.2">
      <c r="A1110" s="5">
        <v>1049</v>
      </c>
      <c r="B1110" s="1831">
        <f>'Expenditures 15-22'!K37</f>
        <v>88564</v>
      </c>
      <c r="C1110" s="2" t="s">
        <v>569</v>
      </c>
      <c r="D1110" s="2" t="str">
        <f t="shared" si="16"/>
        <v>Error?</v>
      </c>
    </row>
    <row r="1111" spans="1:4" x14ac:dyDescent="0.2">
      <c r="A1111" s="5">
        <v>1050</v>
      </c>
      <c r="B1111" s="1831">
        <f>'Expenditures 15-22'!K38</f>
        <v>3578</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135684</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283089</v>
      </c>
      <c r="C1115" s="2" t="s">
        <v>569</v>
      </c>
      <c r="D1115" s="2" t="str">
        <f t="shared" si="16"/>
        <v>Error?</v>
      </c>
    </row>
    <row r="1116" spans="1:4" x14ac:dyDescent="0.2">
      <c r="A1116" s="5">
        <v>1055</v>
      </c>
      <c r="B1116" s="1831">
        <f>'Expenditures 15-22'!K44</f>
        <v>209728</v>
      </c>
      <c r="C1116" s="2" t="s">
        <v>569</v>
      </c>
      <c r="D1116" s="2" t="str">
        <f t="shared" si="16"/>
        <v>Error?</v>
      </c>
    </row>
    <row r="1117" spans="1:4" x14ac:dyDescent="0.2">
      <c r="A1117" s="5">
        <v>1056</v>
      </c>
      <c r="B1117" s="1831">
        <f>'Expenditures 15-22'!K45</f>
        <v>144211</v>
      </c>
      <c r="C1117" s="2" t="s">
        <v>569</v>
      </c>
      <c r="D1117" s="2" t="str">
        <f t="shared" si="16"/>
        <v>Error?</v>
      </c>
    </row>
    <row r="1118" spans="1:4" x14ac:dyDescent="0.2">
      <c r="A1118" s="5">
        <v>1057</v>
      </c>
      <c r="B1118" s="1831">
        <f>'Expenditures 15-22'!K46</f>
        <v>12333</v>
      </c>
      <c r="C1118" s="2" t="s">
        <v>569</v>
      </c>
      <c r="D1118" s="2" t="str">
        <f t="shared" si="16"/>
        <v>Error?</v>
      </c>
    </row>
    <row r="1119" spans="1:4" x14ac:dyDescent="0.2">
      <c r="A1119" s="5">
        <v>1058</v>
      </c>
      <c r="B1119" s="1831">
        <f>'Expenditures 15-22'!K47</f>
        <v>366272</v>
      </c>
      <c r="C1119" s="2" t="s">
        <v>569</v>
      </c>
      <c r="D1119" s="2" t="str">
        <f t="shared" si="16"/>
        <v>Error?</v>
      </c>
    </row>
    <row r="1120" spans="1:4" x14ac:dyDescent="0.2">
      <c r="A1120" s="5">
        <v>1059</v>
      </c>
      <c r="B1120" s="1831">
        <f>'Expenditures 15-22'!K49</f>
        <v>51882</v>
      </c>
      <c r="C1120" s="2" t="s">
        <v>569</v>
      </c>
      <c r="D1120" s="2" t="str">
        <f t="shared" si="16"/>
        <v>Error?</v>
      </c>
    </row>
    <row r="1121" spans="1:4" x14ac:dyDescent="0.2">
      <c r="A1121" s="5">
        <v>1060</v>
      </c>
      <c r="B1121" s="1831">
        <f>'Expenditures 15-22'!K50</f>
        <v>207541</v>
      </c>
      <c r="C1121" s="2" t="s">
        <v>569</v>
      </c>
      <c r="D1121" s="2" t="str">
        <f t="shared" si="16"/>
        <v>Error?</v>
      </c>
    </row>
    <row r="1122" spans="1:4" x14ac:dyDescent="0.2">
      <c r="A1122" s="5">
        <v>1061</v>
      </c>
      <c r="B1122" s="1831">
        <f>'Expenditures 15-22'!K53</f>
        <v>259296</v>
      </c>
      <c r="C1122" s="2" t="s">
        <v>569</v>
      </c>
      <c r="D1122" s="2" t="str">
        <f t="shared" si="16"/>
        <v>Error?</v>
      </c>
    </row>
    <row r="1123" spans="1:4" x14ac:dyDescent="0.2">
      <c r="A1123" s="5">
        <v>1062</v>
      </c>
      <c r="B1123" s="1831">
        <f>'Expenditures 15-22'!K55</f>
        <v>755107</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755107</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150084</v>
      </c>
      <c r="C1127" s="2" t="s">
        <v>569</v>
      </c>
      <c r="D1127" s="2" t="str">
        <f t="shared" si="16"/>
        <v>Error?</v>
      </c>
    </row>
    <row r="1128" spans="1:4" x14ac:dyDescent="0.2">
      <c r="A1128" s="5">
        <v>1067</v>
      </c>
      <c r="B1128" s="1831">
        <f>'Expenditures 15-22'!K61</f>
        <v>207747</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304954</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662785</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25568</v>
      </c>
      <c r="C1136" s="2" t="s">
        <v>569</v>
      </c>
      <c r="D1136" s="2" t="str">
        <f t="shared" si="16"/>
        <v>Error?</v>
      </c>
    </row>
    <row r="1137" spans="1:4" x14ac:dyDescent="0.2">
      <c r="A1137" s="5">
        <v>1076</v>
      </c>
      <c r="B1137" s="1831">
        <f>'Expenditures 15-22'!K70</f>
        <v>4278</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295857</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325703</v>
      </c>
      <c r="C1141" s="2" t="s">
        <v>569</v>
      </c>
      <c r="D1141" s="2" t="str">
        <f t="shared" si="16"/>
        <v>Error?</v>
      </c>
    </row>
    <row r="1142" spans="1:4" x14ac:dyDescent="0.2">
      <c r="A1142" s="5">
        <v>1081</v>
      </c>
      <c r="B1142" s="1831">
        <f>'Expenditures 15-22'!K73</f>
        <v>1085</v>
      </c>
      <c r="C1142" s="2" t="s">
        <v>569</v>
      </c>
      <c r="D1142" s="2" t="str">
        <f t="shared" si="16"/>
        <v>Error?</v>
      </c>
    </row>
    <row r="1143" spans="1:4" x14ac:dyDescent="0.2">
      <c r="A1143" s="5">
        <v>1082</v>
      </c>
      <c r="B1143" s="1831">
        <f>'Expenditures 15-22'!K74</f>
        <v>2653337</v>
      </c>
      <c r="C1143" s="2" t="s">
        <v>569</v>
      </c>
      <c r="D1143" s="2" t="str">
        <f t="shared" si="16"/>
        <v>Error?</v>
      </c>
    </row>
    <row r="1144" spans="1:4" x14ac:dyDescent="0.2">
      <c r="A1144" s="5">
        <v>1083</v>
      </c>
      <c r="B1144" s="1831">
        <f>'Expenditures 15-22'!K75</f>
        <v>3027</v>
      </c>
      <c r="C1144" s="2" t="s">
        <v>569</v>
      </c>
      <c r="D1144" s="2" t="str">
        <f t="shared" si="16"/>
        <v>Error?</v>
      </c>
    </row>
    <row r="1145" spans="1:4" x14ac:dyDescent="0.2">
      <c r="A1145" s="5">
        <v>1084</v>
      </c>
      <c r="B1145" s="1831">
        <f>'Expenditures 15-22'!K102</f>
        <v>459937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10763722</v>
      </c>
      <c r="C1152" s="2" t="s">
        <v>569</v>
      </c>
      <c r="D1152" s="2" t="str">
        <f t="shared" si="17"/>
        <v>Error?</v>
      </c>
    </row>
    <row r="1153" spans="1:4" x14ac:dyDescent="0.2">
      <c r="A1153" s="5">
        <v>1092</v>
      </c>
      <c r="B1153" s="1831">
        <f>'Expenditures 15-22'!K115</f>
        <v>-22203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449292</v>
      </c>
      <c r="D1221" s="2" t="str">
        <f t="shared" si="18"/>
        <v>Error?</v>
      </c>
    </row>
    <row r="1222" spans="1:4" x14ac:dyDescent="0.2">
      <c r="A1222" s="10">
        <v>1161</v>
      </c>
      <c r="B1222" s="1831"/>
      <c r="D1222" s="2" t="str">
        <f t="shared" si="18"/>
        <v>OK</v>
      </c>
    </row>
    <row r="1223" spans="1:4" x14ac:dyDescent="0.2">
      <c r="A1223" s="5">
        <v>1162</v>
      </c>
      <c r="B1223" s="1831">
        <f>'Expenditures 15-22'!C127</f>
        <v>449292</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449292</v>
      </c>
      <c r="C1225" s="2" t="s">
        <v>569</v>
      </c>
      <c r="D1225" s="2" t="str">
        <f t="shared" si="18"/>
        <v>Error?</v>
      </c>
    </row>
    <row r="1226" spans="1:4" x14ac:dyDescent="0.2">
      <c r="A1226" s="5">
        <v>1165</v>
      </c>
      <c r="B1226" s="1831">
        <f>'Expenditures 15-22'!C151</f>
        <v>449292</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80828</v>
      </c>
      <c r="D1229" s="2" t="str">
        <f t="shared" si="18"/>
        <v>Error?</v>
      </c>
    </row>
    <row r="1230" spans="1:4" x14ac:dyDescent="0.2">
      <c r="A1230" s="10">
        <v>1169</v>
      </c>
      <c r="B1230" s="1831"/>
      <c r="D1230" s="2" t="str">
        <f t="shared" si="18"/>
        <v>OK</v>
      </c>
    </row>
    <row r="1231" spans="1:4" x14ac:dyDescent="0.2">
      <c r="A1231" s="5">
        <v>1170</v>
      </c>
      <c r="B1231" s="1831">
        <f>'Expenditures 15-22'!D127</f>
        <v>80828</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80828</v>
      </c>
      <c r="C1233" s="2" t="s">
        <v>569</v>
      </c>
      <c r="D1233" s="2" t="str">
        <f t="shared" si="18"/>
        <v>Error?</v>
      </c>
    </row>
    <row r="1234" spans="1:4" x14ac:dyDescent="0.2">
      <c r="A1234" s="5">
        <v>1173</v>
      </c>
      <c r="B1234" s="1831">
        <f>'Expenditures 15-22'!D151</f>
        <v>80828</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262173</v>
      </c>
      <c r="D1237" s="2" t="str">
        <f t="shared" si="18"/>
        <v>Error?</v>
      </c>
    </row>
    <row r="1238" spans="1:4" x14ac:dyDescent="0.2">
      <c r="A1238" s="10">
        <v>1177</v>
      </c>
      <c r="B1238" s="1831"/>
      <c r="D1238" s="2" t="str">
        <f t="shared" si="18"/>
        <v>OK</v>
      </c>
    </row>
    <row r="1239" spans="1:4" x14ac:dyDescent="0.2">
      <c r="A1239" s="5">
        <v>1178</v>
      </c>
      <c r="B1239" s="1831">
        <f>'Expenditures 15-22'!E127</f>
        <v>262173</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262173</v>
      </c>
      <c r="C1241" s="2" t="s">
        <v>569</v>
      </c>
      <c r="D1241" s="2" t="str">
        <f t="shared" si="18"/>
        <v>Error?</v>
      </c>
    </row>
    <row r="1242" spans="1:4" x14ac:dyDescent="0.2">
      <c r="A1242" s="5">
        <v>1181</v>
      </c>
      <c r="B1242" s="1831">
        <f>'Expenditures 15-22'!E151</f>
        <v>262173</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99384</v>
      </c>
      <c r="D1245" s="2" t="str">
        <f t="shared" si="18"/>
        <v>Error?</v>
      </c>
    </row>
    <row r="1246" spans="1:4" x14ac:dyDescent="0.2">
      <c r="A1246" s="10">
        <v>1185</v>
      </c>
      <c r="B1246" s="1831"/>
      <c r="D1246" s="2" t="str">
        <f t="shared" si="18"/>
        <v>OK</v>
      </c>
    </row>
    <row r="1247" spans="1:4" x14ac:dyDescent="0.2">
      <c r="A1247" s="5">
        <v>1186</v>
      </c>
      <c r="B1247" s="1831">
        <f>'Expenditures 15-22'!F127</f>
        <v>99384</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99384</v>
      </c>
      <c r="C1249" s="2" t="s">
        <v>569</v>
      </c>
      <c r="D1249" s="2" t="str">
        <f t="shared" si="18"/>
        <v>Error?</v>
      </c>
    </row>
    <row r="1250" spans="1:4" x14ac:dyDescent="0.2">
      <c r="A1250" s="5">
        <v>1189</v>
      </c>
      <c r="B1250" s="1831">
        <f>'Expenditures 15-22'!F151</f>
        <v>99384</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9656</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9656</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9656</v>
      </c>
      <c r="C1258" s="2" t="s">
        <v>569</v>
      </c>
      <c r="D1258" s="2" t="str">
        <f t="shared" si="18"/>
        <v>Error?</v>
      </c>
    </row>
    <row r="1259" spans="1:4" x14ac:dyDescent="0.2">
      <c r="A1259" s="5">
        <v>1198</v>
      </c>
      <c r="B1259" s="1831">
        <f>'Expenditures 15-22'!G151</f>
        <v>9656</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901333</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901333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901333</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901333</v>
      </c>
      <c r="C1288" s="2" t="s">
        <v>569</v>
      </c>
      <c r="D1288" s="2" t="str">
        <f t="shared" si="19"/>
        <v>Error?</v>
      </c>
    </row>
    <row r="1289" spans="1:4" x14ac:dyDescent="0.2">
      <c r="A1289" s="5">
        <v>1228</v>
      </c>
      <c r="B1289" s="1831">
        <f>'Expenditures 15-22'!K152</f>
        <v>21349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80339</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975000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1055339</v>
      </c>
      <c r="C1317" s="2" t="s">
        <v>569</v>
      </c>
      <c r="D1317" s="2" t="str">
        <f t="shared" si="19"/>
        <v>Error?</v>
      </c>
    </row>
    <row r="1318" spans="1:4" x14ac:dyDescent="0.2">
      <c r="A1318" s="5">
        <v>1257</v>
      </c>
      <c r="B1318" s="1831">
        <f>'Expenditures 15-22'!H174</f>
        <v>1055339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80339</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975000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1055339</v>
      </c>
      <c r="C1331" s="2" t="s">
        <v>569</v>
      </c>
      <c r="D1331" s="2" t="str">
        <f t="shared" si="19"/>
        <v>Error?</v>
      </c>
    </row>
    <row r="1332" spans="1:4" x14ac:dyDescent="0.2">
      <c r="A1332" s="5">
        <v>1271</v>
      </c>
      <c r="B1332" s="1831">
        <f>'Expenditures 15-22'!K174</f>
        <v>1055339</v>
      </c>
      <c r="C1332" s="2" t="s">
        <v>569</v>
      </c>
      <c r="D1332" s="2" t="str">
        <f t="shared" si="19"/>
        <v>Error?</v>
      </c>
    </row>
    <row r="1333" spans="1:4" x14ac:dyDescent="0.2">
      <c r="A1333" s="5">
        <v>1272</v>
      </c>
      <c r="B1333" s="1831">
        <f>'Expenditures 15-22'!K175</f>
        <v>-49737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304681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304681</v>
      </c>
      <c r="C1339" s="2" t="s">
        <v>569</v>
      </c>
      <c r="D1339" s="2" t="str">
        <f t="shared" si="19"/>
        <v>Error?</v>
      </c>
    </row>
    <row r="1340" spans="1:4" x14ac:dyDescent="0.2">
      <c r="A1340" s="5">
        <v>1279</v>
      </c>
      <c r="B1340" s="1831">
        <f>'Expenditures 15-22'!C210</f>
        <v>304681</v>
      </c>
      <c r="C1340" s="2" t="s">
        <v>569</v>
      </c>
      <c r="D1340" s="2" t="str">
        <f t="shared" si="19"/>
        <v>Error?</v>
      </c>
    </row>
    <row r="1341" spans="1:4" x14ac:dyDescent="0.2">
      <c r="A1341" s="5">
        <v>1280</v>
      </c>
      <c r="B1341" s="1831">
        <f>'Expenditures 15-22'!D182</f>
        <v>41114</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41114</v>
      </c>
      <c r="C1345" s="2" t="s">
        <v>569</v>
      </c>
      <c r="D1345" s="2" t="str">
        <f t="shared" si="20"/>
        <v>Error?</v>
      </c>
    </row>
    <row r="1346" spans="1:4" x14ac:dyDescent="0.2">
      <c r="A1346" s="5">
        <v>1285</v>
      </c>
      <c r="B1346" s="1831">
        <f>'Expenditures 15-22'!D210</f>
        <v>41114</v>
      </c>
      <c r="C1346" s="2" t="s">
        <v>569</v>
      </c>
      <c r="D1346" s="2" t="str">
        <f t="shared" si="20"/>
        <v>Error?</v>
      </c>
    </row>
    <row r="1347" spans="1:4" x14ac:dyDescent="0.2">
      <c r="A1347" s="5">
        <v>1286</v>
      </c>
      <c r="B1347" s="1831">
        <f>'Expenditures 15-22'!E182</f>
        <v>249364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249364</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249364</v>
      </c>
      <c r="C1353" s="2" t="s">
        <v>569</v>
      </c>
      <c r="D1353" s="2" t="str">
        <f t="shared" si="20"/>
        <v>Error?</v>
      </c>
    </row>
    <row r="1354" spans="1:4" x14ac:dyDescent="0.2">
      <c r="A1354" s="5">
        <v>1293</v>
      </c>
      <c r="B1354" s="1831">
        <f>'Expenditures 15-22'!F182</f>
        <v>80873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80873</v>
      </c>
      <c r="C1358" s="2" t="s">
        <v>569</v>
      </c>
      <c r="D1358" s="2" t="str">
        <f t="shared" si="20"/>
        <v>Error?</v>
      </c>
    </row>
    <row r="1359" spans="1:4" x14ac:dyDescent="0.2">
      <c r="A1359" s="5">
        <v>1298</v>
      </c>
      <c r="B1359" s="1831">
        <f>'Expenditures 15-22'!F210</f>
        <v>80873</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676032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676032</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676032</v>
      </c>
      <c r="C1388" s="2" t="s">
        <v>569</v>
      </c>
      <c r="D1388" s="2" t="str">
        <f t="shared" si="20"/>
        <v>Error?</v>
      </c>
    </row>
    <row r="1389" spans="1:4" x14ac:dyDescent="0.2">
      <c r="A1389" s="5">
        <v>1328</v>
      </c>
      <c r="B1389" s="1831">
        <f>'Expenditures 15-22'!K211</f>
        <v>-93024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2882</v>
      </c>
      <c r="D1407" s="2" t="str">
        <f t="shared" ref="D1407:D1470" si="21">IF(ISBLANK(B1407),"OK",IF(A1407-B1407=0,"OK","Error?"))</f>
        <v>Error?</v>
      </c>
    </row>
    <row r="1408" spans="1:4" x14ac:dyDescent="0.2">
      <c r="A1408" s="5">
        <v>1347</v>
      </c>
      <c r="B1408" s="1831">
        <f>'Expenditures 15-22'!D223</f>
        <v>6994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131958</v>
      </c>
      <c r="C1410" s="2" t="s">
        <v>569</v>
      </c>
      <c r="D1410" s="2" t="str">
        <f t="shared" si="21"/>
        <v>Error?</v>
      </c>
    </row>
    <row r="1411" spans="1:4" x14ac:dyDescent="0.2">
      <c r="A1411" s="5">
        <v>1350</v>
      </c>
      <c r="B1411" s="1831">
        <f>'Expenditures 15-22'!D232</f>
        <v>705</v>
      </c>
      <c r="D1411" s="2" t="str">
        <f t="shared" si="21"/>
        <v>Error?</v>
      </c>
    </row>
    <row r="1412" spans="1:4" x14ac:dyDescent="0.2">
      <c r="A1412" s="5">
        <v>1351</v>
      </c>
      <c r="B1412" s="1831">
        <f>'Expenditures 15-22'!D233</f>
        <v>883</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1256</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2844</v>
      </c>
      <c r="C1417" s="2" t="s">
        <v>569</v>
      </c>
      <c r="D1417" s="2" t="str">
        <f t="shared" si="21"/>
        <v>Error?</v>
      </c>
    </row>
    <row r="1418" spans="1:4" x14ac:dyDescent="0.2">
      <c r="A1418" s="5">
        <v>1357</v>
      </c>
      <c r="B1418" s="1831">
        <f>'Expenditures 15-22'!D240</f>
        <v>1475</v>
      </c>
      <c r="D1418" s="2" t="str">
        <f t="shared" si="21"/>
        <v>Error?</v>
      </c>
    </row>
    <row r="1419" spans="1:4" x14ac:dyDescent="0.2">
      <c r="A1419" s="5">
        <v>1358</v>
      </c>
      <c r="B1419" s="1831">
        <f>'Expenditures 15-22'!D241</f>
        <v>10686</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12161</v>
      </c>
      <c r="C1421" s="2" t="s">
        <v>569</v>
      </c>
      <c r="D1421" s="2" t="str">
        <f t="shared" si="21"/>
        <v>Error?</v>
      </c>
    </row>
    <row r="1422" spans="1:4" x14ac:dyDescent="0.2">
      <c r="A1422" s="5">
        <v>1361</v>
      </c>
      <c r="B1422" s="1831">
        <f>'Expenditures 15-22'!D245</f>
        <v>276</v>
      </c>
      <c r="D1422" s="2" t="str">
        <f t="shared" si="21"/>
        <v>Error?</v>
      </c>
    </row>
    <row r="1423" spans="1:4" x14ac:dyDescent="0.2">
      <c r="A1423" s="5">
        <v>1362</v>
      </c>
      <c r="B1423" s="1831">
        <f>'Expenditures 15-22'!D246</f>
        <v>6235</v>
      </c>
      <c r="D1423" s="2" t="str">
        <f t="shared" si="21"/>
        <v>Error?</v>
      </c>
    </row>
    <row r="1424" spans="1:4" x14ac:dyDescent="0.2">
      <c r="A1424" s="5">
        <v>1363</v>
      </c>
      <c r="B1424" s="1831">
        <f>'Expenditures 15-22'!D257</f>
        <v>6511</v>
      </c>
      <c r="C1424" s="2" t="s">
        <v>569</v>
      </c>
      <c r="D1424" s="2" t="str">
        <f t="shared" si="21"/>
        <v>Error?</v>
      </c>
    </row>
    <row r="1425" spans="1:4" x14ac:dyDescent="0.2">
      <c r="A1425" s="5">
        <v>1364</v>
      </c>
      <c r="B1425" s="1831">
        <f>'Expenditures 15-22'!D259</f>
        <v>31301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31301</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14210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72652</v>
      </c>
      <c r="D1431" s="2" t="str">
        <f t="shared" si="21"/>
        <v>Error?</v>
      </c>
    </row>
    <row r="1432" spans="1:4" x14ac:dyDescent="0.2">
      <c r="A1432" s="5">
        <v>1371</v>
      </c>
      <c r="B1432" s="1831">
        <f>'Expenditures 15-22'!D267</f>
        <v>46697</v>
      </c>
      <c r="D1432" s="2" t="str">
        <f t="shared" si="21"/>
        <v>Error?</v>
      </c>
    </row>
    <row r="1433" spans="1:4" x14ac:dyDescent="0.2">
      <c r="A1433" s="5">
        <v>1372</v>
      </c>
      <c r="B1433" s="1831">
        <f>'Expenditures 15-22'!D268</f>
        <v>1827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135386</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15402</v>
      </c>
      <c r="D1442" s="2" t="str">
        <f t="shared" si="21"/>
        <v>Error?</v>
      </c>
    </row>
    <row r="1443" spans="1:4" x14ac:dyDescent="0.2">
      <c r="A1443" s="10">
        <v>1382</v>
      </c>
      <c r="B1443" s="1831"/>
      <c r="D1443" s="2" t="str">
        <f t="shared" si="21"/>
        <v>OK</v>
      </c>
    </row>
    <row r="1444" spans="1:4" x14ac:dyDescent="0.2">
      <c r="A1444" s="5">
        <v>1383</v>
      </c>
      <c r="B1444" s="1831">
        <f>'Expenditures 15-22'!D277</f>
        <v>15402</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203605</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335563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2882</v>
      </c>
      <c r="C1471" s="2" t="s">
        <v>569</v>
      </c>
      <c r="D1471" s="2" t="str">
        <f t="shared" ref="D1471:D1534" si="22">IF(ISBLANK(B1471),"OK",IF(A1471-B1471=0,"OK","Error?"))</f>
        <v>Error?</v>
      </c>
    </row>
    <row r="1472" spans="1:4" x14ac:dyDescent="0.2">
      <c r="A1472" s="5">
        <v>1411</v>
      </c>
      <c r="B1472" s="1831">
        <f>'Expenditures 15-22'!K223</f>
        <v>6994</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131958</v>
      </c>
      <c r="C1474" s="2" t="s">
        <v>569</v>
      </c>
      <c r="D1474" s="2" t="str">
        <f t="shared" si="22"/>
        <v>Error?</v>
      </c>
    </row>
    <row r="1475" spans="1:4" x14ac:dyDescent="0.2">
      <c r="A1475" s="5">
        <v>1414</v>
      </c>
      <c r="B1475" s="1831">
        <f>'Expenditures 15-22'!K232</f>
        <v>705</v>
      </c>
      <c r="C1475" s="2" t="s">
        <v>569</v>
      </c>
      <c r="D1475" s="2" t="str">
        <f t="shared" si="22"/>
        <v>Error?</v>
      </c>
    </row>
    <row r="1476" spans="1:4" x14ac:dyDescent="0.2">
      <c r="A1476" s="5">
        <v>1415</v>
      </c>
      <c r="B1476" s="1831">
        <f>'Expenditures 15-22'!K233</f>
        <v>883</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1256</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2844</v>
      </c>
      <c r="C1481" s="2" t="s">
        <v>569</v>
      </c>
      <c r="D1481" s="2" t="str">
        <f t="shared" si="22"/>
        <v>Error?</v>
      </c>
    </row>
    <row r="1482" spans="1:4" x14ac:dyDescent="0.2">
      <c r="A1482" s="5">
        <v>1421</v>
      </c>
      <c r="B1482" s="1831">
        <f>'Expenditures 15-22'!K240</f>
        <v>1475</v>
      </c>
      <c r="C1482" s="2" t="s">
        <v>569</v>
      </c>
      <c r="D1482" s="2" t="str">
        <f t="shared" si="22"/>
        <v>Error?</v>
      </c>
    </row>
    <row r="1483" spans="1:4" x14ac:dyDescent="0.2">
      <c r="A1483" s="5">
        <v>1422</v>
      </c>
      <c r="B1483" s="1831">
        <f>'Expenditures 15-22'!K241</f>
        <v>10686</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12161</v>
      </c>
      <c r="C1485" s="2" t="s">
        <v>569</v>
      </c>
      <c r="D1485" s="2" t="str">
        <f t="shared" si="22"/>
        <v>Error?</v>
      </c>
    </row>
    <row r="1486" spans="1:4" x14ac:dyDescent="0.2">
      <c r="A1486" s="5">
        <v>1425</v>
      </c>
      <c r="B1486" s="1831">
        <f>'Expenditures 15-22'!K245</f>
        <v>276</v>
      </c>
      <c r="C1486" s="2" t="s">
        <v>569</v>
      </c>
      <c r="D1486" s="2" t="str">
        <f t="shared" si="22"/>
        <v>Error?</v>
      </c>
    </row>
    <row r="1487" spans="1:4" x14ac:dyDescent="0.2">
      <c r="A1487" s="5">
        <v>1426</v>
      </c>
      <c r="B1487" s="1831">
        <f>'Expenditures 15-22'!K246</f>
        <v>6235</v>
      </c>
      <c r="C1487" s="2" t="s">
        <v>569</v>
      </c>
      <c r="D1487" s="2" t="str">
        <f t="shared" si="22"/>
        <v>Error?</v>
      </c>
    </row>
    <row r="1488" spans="1:4" x14ac:dyDescent="0.2">
      <c r="A1488" s="5">
        <v>1427</v>
      </c>
      <c r="B1488" s="1831">
        <f>'Expenditures 15-22'!K257</f>
        <v>6511</v>
      </c>
      <c r="C1488" s="2" t="s">
        <v>569</v>
      </c>
      <c r="D1488" s="2" t="str">
        <f t="shared" si="22"/>
        <v>Error?</v>
      </c>
    </row>
    <row r="1489" spans="1:4" x14ac:dyDescent="0.2">
      <c r="A1489" s="5">
        <v>1428</v>
      </c>
      <c r="B1489" s="1831">
        <f>'Expenditures 15-22'!K259</f>
        <v>31301</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31301</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14210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72652</v>
      </c>
      <c r="C1495" s="2" t="s">
        <v>569</v>
      </c>
      <c r="D1495" s="2" t="str">
        <f t="shared" si="22"/>
        <v>Error?</v>
      </c>
    </row>
    <row r="1496" spans="1:4" x14ac:dyDescent="0.2">
      <c r="A1496" s="5">
        <v>1435</v>
      </c>
      <c r="B1496" s="1831">
        <f>'Expenditures 15-22'!K267</f>
        <v>46697</v>
      </c>
      <c r="C1496" s="2" t="s">
        <v>569</v>
      </c>
      <c r="D1496" s="2" t="str">
        <f t="shared" si="22"/>
        <v>Error?</v>
      </c>
    </row>
    <row r="1497" spans="1:4" x14ac:dyDescent="0.2">
      <c r="A1497" s="5">
        <v>1436</v>
      </c>
      <c r="B1497" s="1831">
        <f>'Expenditures 15-22'!K268</f>
        <v>1827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135386</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15402</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15402</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203605</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335563</v>
      </c>
      <c r="C1517" s="2" t="s">
        <v>569</v>
      </c>
      <c r="D1517" s="2" t="str">
        <f t="shared" si="22"/>
        <v>Error?</v>
      </c>
    </row>
    <row r="1518" spans="1:4" x14ac:dyDescent="0.2">
      <c r="A1518" s="5">
        <v>1457</v>
      </c>
      <c r="B1518" s="1831">
        <f>'Expenditures 15-22'!K296</f>
        <v>93858</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298591</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686016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663813</v>
      </c>
      <c r="C1630" s="2" t="s">
        <v>569</v>
      </c>
      <c r="D1630" s="2" t="str">
        <f t="shared" si="24"/>
        <v>Error?</v>
      </c>
    </row>
    <row r="1631" spans="1:4" x14ac:dyDescent="0.2">
      <c r="A1631" s="5">
        <v>1570</v>
      </c>
      <c r="B1631" s="1831">
        <f>'Acct Summary 7-8'!D79</f>
        <v>1049918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1071267</v>
      </c>
      <c r="C1644" s="2" t="s">
        <v>569</v>
      </c>
      <c r="D1644" s="2" t="str">
        <f t="shared" si="24"/>
        <v>Error?</v>
      </c>
    </row>
    <row r="1645" spans="1:4" x14ac:dyDescent="0.2">
      <c r="A1645" s="5">
        <v>1584</v>
      </c>
      <c r="B1645" s="1831">
        <f>'Acct Summary 7-8'!E79</f>
        <v>397217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347480</v>
      </c>
      <c r="C1658" s="2" t="s">
        <v>569</v>
      </c>
      <c r="D1658" s="2" t="str">
        <f t="shared" si="24"/>
        <v>Error?</v>
      </c>
    </row>
    <row r="1659" spans="1:4" x14ac:dyDescent="0.2">
      <c r="A1659" s="5">
        <v>1598</v>
      </c>
      <c r="B1659" s="1831">
        <f>'Acct Summary 7-8'!F79</f>
        <v>449223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356199</v>
      </c>
      <c r="C1672" s="2" t="s">
        <v>569</v>
      </c>
      <c r="D1672" s="2" t="str">
        <f t="shared" si="25"/>
        <v>Error?</v>
      </c>
    </row>
    <row r="1673" spans="1:4" x14ac:dyDescent="0.2">
      <c r="A1673" s="5">
        <v>1612</v>
      </c>
      <c r="B1673" s="1831">
        <f>'Acct Summary 7-8'!G79</f>
        <v>613229</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707087</v>
      </c>
      <c r="C1686" s="2" t="s">
        <v>569</v>
      </c>
      <c r="D1686" s="2" t="str">
        <f t="shared" si="25"/>
        <v>Error?</v>
      </c>
    </row>
    <row r="1687" spans="1:4" x14ac:dyDescent="0.2">
      <c r="A1687" s="5">
        <v>1626</v>
      </c>
      <c r="B1687" s="1831">
        <f>'Acct Summary 7-8'!H79</f>
        <v>276600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575191</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5700252</v>
      </c>
      <c r="C1744" s="2" t="s">
        <v>569</v>
      </c>
      <c r="D1744" s="2" t="str">
        <f t="shared" si="26"/>
        <v>Error?</v>
      </c>
    </row>
    <row r="1745" spans="1:5" x14ac:dyDescent="0.2">
      <c r="A1745" s="5">
        <v>1684</v>
      </c>
      <c r="B1745" s="1831">
        <f>'Tax Sched 23'!B5</f>
        <v>922222</v>
      </c>
      <c r="C1745" s="2" t="s">
        <v>569</v>
      </c>
      <c r="D1745" s="2" t="str">
        <f t="shared" si="26"/>
        <v>Error?</v>
      </c>
    </row>
    <row r="1746" spans="1:5" x14ac:dyDescent="0.2">
      <c r="A1746" s="5">
        <v>1685</v>
      </c>
      <c r="B1746" s="1831">
        <f>'Tax Sched 23'!B6</f>
        <v>1005602</v>
      </c>
      <c r="C1746" s="2" t="s">
        <v>569</v>
      </c>
      <c r="D1746" s="2" t="str">
        <f t="shared" si="26"/>
        <v>Error?</v>
      </c>
    </row>
    <row r="1747" spans="1:5" x14ac:dyDescent="0.2">
      <c r="A1747" s="5">
        <v>1686</v>
      </c>
      <c r="B1747" s="1831">
        <f>'Tax Sched 23'!B7</f>
        <v>335355</v>
      </c>
      <c r="C1747" s="2" t="s">
        <v>569</v>
      </c>
      <c r="D1747" s="2" t="str">
        <f t="shared" si="26"/>
        <v>Error?</v>
      </c>
    </row>
    <row r="1748" spans="1:5" x14ac:dyDescent="0.2">
      <c r="A1748" s="5">
        <v>1687</v>
      </c>
      <c r="B1748" s="1831">
        <f>'Tax Sched 23'!B8</f>
        <v>238596</v>
      </c>
      <c r="C1748" s="2" t="s">
        <v>569</v>
      </c>
      <c r="D1748" s="2" t="str">
        <f t="shared" si="26"/>
        <v>Error?</v>
      </c>
    </row>
    <row r="1749" spans="1:5" x14ac:dyDescent="0.2">
      <c r="A1749" s="5">
        <v>1688</v>
      </c>
      <c r="B1749" s="1831">
        <f>'Tax Sched 23'!B10</f>
        <v>83836</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625787</v>
      </c>
      <c r="C1752" s="2" t="s">
        <v>569</v>
      </c>
      <c r="D1752" s="2" t="str">
        <f t="shared" si="26"/>
        <v>Error?</v>
      </c>
    </row>
    <row r="1753" spans="1:5" x14ac:dyDescent="0.2">
      <c r="A1753" s="5">
        <v>1692</v>
      </c>
      <c r="B1753" s="1831">
        <f>'Tax Sched 23'!B12</f>
        <v>83836</v>
      </c>
      <c r="C1753" s="2" t="s">
        <v>569</v>
      </c>
      <c r="D1753" s="2" t="str">
        <f t="shared" si="26"/>
        <v>Error?</v>
      </c>
    </row>
    <row r="1754" spans="1:5" x14ac:dyDescent="0.2">
      <c r="A1754" s="5">
        <v>1693</v>
      </c>
      <c r="B1754" s="1831">
        <f>'Tax Sched 23'!B14</f>
        <v>67069</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9337216</v>
      </c>
      <c r="C1759" s="2" t="s">
        <v>569</v>
      </c>
      <c r="D1759" s="2" t="str">
        <f t="shared" si="26"/>
        <v>Error?</v>
      </c>
    </row>
    <row r="1760" spans="1:5" x14ac:dyDescent="0.2">
      <c r="A1760" s="5">
        <v>1699</v>
      </c>
      <c r="B1760" s="1831">
        <f>'Tax Sched 23'!D4</f>
        <v>5022125</v>
      </c>
      <c r="C1760" s="2" t="s">
        <v>569</v>
      </c>
      <c r="D1760" s="2" t="str">
        <f t="shared" si="26"/>
        <v>Error?</v>
      </c>
    </row>
    <row r="1761" spans="1:7" x14ac:dyDescent="0.2">
      <c r="A1761" s="5">
        <v>1700</v>
      </c>
      <c r="B1761" s="1831">
        <f>'Tax Sched 23'!D5</f>
        <v>812525</v>
      </c>
      <c r="C1761" s="2" t="s">
        <v>569</v>
      </c>
      <c r="D1761" s="2" t="str">
        <f t="shared" si="26"/>
        <v>Error?</v>
      </c>
    </row>
    <row r="1762" spans="1:7" s="8" customFormat="1" x14ac:dyDescent="0.2">
      <c r="A1762" s="5">
        <v>1701</v>
      </c>
      <c r="B1762" s="1831">
        <f>'Tax Sched 23'!D6</f>
        <v>889182</v>
      </c>
      <c r="C1762" s="2" t="s">
        <v>569</v>
      </c>
      <c r="D1762" s="2" t="str">
        <f t="shared" si="26"/>
        <v>Error?</v>
      </c>
      <c r="E1762" s="9"/>
      <c r="G1762"/>
    </row>
    <row r="1763" spans="1:7" x14ac:dyDescent="0.2">
      <c r="A1763" s="5">
        <v>1702</v>
      </c>
      <c r="B1763" s="1831">
        <f>'Tax Sched 23'!D7</f>
        <v>295465</v>
      </c>
      <c r="C1763" s="2" t="s">
        <v>569</v>
      </c>
      <c r="D1763" s="2" t="str">
        <f t="shared" si="26"/>
        <v>Error?</v>
      </c>
    </row>
    <row r="1764" spans="1:7" x14ac:dyDescent="0.2">
      <c r="A1764" s="5">
        <v>1703</v>
      </c>
      <c r="B1764" s="1831">
        <f>'Tax Sched 23'!D8</f>
        <v>210947</v>
      </c>
      <c r="C1764" s="2" t="s">
        <v>569</v>
      </c>
      <c r="D1764" s="2" t="str">
        <f t="shared" si="26"/>
        <v>Error?</v>
      </c>
    </row>
    <row r="1765" spans="1:7" x14ac:dyDescent="0.2">
      <c r="A1765" s="5">
        <v>1704</v>
      </c>
      <c r="B1765" s="1831">
        <f>'Tax Sched 23'!D10</f>
        <v>73863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548369</v>
      </c>
      <c r="C1768" s="2" t="s">
        <v>569</v>
      </c>
      <c r="D1768" s="2" t="str">
        <f t="shared" si="26"/>
        <v>Error?</v>
      </c>
    </row>
    <row r="1769" spans="1:7" x14ac:dyDescent="0.2">
      <c r="A1769" s="5">
        <v>1708</v>
      </c>
      <c r="B1769" s="1831">
        <f>'Tax Sched 23'!D12</f>
        <v>73863</v>
      </c>
      <c r="C1769" s="2" t="s">
        <v>569</v>
      </c>
      <c r="D1769" s="2" t="str">
        <f t="shared" si="26"/>
        <v>Error?</v>
      </c>
    </row>
    <row r="1770" spans="1:7" x14ac:dyDescent="0.2">
      <c r="A1770" s="5">
        <v>1709</v>
      </c>
      <c r="B1770" s="1831">
        <f>'Tax Sched 23'!D14</f>
        <v>59092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8228000</v>
      </c>
      <c r="C1775" s="2" t="s">
        <v>569</v>
      </c>
      <c r="D1775" s="2" t="str">
        <f t="shared" si="26"/>
        <v>Error?</v>
      </c>
    </row>
    <row r="1776" spans="1:7" x14ac:dyDescent="0.2">
      <c r="A1776" s="5">
        <v>1715</v>
      </c>
      <c r="B1776" s="1831">
        <f>'Tax Sched 23'!C4</f>
        <v>678127</v>
      </c>
      <c r="D1776" s="2" t="str">
        <f t="shared" si="26"/>
        <v>Error?</v>
      </c>
    </row>
    <row r="1777" spans="1:4" x14ac:dyDescent="0.2">
      <c r="A1777" s="5">
        <v>1716</v>
      </c>
      <c r="B1777" s="1831">
        <f>'Tax Sched 23'!C5</f>
        <v>109697</v>
      </c>
      <c r="D1777" s="2" t="str">
        <f t="shared" si="26"/>
        <v>Error?</v>
      </c>
    </row>
    <row r="1778" spans="1:4" x14ac:dyDescent="0.2">
      <c r="A1778" s="5">
        <v>1717</v>
      </c>
      <c r="B1778" s="1831">
        <f>'Tax Sched 23'!C6</f>
        <v>116420</v>
      </c>
      <c r="D1778" s="2" t="str">
        <f t="shared" si="26"/>
        <v>Error?</v>
      </c>
    </row>
    <row r="1779" spans="1:4" x14ac:dyDescent="0.2">
      <c r="A1779" s="5">
        <v>1718</v>
      </c>
      <c r="B1779" s="1831">
        <f>'Tax Sched 23'!C7</f>
        <v>39890</v>
      </c>
      <c r="D1779" s="2" t="str">
        <f t="shared" si="26"/>
        <v>Error?</v>
      </c>
    </row>
    <row r="1780" spans="1:4" x14ac:dyDescent="0.2">
      <c r="A1780" s="5">
        <v>1719</v>
      </c>
      <c r="B1780" s="1831">
        <f>'Tax Sched 23'!C8</f>
        <v>27649</v>
      </c>
      <c r="D1780" s="2" t="str">
        <f t="shared" si="26"/>
        <v>Error?</v>
      </c>
    </row>
    <row r="1781" spans="1:4" x14ac:dyDescent="0.2">
      <c r="A1781" s="5">
        <v>1720</v>
      </c>
      <c r="B1781" s="1831">
        <f>'Tax Sched 23'!C10</f>
        <v>9973</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77418</v>
      </c>
      <c r="D1784" s="2" t="str">
        <f t="shared" si="26"/>
        <v>Error?</v>
      </c>
    </row>
    <row r="1785" spans="1:4" x14ac:dyDescent="0.2">
      <c r="A1785" s="5">
        <v>1724</v>
      </c>
      <c r="B1785" s="1831">
        <f>'Tax Sched 23'!C12</f>
        <v>9973</v>
      </c>
      <c r="D1785" s="2" t="str">
        <f t="shared" si="26"/>
        <v>Error?</v>
      </c>
    </row>
    <row r="1786" spans="1:4" x14ac:dyDescent="0.2">
      <c r="A1786" s="5">
        <v>1725</v>
      </c>
      <c r="B1786" s="1831">
        <f>'Tax Sched 23'!C14</f>
        <v>7977</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1109216</v>
      </c>
      <c r="C1791" s="2" t="s">
        <v>569</v>
      </c>
      <c r="D1791" s="2" t="str">
        <f t="shared" ref="D1791:D1854" si="27">IF(ISBLANK(B1791),"OK",IF(A1791-B1791=0,"OK","Error?"))</f>
        <v>Error?</v>
      </c>
    </row>
    <row r="1792" spans="1:4" x14ac:dyDescent="0.2">
      <c r="A1792" s="5">
        <v>1731</v>
      </c>
      <c r="B1792" s="1831">
        <f>'Tax Sched 23'!F4</f>
        <v>5394183</v>
      </c>
      <c r="C1792" s="2" t="s">
        <v>569</v>
      </c>
      <c r="D1792" s="2" t="str">
        <f t="shared" si="27"/>
        <v>Error?</v>
      </c>
    </row>
    <row r="1793" spans="1:4" x14ac:dyDescent="0.2">
      <c r="A1793" s="5">
        <v>1732</v>
      </c>
      <c r="B1793" s="1831">
        <f>'Tax Sched 23'!F5</f>
        <v>939668</v>
      </c>
      <c r="C1793" s="2" t="s">
        <v>569</v>
      </c>
      <c r="D1793" s="2" t="str">
        <f t="shared" si="27"/>
        <v>Error?</v>
      </c>
    </row>
    <row r="1794" spans="1:4" x14ac:dyDescent="0.2">
      <c r="A1794" s="5">
        <v>1733</v>
      </c>
      <c r="B1794" s="1831">
        <f>'Tax Sched 23'!F6</f>
        <v>865866</v>
      </c>
      <c r="C1794" s="2" t="s">
        <v>569</v>
      </c>
      <c r="D1794" s="2" t="str">
        <f t="shared" si="27"/>
        <v>Error?</v>
      </c>
    </row>
    <row r="1795" spans="1:4" x14ac:dyDescent="0.2">
      <c r="A1795" s="5">
        <v>1734</v>
      </c>
      <c r="B1795" s="1831">
        <f>'Tax Sched 23'!F7</f>
        <v>317305</v>
      </c>
      <c r="C1795" s="2" t="s">
        <v>569</v>
      </c>
      <c r="D1795" s="2" t="str">
        <f t="shared" si="27"/>
        <v>Error?</v>
      </c>
    </row>
    <row r="1796" spans="1:4" x14ac:dyDescent="0.2">
      <c r="A1796" s="5">
        <v>1735</v>
      </c>
      <c r="B1796" s="1831">
        <f>'Tax Sched 23'!F8</f>
        <v>221596</v>
      </c>
      <c r="C1796" s="2" t="s">
        <v>569</v>
      </c>
      <c r="D1796" s="2" t="str">
        <f t="shared" si="27"/>
        <v>Error?</v>
      </c>
    </row>
    <row r="1797" spans="1:4" x14ac:dyDescent="0.2">
      <c r="A1797" s="5">
        <v>1736</v>
      </c>
      <c r="B1797" s="1831">
        <f>'Tax Sched 23'!F10</f>
        <v>79326</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620343</v>
      </c>
      <c r="C1800" s="2" t="s">
        <v>569</v>
      </c>
      <c r="D1800" s="2" t="str">
        <f t="shared" si="27"/>
        <v>Error?</v>
      </c>
    </row>
    <row r="1801" spans="1:4" x14ac:dyDescent="0.2">
      <c r="A1801" s="5">
        <v>1740</v>
      </c>
      <c r="B1801" s="1831">
        <f>'Tax Sched 23'!F12</f>
        <v>79326</v>
      </c>
      <c r="C1801" s="2" t="s">
        <v>569</v>
      </c>
      <c r="D1801" s="2" t="str">
        <f t="shared" si="27"/>
        <v>Error?</v>
      </c>
    </row>
    <row r="1802" spans="1:4" x14ac:dyDescent="0.2">
      <c r="A1802" s="5">
        <v>1741</v>
      </c>
      <c r="B1802" s="1831">
        <f>'Tax Sched 23'!F14</f>
        <v>63463</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8837679</v>
      </c>
      <c r="C1807" s="2" t="s">
        <v>569</v>
      </c>
      <c r="D1807" s="2" t="str">
        <f t="shared" si="27"/>
        <v>Error?</v>
      </c>
    </row>
    <row r="1808" spans="1:4" x14ac:dyDescent="0.2">
      <c r="A1808" s="5">
        <v>1747</v>
      </c>
      <c r="B1808" s="1831">
        <f>'Tax Sched 23'!E4</f>
        <v>6072310</v>
      </c>
      <c r="D1808" s="2" t="str">
        <f t="shared" si="27"/>
        <v>Error?</v>
      </c>
    </row>
    <row r="1809" spans="1:4" x14ac:dyDescent="0.2">
      <c r="A1809" s="5">
        <v>1748</v>
      </c>
      <c r="B1809" s="1831">
        <f>'Tax Sched 23'!E5</f>
        <v>1049365</v>
      </c>
      <c r="D1809" s="2" t="str">
        <f t="shared" si="27"/>
        <v>Error?</v>
      </c>
    </row>
    <row r="1810" spans="1:4" x14ac:dyDescent="0.2">
      <c r="A1810" s="5">
        <v>1749</v>
      </c>
      <c r="B1810" s="1831">
        <f>'Tax Sched 23'!E6</f>
        <v>982286</v>
      </c>
      <c r="D1810" s="2" t="str">
        <f t="shared" si="27"/>
        <v>Error?</v>
      </c>
    </row>
    <row r="1811" spans="1:4" x14ac:dyDescent="0.2">
      <c r="A1811" s="5">
        <v>1750</v>
      </c>
      <c r="B1811" s="1831">
        <f>'Tax Sched 23'!E7</f>
        <v>357195</v>
      </c>
      <c r="D1811" s="2" t="str">
        <f t="shared" si="27"/>
        <v>Error?</v>
      </c>
    </row>
    <row r="1812" spans="1:4" x14ac:dyDescent="0.2">
      <c r="A1812" s="5">
        <v>1751</v>
      </c>
      <c r="B1812" s="1831">
        <f>'Tax Sched 23'!E8</f>
        <v>249245</v>
      </c>
      <c r="D1812" s="2" t="str">
        <f t="shared" si="27"/>
        <v>Error?</v>
      </c>
    </row>
    <row r="1813" spans="1:4" x14ac:dyDescent="0.2">
      <c r="A1813" s="5">
        <v>1752</v>
      </c>
      <c r="B1813" s="1831">
        <f>'Tax Sched 23'!E10</f>
        <v>89299</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697761</v>
      </c>
      <c r="D1816" s="2" t="str">
        <f t="shared" si="27"/>
        <v>Error?</v>
      </c>
    </row>
    <row r="1817" spans="1:4" x14ac:dyDescent="0.2">
      <c r="A1817" s="5">
        <v>1756</v>
      </c>
      <c r="B1817" s="1831">
        <f>'Tax Sched 23'!E12</f>
        <v>89299</v>
      </c>
      <c r="D1817" s="2" t="str">
        <f t="shared" si="27"/>
        <v>Error?</v>
      </c>
    </row>
    <row r="1818" spans="1:4" x14ac:dyDescent="0.2">
      <c r="A1818" s="5">
        <v>1757</v>
      </c>
      <c r="B1818" s="1831">
        <f>'Tax Sched 23'!E14</f>
        <v>71440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9946895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3855000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67069</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67069</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67069</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26017911</v>
      </c>
      <c r="D2009" s="2" t="str">
        <f t="shared" si="30"/>
        <v>Error?</v>
      </c>
    </row>
    <row r="2010" spans="1:4" x14ac:dyDescent="0.2">
      <c r="A2010" s="5">
        <v>1949</v>
      </c>
      <c r="B2010" s="1831">
        <f>'Cap Outlay Deprec 26'!C10</f>
        <v>1326597</v>
      </c>
      <c r="D2010" s="2" t="str">
        <f t="shared" si="30"/>
        <v>Error?</v>
      </c>
    </row>
    <row r="2011" spans="1:4" x14ac:dyDescent="0.2">
      <c r="A2011" s="5">
        <v>1950</v>
      </c>
      <c r="B2011" s="1831">
        <f>'Cap Outlay Deprec 26'!C12</f>
        <v>5141018</v>
      </c>
      <c r="D2011" s="2" t="str">
        <f t="shared" si="30"/>
        <v>Error?</v>
      </c>
    </row>
    <row r="2012" spans="1:4" x14ac:dyDescent="0.2">
      <c r="A2012" s="5">
        <v>1951</v>
      </c>
      <c r="B2012" s="1831">
        <f>'Cap Outlay Deprec 26'!C13</f>
        <v>1699159</v>
      </c>
      <c r="D2012" s="2" t="str">
        <f t="shared" si="30"/>
        <v>Error?</v>
      </c>
    </row>
    <row r="2013" spans="1:4" x14ac:dyDescent="0.2">
      <c r="A2013" s="5">
        <v>1952</v>
      </c>
      <c r="B2013" s="1831">
        <f>'Cap Outlay Deprec 26'!C16</f>
        <v>34184685</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25223</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75131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26017911</v>
      </c>
      <c r="C2027" s="2" t="s">
        <v>569</v>
      </c>
      <c r="D2027" s="2" t="str">
        <f t="shared" si="30"/>
        <v>Error?</v>
      </c>
    </row>
    <row r="2028" spans="1:4" x14ac:dyDescent="0.2">
      <c r="A2028" s="5">
        <v>1967</v>
      </c>
      <c r="B2028" s="1831">
        <f>'Cap Outlay Deprec 26'!F10</f>
        <v>1326597</v>
      </c>
      <c r="C2028" s="2" t="s">
        <v>569</v>
      </c>
      <c r="D2028" s="2" t="str">
        <f t="shared" si="30"/>
        <v>Error?</v>
      </c>
    </row>
    <row r="2029" spans="1:4" x14ac:dyDescent="0.2">
      <c r="A2029" s="5">
        <v>1968</v>
      </c>
      <c r="B2029" s="1831">
        <f>'Cap Outlay Deprec 26'!F12</f>
        <v>5166241</v>
      </c>
      <c r="C2029" s="2" t="s">
        <v>569</v>
      </c>
      <c r="D2029" s="2" t="str">
        <f t="shared" si="30"/>
        <v>Error?</v>
      </c>
    </row>
    <row r="2030" spans="1:4" x14ac:dyDescent="0.2">
      <c r="A2030" s="5">
        <v>1969</v>
      </c>
      <c r="B2030" s="1831">
        <f>'Cap Outlay Deprec 26'!F13</f>
        <v>1699159</v>
      </c>
      <c r="C2030" s="2" t="s">
        <v>569</v>
      </c>
      <c r="D2030" s="2" t="str">
        <f t="shared" si="30"/>
        <v>Error?</v>
      </c>
    </row>
    <row r="2031" spans="1:4" x14ac:dyDescent="0.2">
      <c r="A2031" s="5">
        <v>1970</v>
      </c>
      <c r="B2031" s="1831">
        <f>'Cap Outlay Deprec 26'!F16</f>
        <v>34259816</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17394283</v>
      </c>
      <c r="D2033" s="2" t="str">
        <f t="shared" si="30"/>
        <v>Error?</v>
      </c>
    </row>
    <row r="2034" spans="1:4" x14ac:dyDescent="0.2">
      <c r="A2034" s="5">
        <v>1973</v>
      </c>
      <c r="B2034" s="1831">
        <f>'Cap Outlay Deprec 26'!H10</f>
        <v>592955</v>
      </c>
      <c r="D2034" s="2" t="str">
        <f t="shared" si="30"/>
        <v>Error?</v>
      </c>
    </row>
    <row r="2035" spans="1:4" x14ac:dyDescent="0.2">
      <c r="A2035" s="5">
        <v>1974</v>
      </c>
      <c r="B2035" s="1831">
        <f>'Cap Outlay Deprec 26'!H12</f>
        <v>4802156</v>
      </c>
      <c r="D2035" s="2" t="str">
        <f t="shared" si="30"/>
        <v>Error?</v>
      </c>
    </row>
    <row r="2036" spans="1:4" x14ac:dyDescent="0.2">
      <c r="A2036" s="5">
        <v>1975</v>
      </c>
      <c r="B2036" s="1831">
        <f>'Cap Outlay Deprec 26'!H13</f>
        <v>1684115</v>
      </c>
      <c r="D2036" s="2" t="str">
        <f t="shared" si="30"/>
        <v>Error?</v>
      </c>
    </row>
    <row r="2037" spans="1:4" x14ac:dyDescent="0.2">
      <c r="A2037" s="5">
        <v>1976</v>
      </c>
      <c r="B2037" s="1831">
        <f>'Cap Outlay Deprec 26'!H16</f>
        <v>24473509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272569</v>
      </c>
      <c r="D2039" s="2" t="str">
        <f t="shared" si="30"/>
        <v>Error?</v>
      </c>
    </row>
    <row r="2040" spans="1:4" x14ac:dyDescent="0.2">
      <c r="A2040" s="5">
        <v>1979</v>
      </c>
      <c r="B2040" s="1831">
        <f>'Cap Outlay Deprec 26'!I10</f>
        <v>63017</v>
      </c>
      <c r="D2040" s="2" t="str">
        <f t="shared" si="30"/>
        <v>Error?</v>
      </c>
    </row>
    <row r="2041" spans="1:4" x14ac:dyDescent="0.2">
      <c r="A2041" s="5">
        <v>1980</v>
      </c>
      <c r="B2041" s="1831">
        <f>'Cap Outlay Deprec 26'!I12</f>
        <v>109639</v>
      </c>
      <c r="D2041" s="2" t="str">
        <f t="shared" si="30"/>
        <v>Error?</v>
      </c>
    </row>
    <row r="2042" spans="1:4" x14ac:dyDescent="0.2">
      <c r="A2042" s="5">
        <v>1981</v>
      </c>
      <c r="B2042" s="1831">
        <f>'Cap Outlay Deprec 26'!I13</f>
        <v>9316</v>
      </c>
      <c r="D2042" s="2" t="str">
        <f t="shared" si="30"/>
        <v>Error?</v>
      </c>
    </row>
    <row r="2043" spans="1:4" x14ac:dyDescent="0.2">
      <c r="A2043" s="5">
        <v>1982</v>
      </c>
      <c r="B2043" s="1831">
        <f>'Cap Outlay Deprec 26'!I16</f>
        <v>471177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17666852</v>
      </c>
      <c r="C2051" s="2" t="s">
        <v>569</v>
      </c>
      <c r="D2051" s="2" t="str">
        <f t="shared" si="31"/>
        <v>Error?</v>
      </c>
    </row>
    <row r="2052" spans="1:4" x14ac:dyDescent="0.2">
      <c r="A2052" s="5">
        <v>1991</v>
      </c>
      <c r="B2052" s="1831">
        <f>'Cap Outlay Deprec 26'!K10</f>
        <v>655972</v>
      </c>
      <c r="C2052" s="2" t="s">
        <v>569</v>
      </c>
      <c r="D2052" s="2" t="str">
        <f t="shared" si="31"/>
        <v>Error?</v>
      </c>
    </row>
    <row r="2053" spans="1:4" x14ac:dyDescent="0.2">
      <c r="A2053" s="5">
        <v>1992</v>
      </c>
      <c r="B2053" s="1831">
        <f>'Cap Outlay Deprec 26'!K12</f>
        <v>4911795</v>
      </c>
      <c r="C2053" s="2" t="s">
        <v>569</v>
      </c>
      <c r="D2053" s="2" t="str">
        <f t="shared" si="31"/>
        <v>Error?</v>
      </c>
    </row>
    <row r="2054" spans="1:4" x14ac:dyDescent="0.2">
      <c r="A2054" s="5">
        <v>1993</v>
      </c>
      <c r="B2054" s="1831">
        <f>'Cap Outlay Deprec 26'!K13</f>
        <v>1693431</v>
      </c>
      <c r="C2054" s="2" t="s">
        <v>569</v>
      </c>
      <c r="D2054" s="2" t="str">
        <f t="shared" si="31"/>
        <v>Error?</v>
      </c>
    </row>
    <row r="2055" spans="1:4" x14ac:dyDescent="0.2">
      <c r="A2055" s="5">
        <v>1994</v>
      </c>
      <c r="B2055" s="1831">
        <f>'Cap Outlay Deprec 26'!K16</f>
        <v>24944686</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8351059</v>
      </c>
      <c r="C2057" s="2" t="s">
        <v>569</v>
      </c>
      <c r="D2057" s="2" t="str">
        <f t="shared" si="31"/>
        <v>Error?</v>
      </c>
    </row>
    <row r="2058" spans="1:4" x14ac:dyDescent="0.2">
      <c r="A2058" s="5">
        <v>1997</v>
      </c>
      <c r="B2058" s="1831">
        <f>'Cap Outlay Deprec 26'!L10</f>
        <v>670625</v>
      </c>
      <c r="C2058" s="2" t="s">
        <v>569</v>
      </c>
      <c r="D2058" s="2" t="str">
        <f t="shared" si="31"/>
        <v>Error?</v>
      </c>
    </row>
    <row r="2059" spans="1:4" x14ac:dyDescent="0.2">
      <c r="A2059" s="5">
        <v>1998</v>
      </c>
      <c r="B2059" s="1831">
        <f>'Cap Outlay Deprec 26'!L12</f>
        <v>254446</v>
      </c>
      <c r="C2059" s="2" t="s">
        <v>569</v>
      </c>
      <c r="D2059" s="2" t="str">
        <f t="shared" si="31"/>
        <v>Error?</v>
      </c>
    </row>
    <row r="2060" spans="1:4" x14ac:dyDescent="0.2">
      <c r="A2060" s="5">
        <v>1999</v>
      </c>
      <c r="B2060" s="1831">
        <f>'Cap Outlay Deprec 26'!L13</f>
        <v>5728</v>
      </c>
      <c r="C2060" s="2" t="s">
        <v>569</v>
      </c>
      <c r="D2060" s="2" t="str">
        <f t="shared" si="31"/>
        <v>Error?</v>
      </c>
    </row>
    <row r="2061" spans="1:4" x14ac:dyDescent="0.2">
      <c r="A2061" s="5">
        <v>2000</v>
      </c>
      <c r="B2061" s="1831">
        <f>'Cap Outlay Deprec 26'!L16</f>
        <v>9315130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313648</v>
      </c>
      <c r="C2088" s="2" t="s">
        <v>569</v>
      </c>
      <c r="D2088" s="2" t="str">
        <f t="shared" si="31"/>
        <v>Error?</v>
      </c>
    </row>
    <row r="2089" spans="1:4" x14ac:dyDescent="0.2">
      <c r="A2089" s="5">
        <v>2028</v>
      </c>
      <c r="B2089" s="1831">
        <f>'Expenditures 15-22'!K92</f>
        <v>136339</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6830681</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3028027</v>
      </c>
      <c r="C2553" s="2" t="s">
        <v>569</v>
      </c>
      <c r="D2553" s="2" t="str">
        <f t="shared" si="38"/>
        <v>Error?</v>
      </c>
    </row>
    <row r="2554" spans="1:4" x14ac:dyDescent="0.2">
      <c r="A2554" s="5">
        <v>2493</v>
      </c>
      <c r="B2554" s="1831">
        <f>'Acct Summary 7-8'!C7</f>
        <v>882811</v>
      </c>
      <c r="C2554" s="2" t="s">
        <v>569</v>
      </c>
      <c r="D2554" s="2" t="str">
        <f t="shared" si="38"/>
        <v>Error?</v>
      </c>
    </row>
    <row r="2555" spans="1:4" x14ac:dyDescent="0.2">
      <c r="A2555" s="5">
        <v>2494</v>
      </c>
      <c r="B2555" s="1831">
        <f>'Acct Summary 7-8'!C8</f>
        <v>10741519</v>
      </c>
      <c r="C2555" s="2" t="s">
        <v>569</v>
      </c>
      <c r="D2555" s="2" t="str">
        <f t="shared" si="38"/>
        <v>Error?</v>
      </c>
    </row>
    <row r="2556" spans="1:4" x14ac:dyDescent="0.2">
      <c r="A2556" s="5">
        <v>2495</v>
      </c>
      <c r="B2556" s="1831">
        <f>'Acct Summary 7-8'!C12</f>
        <v>7647421</v>
      </c>
      <c r="C2556" s="2" t="s">
        <v>569</v>
      </c>
      <c r="D2556" s="2" t="str">
        <f t="shared" si="38"/>
        <v>Error?</v>
      </c>
    </row>
    <row r="2557" spans="1:4" x14ac:dyDescent="0.2">
      <c r="A2557" s="5">
        <v>2496</v>
      </c>
      <c r="B2557" s="1831">
        <f>'Acct Summary 7-8'!C13</f>
        <v>2653337</v>
      </c>
      <c r="C2557" s="2" t="s">
        <v>569</v>
      </c>
      <c r="D2557" s="2" t="str">
        <f t="shared" si="38"/>
        <v>Error?</v>
      </c>
    </row>
    <row r="2558" spans="1:4" x14ac:dyDescent="0.2">
      <c r="A2558" s="5">
        <v>2497</v>
      </c>
      <c r="B2558" s="1831">
        <f>'Acct Summary 7-8'!C14</f>
        <v>3027</v>
      </c>
      <c r="C2558" s="2" t="s">
        <v>569</v>
      </c>
      <c r="D2558" s="2" t="str">
        <f t="shared" si="38"/>
        <v>Error?</v>
      </c>
    </row>
    <row r="2559" spans="1:4" x14ac:dyDescent="0.2">
      <c r="A2559" s="5">
        <v>2498</v>
      </c>
      <c r="B2559" s="1831">
        <f>'Acct Summary 7-8'!C15</f>
        <v>459937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10763722</v>
      </c>
      <c r="C2561" s="2" t="s">
        <v>569</v>
      </c>
      <c r="D2561" s="2" t="str">
        <f t="shared" si="39"/>
        <v>Error?</v>
      </c>
    </row>
    <row r="2562" spans="1:4" x14ac:dyDescent="0.2">
      <c r="A2562" s="5">
        <v>2501</v>
      </c>
      <c r="B2562" s="1831">
        <f>'Acct Summary 7-8'!C20</f>
        <v>-22203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922682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922682</v>
      </c>
      <c r="C2568" s="2" t="s">
        <v>569</v>
      </c>
      <c r="D2568" s="2" t="str">
        <f t="shared" si="39"/>
        <v>Error?</v>
      </c>
    </row>
    <row r="2569" spans="1:4" x14ac:dyDescent="0.2">
      <c r="A2569" s="5">
        <v>2508</v>
      </c>
      <c r="B2569" s="1831">
        <f>'Acct Summary 7-8'!D13</f>
        <v>901333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901333</v>
      </c>
      <c r="C2573" s="2" t="s">
        <v>569</v>
      </c>
      <c r="D2573" s="2" t="str">
        <f t="shared" si="39"/>
        <v>Error?</v>
      </c>
    </row>
    <row r="2574" spans="1:4" x14ac:dyDescent="0.2">
      <c r="A2574" s="5">
        <v>2513</v>
      </c>
      <c r="B2574" s="1831">
        <f>'Acct Summary 7-8'!D20</f>
        <v>21349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336355</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246653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583008</v>
      </c>
      <c r="C2595" s="2" t="s">
        <v>569</v>
      </c>
      <c r="D2595" s="2" t="str">
        <f t="shared" si="39"/>
        <v>Error?</v>
      </c>
    </row>
    <row r="2596" spans="1:4" x14ac:dyDescent="0.2">
      <c r="A2596" s="5">
        <v>2535</v>
      </c>
      <c r="B2596" s="1831">
        <f>'Acct Summary 7-8'!F13</f>
        <v>676032</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676032</v>
      </c>
      <c r="C2600" s="2" t="s">
        <v>569</v>
      </c>
      <c r="D2600" s="2" t="str">
        <f t="shared" si="39"/>
        <v>Error?</v>
      </c>
    </row>
    <row r="2601" spans="1:4" x14ac:dyDescent="0.2">
      <c r="A2601" s="5">
        <v>2540</v>
      </c>
      <c r="B2601" s="1831">
        <f>'Acct Summary 7-8'!F20</f>
        <v>-93024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429421</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429421</v>
      </c>
      <c r="C2606" s="2" t="s">
        <v>569</v>
      </c>
      <c r="D2606" s="2" t="str">
        <f t="shared" si="39"/>
        <v>Error?</v>
      </c>
    </row>
    <row r="2607" spans="1:4" x14ac:dyDescent="0.2">
      <c r="A2607" s="5">
        <v>2546</v>
      </c>
      <c r="B2607" s="1831">
        <f>'Acct Summary 7-8'!G12</f>
        <v>131958</v>
      </c>
      <c r="C2607" s="2" t="s">
        <v>569</v>
      </c>
      <c r="D2607" s="2" t="str">
        <f t="shared" si="39"/>
        <v>Error?</v>
      </c>
    </row>
    <row r="2608" spans="1:4" x14ac:dyDescent="0.2">
      <c r="A2608" s="5">
        <v>2547</v>
      </c>
      <c r="B2608" s="1831">
        <f>'Acct Summary 7-8'!G13</f>
        <v>203605</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335563</v>
      </c>
      <c r="C2612" s="2" t="s">
        <v>569</v>
      </c>
      <c r="D2612" s="2" t="str">
        <f t="shared" si="39"/>
        <v>Error?</v>
      </c>
    </row>
    <row r="2613" spans="1:4" x14ac:dyDescent="0.2">
      <c r="A2613" s="5">
        <v>2552</v>
      </c>
      <c r="B2613" s="1831">
        <f>'Acct Summary 7-8'!G20</f>
        <v>93858</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1005602</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1005602</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1055339</v>
      </c>
      <c r="C2634" s="2" t="s">
        <v>569</v>
      </c>
      <c r="D2634" s="2" t="str">
        <f t="shared" si="40"/>
        <v>Error?</v>
      </c>
    </row>
    <row r="2635" spans="1:4" x14ac:dyDescent="0.2">
      <c r="A2635" s="5">
        <v>2574</v>
      </c>
      <c r="B2635" s="1831">
        <f>'Acct Summary 7-8'!E17</f>
        <v>1055339</v>
      </c>
      <c r="C2635" s="2" t="s">
        <v>569</v>
      </c>
      <c r="D2635" s="2" t="str">
        <f t="shared" si="40"/>
        <v>Error?</v>
      </c>
    </row>
    <row r="2636" spans="1:4" x14ac:dyDescent="0.2">
      <c r="A2636" s="5">
        <v>2575</v>
      </c>
      <c r="B2636" s="1831">
        <f>'Acct Summary 7-8'!E20</f>
        <v>-49737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298591</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298591</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298591</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313648</v>
      </c>
      <c r="C2789" s="2" t="s">
        <v>569</v>
      </c>
      <c r="D2789" s="2" t="str">
        <f t="shared" si="42"/>
        <v>Error?</v>
      </c>
    </row>
    <row r="2790" spans="1:4" x14ac:dyDescent="0.2">
      <c r="A2790" s="5">
        <v>2729</v>
      </c>
      <c r="B2790" s="1831">
        <f>'Expenditures 15-22'!E102</f>
        <v>313648</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1303958</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1354908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39250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272190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1354908</v>
      </c>
      <c r="D2912" s="2" t="str">
        <f t="shared" si="44"/>
        <v>Error?</v>
      </c>
    </row>
    <row r="2913" spans="1:4" x14ac:dyDescent="0.2">
      <c r="A2913" s="5">
        <v>2852</v>
      </c>
      <c r="B2913" s="1831">
        <f>'Assets-Liab 5-6'!I41</f>
        <v>1354908</v>
      </c>
      <c r="C2913" s="2" t="s">
        <v>569</v>
      </c>
      <c r="D2913" s="2" t="str">
        <f t="shared" si="44"/>
        <v>Error?</v>
      </c>
    </row>
    <row r="2914" spans="1:4" x14ac:dyDescent="0.2">
      <c r="A2914" s="5">
        <v>2853</v>
      </c>
      <c r="B2914" s="1831">
        <f>'Assets-Liab 5-6'!L33</f>
        <v>272190</v>
      </c>
      <c r="D2914" s="2" t="str">
        <f t="shared" si="44"/>
        <v>Error?</v>
      </c>
    </row>
    <row r="2915" spans="1:4" x14ac:dyDescent="0.2">
      <c r="A2915" s="10">
        <v>2854</v>
      </c>
      <c r="B2915" s="1831"/>
      <c r="D2915" s="2" t="str">
        <f t="shared" si="44"/>
        <v>OK</v>
      </c>
    </row>
    <row r="2916" spans="1:4" x14ac:dyDescent="0.2">
      <c r="A2916" s="5">
        <v>2855</v>
      </c>
      <c r="B2916" s="1831">
        <f>'Assets-Liab 5-6'!L34</f>
        <v>272190</v>
      </c>
      <c r="C2916" s="2" t="s">
        <v>569</v>
      </c>
      <c r="D2916" s="2" t="str">
        <f t="shared" si="44"/>
        <v>Error?</v>
      </c>
    </row>
    <row r="2917" spans="1:4" x14ac:dyDescent="0.2">
      <c r="A2917" s="5">
        <v>2856</v>
      </c>
      <c r="B2917" s="1831">
        <f>'Assets-Liab 5-6'!L41</f>
        <v>272190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313648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313648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183827</v>
      </c>
      <c r="D3055" s="2" t="str">
        <f t="shared" si="46"/>
        <v>Error?</v>
      </c>
    </row>
    <row r="3056" spans="1:4" x14ac:dyDescent="0.2">
      <c r="A3056" s="5">
        <v>2995</v>
      </c>
      <c r="B3056" s="1831">
        <f>'Expenditures 15-22'!D10</f>
        <v>47240</v>
      </c>
      <c r="D3056" s="2" t="str">
        <f t="shared" si="46"/>
        <v>Error?</v>
      </c>
    </row>
    <row r="3057" spans="1:4" x14ac:dyDescent="0.2">
      <c r="A3057" s="5">
        <v>2996</v>
      </c>
      <c r="B3057" s="1831">
        <f>'Expenditures 15-22'!E10</f>
        <v>945</v>
      </c>
      <c r="D3057" s="2" t="str">
        <f t="shared" si="46"/>
        <v>Error?</v>
      </c>
    </row>
    <row r="3058" spans="1:4" x14ac:dyDescent="0.2">
      <c r="A3058" s="5">
        <v>2997</v>
      </c>
      <c r="B3058" s="1831">
        <f>'Expenditures 15-22'!F10</f>
        <v>103281</v>
      </c>
      <c r="D3058" s="2" t="str">
        <f t="shared" si="46"/>
        <v>Error?</v>
      </c>
    </row>
    <row r="3059" spans="1:4" x14ac:dyDescent="0.2">
      <c r="A3059" s="5">
        <v>2998</v>
      </c>
      <c r="B3059" s="1831">
        <f>'Expenditures 15-22'!G10</f>
        <v>8400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343693</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2556</v>
      </c>
      <c r="D3064" s="2" t="str">
        <f t="shared" si="46"/>
        <v>Error?</v>
      </c>
    </row>
    <row r="3065" spans="1:4" x14ac:dyDescent="0.2">
      <c r="A3065" s="5">
        <v>3004</v>
      </c>
      <c r="B3065" s="1831">
        <f>'Expenditures 15-22'!K219</f>
        <v>2556</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83836</v>
      </c>
      <c r="C3225" s="2" t="s">
        <v>569</v>
      </c>
      <c r="D3225" s="2" t="str">
        <f t="shared" si="49"/>
        <v>Error?</v>
      </c>
    </row>
    <row r="3226" spans="1:4" x14ac:dyDescent="0.2">
      <c r="A3226" s="5">
        <v>3165</v>
      </c>
      <c r="B3226" s="1831">
        <f>'Acct Summary 7-8'!I8</f>
        <v>83836</v>
      </c>
      <c r="C3226" s="2" t="s">
        <v>569</v>
      </c>
      <c r="D3226" s="2" t="str">
        <f t="shared" si="49"/>
        <v>Error?</v>
      </c>
    </row>
    <row r="3227" spans="1:4" x14ac:dyDescent="0.2">
      <c r="A3227" s="5">
        <v>3166</v>
      </c>
      <c r="B3227" s="1831">
        <f>'Acct Summary 7-8'!I20</f>
        <v>83836</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-22203</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21349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-93024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93858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-49737</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298591</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83836</v>
      </c>
      <c r="C3320" s="2" t="s">
        <v>569</v>
      </c>
      <c r="D3320" s="2" t="str">
        <f t="shared" si="50"/>
        <v>Error?</v>
      </c>
    </row>
    <row r="3321" spans="1:4" x14ac:dyDescent="0.2">
      <c r="A3321" s="5">
        <v>3260</v>
      </c>
      <c r="B3321" s="1831">
        <f>'Acct Summary 7-8'!I79</f>
        <v>1271072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1354908</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970391</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205836</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716</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4572</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3057</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1184572</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71642</v>
      </c>
      <c r="D3387" s="2" t="str">
        <f t="shared" si="51"/>
        <v>Error?</v>
      </c>
    </row>
    <row r="3388" spans="1:4" x14ac:dyDescent="0.2">
      <c r="A3388" s="5">
        <v>3327</v>
      </c>
      <c r="B3388" s="1831">
        <f>'Expenditures 15-22'!D217</f>
        <v>40948</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71642</v>
      </c>
      <c r="C3390" s="2" t="s">
        <v>569</v>
      </c>
      <c r="D3390" s="2" t="str">
        <f t="shared" si="51"/>
        <v>Error?</v>
      </c>
    </row>
    <row r="3391" spans="1:4" x14ac:dyDescent="0.2">
      <c r="A3391" s="5">
        <v>3330</v>
      </c>
      <c r="B3391" s="1831">
        <f>'Expenditures 15-22'!K217</f>
        <v>40948</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37202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228640</v>
      </c>
      <c r="D3417" s="2" t="str">
        <f t="shared" si="52"/>
        <v>Error?</v>
      </c>
    </row>
    <row r="3418" spans="1:4" x14ac:dyDescent="0.2">
      <c r="A3418" s="10">
        <v>3357</v>
      </c>
      <c r="B3418" s="1831"/>
      <c r="D3418" s="2" t="str">
        <f t="shared" si="52"/>
        <v>OK</v>
      </c>
    </row>
    <row r="3419" spans="1:4" x14ac:dyDescent="0.2">
      <c r="A3419" s="5">
        <v>3358</v>
      </c>
      <c r="B3419" s="1831">
        <f>'Assets-Liab 5-6'!F4</f>
        <v>58416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335191</v>
      </c>
      <c r="D3425" s="2" t="str">
        <f t="shared" si="52"/>
        <v>Error?</v>
      </c>
    </row>
    <row r="3426" spans="1:4" x14ac:dyDescent="0.2">
      <c r="A3426" s="10">
        <v>3365</v>
      </c>
      <c r="B3426" s="1831"/>
      <c r="D3426" s="2" t="str">
        <f t="shared" si="52"/>
        <v>OK</v>
      </c>
    </row>
    <row r="3427" spans="1:4" x14ac:dyDescent="0.2">
      <c r="A3427" s="5">
        <v>3366</v>
      </c>
      <c r="B3427" s="1831">
        <f>'Assets-Liab 5-6'!I4</f>
        <v>50950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232940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190825</v>
      </c>
      <c r="C3446" s="2" t="s">
        <v>569</v>
      </c>
      <c r="D3446" s="2" t="str">
        <f t="shared" si="52"/>
        <v>Error?</v>
      </c>
    </row>
    <row r="3447" spans="1:4" x14ac:dyDescent="0.2">
      <c r="A3447" s="5">
        <v>3386</v>
      </c>
      <c r="B3447" s="1831">
        <f>'Tax Sched 23'!D16</f>
        <v>168706</v>
      </c>
      <c r="C3447" s="2" t="s">
        <v>569</v>
      </c>
      <c r="D3447" s="2" t="str">
        <f t="shared" si="52"/>
        <v>Error?</v>
      </c>
    </row>
    <row r="3448" spans="1:4" x14ac:dyDescent="0.2">
      <c r="A3448" s="5">
        <v>3387</v>
      </c>
      <c r="B3448" s="1831">
        <f>'Tax Sched 23'!C16</f>
        <v>22119</v>
      </c>
      <c r="D3448" s="2" t="str">
        <f t="shared" si="52"/>
        <v>Error?</v>
      </c>
    </row>
    <row r="3449" spans="1:4" x14ac:dyDescent="0.2">
      <c r="A3449" s="5">
        <v>3388</v>
      </c>
      <c r="B3449" s="1831">
        <f>'Tax Sched 23'!F16</f>
        <v>177275</v>
      </c>
      <c r="C3449" s="2" t="s">
        <v>569</v>
      </c>
      <c r="D3449" s="2" t="str">
        <f t="shared" si="52"/>
        <v>Error?</v>
      </c>
    </row>
    <row r="3450" spans="1:4" x14ac:dyDescent="0.2">
      <c r="A3450" s="5">
        <v>3389</v>
      </c>
      <c r="B3450" s="1831">
        <f>'Tax Sched 23'!E16</f>
        <v>199394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45605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305654</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351259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377</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377</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350882</v>
      </c>
      <c r="D3567" s="2" t="str">
        <f t="shared" si="54"/>
        <v>Error?</v>
      </c>
    </row>
    <row r="3568" spans="1:4" x14ac:dyDescent="0.2">
      <c r="A3568" s="5">
        <v>3507</v>
      </c>
      <c r="B3568" s="1831">
        <f>'Assets-Liab 5-6'!K41</f>
        <v>351259</v>
      </c>
      <c r="C3568" s="2" t="s">
        <v>569</v>
      </c>
      <c r="D3568" s="2" t="str">
        <f t="shared" si="54"/>
        <v>Error?</v>
      </c>
    </row>
    <row r="3569" spans="1:4" x14ac:dyDescent="0.2">
      <c r="A3569" s="5">
        <v>3508</v>
      </c>
      <c r="B3569" s="1831">
        <f>'Acct Summary 7-8'!K4</f>
        <v>83836</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83836</v>
      </c>
      <c r="C3571" s="2" t="s">
        <v>569</v>
      </c>
      <c r="D3571" s="2" t="str">
        <f t="shared" si="54"/>
        <v>Error?</v>
      </c>
    </row>
    <row r="3572" spans="1:4" x14ac:dyDescent="0.2">
      <c r="A3572" s="5">
        <v>3511</v>
      </c>
      <c r="B3572" s="1831">
        <f>'Acct Summary 7-8'!K13</f>
        <v>944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944</v>
      </c>
      <c r="C3575" s="2" t="s">
        <v>569</v>
      </c>
      <c r="D3575" s="2" t="str">
        <f t="shared" si="54"/>
        <v>Error?</v>
      </c>
    </row>
    <row r="3576" spans="1:4" x14ac:dyDescent="0.2">
      <c r="A3576" s="5">
        <v>3515</v>
      </c>
      <c r="B3576" s="1831">
        <f>'Acct Summary 7-8'!K20</f>
        <v>82892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82892</v>
      </c>
      <c r="C3588" s="2" t="s">
        <v>569</v>
      </c>
      <c r="D3588" s="2" t="str">
        <f t="shared" si="55"/>
        <v>Error?</v>
      </c>
    </row>
    <row r="3589" spans="1:4" x14ac:dyDescent="0.2">
      <c r="A3589" s="5">
        <v>3528</v>
      </c>
      <c r="B3589" s="1831">
        <f>'Acct Summary 7-8'!K79</f>
        <v>267990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350882</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223</v>
      </c>
      <c r="D3632" s="2" t="str">
        <f t="shared" si="55"/>
        <v>Error?</v>
      </c>
    </row>
    <row r="3633" spans="1:4" x14ac:dyDescent="0.2">
      <c r="A3633" s="5">
        <v>3572</v>
      </c>
      <c r="B3633" s="1831">
        <f>'Expenditures 15-22'!E350</f>
        <v>223</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223</v>
      </c>
      <c r="C3635" s="2" t="s">
        <v>569</v>
      </c>
      <c r="D3635" s="2" t="str">
        <f t="shared" si="55"/>
        <v>Error?</v>
      </c>
    </row>
    <row r="3636" spans="1:4" x14ac:dyDescent="0.2">
      <c r="A3636" s="5">
        <v>3575</v>
      </c>
      <c r="B3636" s="1831">
        <f>'Expenditures 15-22'!E367</f>
        <v>223</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721</v>
      </c>
      <c r="D3639" s="2" t="str">
        <f t="shared" si="55"/>
        <v>Error?</v>
      </c>
    </row>
    <row r="3640" spans="1:4" x14ac:dyDescent="0.2">
      <c r="A3640" s="5">
        <v>3579</v>
      </c>
      <c r="B3640" s="1831">
        <f>'Expenditures 15-22'!F350</f>
        <v>721</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721</v>
      </c>
      <c r="C3642" s="2" t="s">
        <v>569</v>
      </c>
      <c r="D3642" s="2" t="str">
        <f t="shared" si="55"/>
        <v>Error?</v>
      </c>
    </row>
    <row r="3643" spans="1:4" x14ac:dyDescent="0.2">
      <c r="A3643" s="5">
        <v>3582</v>
      </c>
      <c r="B3643" s="1831">
        <f>'Expenditures 15-22'!F367</f>
        <v>721</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944</v>
      </c>
      <c r="C3669" s="2" t="s">
        <v>569</v>
      </c>
      <c r="D3669" s="2" t="str">
        <f t="shared" si="56"/>
        <v>Error?</v>
      </c>
    </row>
    <row r="3670" spans="1:4" x14ac:dyDescent="0.2">
      <c r="A3670" s="5">
        <v>3609</v>
      </c>
      <c r="B3670" s="1831">
        <f>'Expenditures 15-22'!K350</f>
        <v>944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944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944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82892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83836</v>
      </c>
      <c r="C3725" s="2" t="s">
        <v>569</v>
      </c>
      <c r="D3725" s="2" t="str">
        <f t="shared" si="57"/>
        <v>Error?</v>
      </c>
    </row>
    <row r="3726" spans="1:4" x14ac:dyDescent="0.2">
      <c r="A3726" s="5">
        <v>3665</v>
      </c>
      <c r="B3726" s="1831">
        <f>'Tax Sched 23'!D13</f>
        <v>73863</v>
      </c>
      <c r="C3726" s="2" t="s">
        <v>569</v>
      </c>
      <c r="D3726" s="2" t="str">
        <f t="shared" si="57"/>
        <v>Error?</v>
      </c>
    </row>
    <row r="3727" spans="1:4" x14ac:dyDescent="0.2">
      <c r="A3727" s="5">
        <v>3666</v>
      </c>
      <c r="B3727" s="1831">
        <f>'Tax Sched 23'!C13</f>
        <v>9973</v>
      </c>
      <c r="D3727" s="2" t="str">
        <f t="shared" si="57"/>
        <v>Error?</v>
      </c>
    </row>
    <row r="3728" spans="1:4" x14ac:dyDescent="0.2">
      <c r="A3728" s="5">
        <v>3667</v>
      </c>
      <c r="B3728" s="1831">
        <f>'Tax Sched 23'!F13</f>
        <v>79328</v>
      </c>
      <c r="C3728" s="2" t="s">
        <v>569</v>
      </c>
      <c r="D3728" s="2" t="str">
        <f t="shared" si="57"/>
        <v>Error?</v>
      </c>
    </row>
    <row r="3729" spans="1:4" x14ac:dyDescent="0.2">
      <c r="A3729" s="5">
        <v>3668</v>
      </c>
      <c r="B3729" s="1831">
        <f>'Tax Sched 23'!E13</f>
        <v>89301</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5297891</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16039410</v>
      </c>
      <c r="C4122" s="2" t="s">
        <v>569</v>
      </c>
      <c r="D4122" s="2" t="str">
        <f t="shared" si="63"/>
        <v>Error?</v>
      </c>
    </row>
    <row r="4123" spans="1:4" x14ac:dyDescent="0.2">
      <c r="A4123" s="5">
        <v>4062</v>
      </c>
      <c r="B4123" s="1831">
        <f>'Acct Summary 7-8'!D10</f>
        <v>922682</v>
      </c>
      <c r="C4123" s="2" t="s">
        <v>569</v>
      </c>
      <c r="D4123" s="2" t="str">
        <f t="shared" si="63"/>
        <v>Error?</v>
      </c>
    </row>
    <row r="4124" spans="1:4" x14ac:dyDescent="0.2">
      <c r="A4124" s="5">
        <v>4063</v>
      </c>
      <c r="B4124" s="1831">
        <f>'Acct Summary 7-8'!E10</f>
        <v>1005602</v>
      </c>
      <c r="C4124" s="2" t="s">
        <v>569</v>
      </c>
      <c r="D4124" s="2" t="str">
        <f t="shared" si="63"/>
        <v>Error?</v>
      </c>
    </row>
    <row r="4125" spans="1:4" x14ac:dyDescent="0.2">
      <c r="A4125" s="5">
        <v>4064</v>
      </c>
      <c r="B4125" s="1831">
        <f>'Acct Summary 7-8'!F10</f>
        <v>583008</v>
      </c>
      <c r="C4125" s="2" t="s">
        <v>569</v>
      </c>
      <c r="D4125" s="2" t="str">
        <f t="shared" si="63"/>
        <v>Error?</v>
      </c>
    </row>
    <row r="4126" spans="1:4" x14ac:dyDescent="0.2">
      <c r="A4126" s="5">
        <v>4065</v>
      </c>
      <c r="B4126" s="1831">
        <f>'Acct Summary 7-8'!G10</f>
        <v>429421</v>
      </c>
      <c r="C4126" s="2" t="s">
        <v>569</v>
      </c>
      <c r="D4126" s="2" t="str">
        <f t="shared" si="63"/>
        <v>Error?</v>
      </c>
    </row>
    <row r="4127" spans="1:4" x14ac:dyDescent="0.2">
      <c r="A4127" s="5">
        <v>4066</v>
      </c>
      <c r="B4127" s="1831">
        <f>'Acct Summary 7-8'!H10</f>
        <v>298591</v>
      </c>
      <c r="C4127" s="2" t="s">
        <v>569</v>
      </c>
      <c r="D4127" s="2" t="str">
        <f t="shared" si="63"/>
        <v>Error?</v>
      </c>
    </row>
    <row r="4128" spans="1:4" x14ac:dyDescent="0.2">
      <c r="A4128" s="5">
        <v>4067</v>
      </c>
      <c r="B4128" s="1831">
        <f>'Acct Summary 7-8'!I10</f>
        <v>83836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83836</v>
      </c>
      <c r="C4130" s="2" t="s">
        <v>569</v>
      </c>
      <c r="D4130" s="2" t="str">
        <f t="shared" si="63"/>
        <v>Error?</v>
      </c>
    </row>
    <row r="4131" spans="1:4" x14ac:dyDescent="0.2">
      <c r="A4131" s="5">
        <v>4070</v>
      </c>
      <c r="B4131" s="1831">
        <f>'Acct Summary 7-8'!C18</f>
        <v>5297891</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16061613</v>
      </c>
      <c r="C4136" s="2" t="s">
        <v>569</v>
      </c>
      <c r="D4136" s="2" t="str">
        <f t="shared" si="63"/>
        <v>Error?</v>
      </c>
    </row>
    <row r="4137" spans="1:4" x14ac:dyDescent="0.2">
      <c r="A4137" s="5">
        <v>4076</v>
      </c>
      <c r="B4137" s="1831">
        <f>'Acct Summary 7-8'!D19</f>
        <v>901333</v>
      </c>
      <c r="C4137" s="2" t="s">
        <v>569</v>
      </c>
      <c r="D4137" s="2" t="str">
        <f t="shared" si="63"/>
        <v>Error?</v>
      </c>
    </row>
    <row r="4138" spans="1:4" x14ac:dyDescent="0.2">
      <c r="A4138" s="5">
        <v>4077</v>
      </c>
      <c r="B4138" s="1831">
        <f>'Acct Summary 7-8'!E19</f>
        <v>1055339</v>
      </c>
      <c r="C4138" s="2" t="s">
        <v>569</v>
      </c>
      <c r="D4138" s="2" t="str">
        <f t="shared" si="63"/>
        <v>Error?</v>
      </c>
    </row>
    <row r="4139" spans="1:4" x14ac:dyDescent="0.2">
      <c r="A4139" s="5">
        <v>4078</v>
      </c>
      <c r="B4139" s="1831">
        <f>'Acct Summary 7-8'!F19</f>
        <v>676032</v>
      </c>
      <c r="C4139" s="2" t="s">
        <v>569</v>
      </c>
      <c r="D4139" s="2" t="str">
        <f t="shared" si="63"/>
        <v>Error?</v>
      </c>
    </row>
    <row r="4140" spans="1:4" x14ac:dyDescent="0.2">
      <c r="A4140" s="5">
        <v>4079</v>
      </c>
      <c r="B4140" s="1831">
        <f>'Acct Summary 7-8'!G19</f>
        <v>335563</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944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2880000</v>
      </c>
      <c r="C4171" s="2" t="s">
        <v>569</v>
      </c>
      <c r="D4171" s="2" t="str">
        <f t="shared" si="64"/>
        <v>Error?</v>
      </c>
    </row>
    <row r="4172" spans="1:4" x14ac:dyDescent="0.2">
      <c r="A4172" s="5">
        <v>4111</v>
      </c>
      <c r="B4172" s="1831">
        <f>'Short-Term Long-Term Debt 24'!J49</f>
        <v>2532519</v>
      </c>
      <c r="C4172" s="2" t="s">
        <v>569</v>
      </c>
      <c r="D4172" s="2" t="str">
        <f t="shared" si="64"/>
        <v>Error?</v>
      </c>
    </row>
    <row r="4173" spans="1:4" x14ac:dyDescent="0.2">
      <c r="A4173" s="5">
        <v>4112</v>
      </c>
      <c r="B4173" s="1831">
        <f>'Short-Term Long-Term Debt 24'!H49</f>
        <v>975000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1416</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3400.0000000000005</v>
      </c>
      <c r="C4265" s="2" t="s">
        <v>569</v>
      </c>
      <c r="D4265" s="2" t="str">
        <f t="shared" si="65"/>
        <v>Error?</v>
      </c>
      <c r="E4265" s="125"/>
    </row>
    <row r="4266" spans="1:5" x14ac:dyDescent="0.2">
      <c r="A4266" s="12">
        <v>4205</v>
      </c>
      <c r="B4266" s="1831">
        <f>('FP Info 3'!F10)*100000</f>
        <v>549.93000000000006</v>
      </c>
      <c r="C4266" s="2" t="s">
        <v>569</v>
      </c>
      <c r="D4266" s="2" t="str">
        <f t="shared" si="65"/>
        <v>Error?</v>
      </c>
      <c r="E4266" s="125"/>
    </row>
    <row r="4267" spans="1:5" x14ac:dyDescent="0.2">
      <c r="A4267" s="12">
        <v>4206</v>
      </c>
      <c r="B4267" s="1831">
        <f>('FP Info 3'!H10)*100000</f>
        <v>199.97</v>
      </c>
      <c r="C4267" s="2" t="s">
        <v>569</v>
      </c>
      <c r="D4267" s="2" t="str">
        <f t="shared" si="65"/>
        <v>Error?</v>
      </c>
      <c r="E4267" s="125"/>
    </row>
    <row r="4268" spans="1:5" x14ac:dyDescent="0.2">
      <c r="A4268" s="12">
        <v>4207</v>
      </c>
      <c r="B4268" s="1831">
        <f>('FP Info 3'!J10)*100000</f>
        <v>4150</v>
      </c>
      <c r="C4268" s="2" t="s">
        <v>569</v>
      </c>
      <c r="D4268" s="2" t="str">
        <f t="shared" si="65"/>
        <v>Error?</v>
      </c>
    </row>
    <row r="4269" spans="1:5" x14ac:dyDescent="0.2">
      <c r="A4269" s="12">
        <v>4208</v>
      </c>
      <c r="B4269" s="1831">
        <f>'FP Info 3'!J16</f>
        <v>3446187</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42623</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10415</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48519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49.989999999999995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178620337</v>
      </c>
      <c r="D4995" s="2" t="str">
        <f t="shared" si="77"/>
        <v>Error?</v>
      </c>
    </row>
    <row r="4996" spans="1:4" x14ac:dyDescent="0.2">
      <c r="A4996" s="12">
        <v>4935</v>
      </c>
      <c r="B4996" s="1831">
        <f>'FP Info 3'!H31</f>
        <v>24649606.506000001</v>
      </c>
      <c r="D4996" s="2" t="str">
        <f t="shared" si="77"/>
        <v>Error?</v>
      </c>
    </row>
    <row r="4997" spans="1:4" x14ac:dyDescent="0.2">
      <c r="A4997" s="12">
        <v>4936</v>
      </c>
      <c r="B4997" s="1831">
        <f>'FP Info 3'!H37</f>
        <v>2880000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83836</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5700252</v>
      </c>
      <c r="D5061" s="2" t="str">
        <f t="shared" si="78"/>
        <v>Error?</v>
      </c>
    </row>
    <row r="5062" spans="1:4" x14ac:dyDescent="0.2">
      <c r="A5062" s="10">
        <v>5001</v>
      </c>
      <c r="B5062" s="1831"/>
      <c r="D5062" s="2" t="str">
        <f t="shared" si="78"/>
        <v>OK</v>
      </c>
    </row>
    <row r="5063" spans="1:4" x14ac:dyDescent="0.2">
      <c r="A5063" s="5">
        <v>5002</v>
      </c>
      <c r="B5063" s="1831">
        <f>'Revenues 9-14'!C7</f>
        <v>67069</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5851157</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427690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427690</v>
      </c>
      <c r="C5071" s="2" t="s">
        <v>569</v>
      </c>
      <c r="D5071" s="2" t="str">
        <f t="shared" si="78"/>
        <v>Error?</v>
      </c>
    </row>
    <row r="5072" spans="1:4" x14ac:dyDescent="0.2">
      <c r="A5072" s="5">
        <v>5011</v>
      </c>
      <c r="B5072" s="1831">
        <f>'Revenues 9-14'!C20</f>
        <v>17587</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17587</v>
      </c>
      <c r="C5087" s="2" t="s">
        <v>569</v>
      </c>
      <c r="D5087" s="2" t="str">
        <f t="shared" si="78"/>
        <v>Error?</v>
      </c>
    </row>
    <row r="5088" spans="1:4" x14ac:dyDescent="0.2">
      <c r="A5088" s="5">
        <v>5027</v>
      </c>
      <c r="B5088" s="1831">
        <f>'Revenues 9-14'!C65</f>
        <v>122430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122430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1833</v>
      </c>
      <c r="D5094" s="2" t="str">
        <f t="shared" si="78"/>
        <v>Error?</v>
      </c>
    </row>
    <row r="5095" spans="1:4" x14ac:dyDescent="0.2">
      <c r="A5095" s="5">
        <v>5034</v>
      </c>
      <c r="B5095" s="1831">
        <f>'Revenues 9-14'!C74</f>
        <v>5856</v>
      </c>
      <c r="D5095" s="2" t="str">
        <f t="shared" si="78"/>
        <v>Error?</v>
      </c>
    </row>
    <row r="5096" spans="1:4" x14ac:dyDescent="0.2">
      <c r="A5096" s="5">
        <v>5035</v>
      </c>
      <c r="B5096" s="1831">
        <f>'Revenues 9-14'!C75</f>
        <v>136107</v>
      </c>
      <c r="C5096" s="2" t="s">
        <v>569</v>
      </c>
      <c r="D5096" s="2" t="str">
        <f t="shared" si="78"/>
        <v>Error?</v>
      </c>
    </row>
    <row r="5097" spans="1:4" x14ac:dyDescent="0.2">
      <c r="A5097" s="5">
        <v>5036</v>
      </c>
      <c r="B5097" s="1831">
        <f>'Revenues 9-14'!C77</f>
        <v>17590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69956</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3948</v>
      </c>
      <c r="D5101" s="2" t="str">
        <f t="shared" si="78"/>
        <v>Error?</v>
      </c>
    </row>
    <row r="5102" spans="1:4" x14ac:dyDescent="0.2">
      <c r="A5102" s="5">
        <v>5041</v>
      </c>
      <c r="B5102" s="1831">
        <f>'Revenues 9-14'!C82</f>
        <v>91494</v>
      </c>
      <c r="C5102" s="2" t="s">
        <v>569</v>
      </c>
      <c r="D5102" s="2" t="str">
        <f t="shared" si="78"/>
        <v>Error?</v>
      </c>
    </row>
    <row r="5103" spans="1:4" x14ac:dyDescent="0.2">
      <c r="A5103" s="5">
        <v>5042</v>
      </c>
      <c r="B5103" s="1831">
        <f>'Revenues 9-14'!C84</f>
        <v>74269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74269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46076</v>
      </c>
      <c r="D5118" s="2" t="str">
        <f t="shared" si="78"/>
        <v>Error?</v>
      </c>
    </row>
    <row r="5119" spans="1:4" x14ac:dyDescent="0.2">
      <c r="A5119" s="5">
        <v>5058</v>
      </c>
      <c r="B5119" s="1831">
        <f>'Revenues 9-14'!C107</f>
        <v>49671</v>
      </c>
      <c r="D5119" s="2" t="str">
        <f t="shared" ref="D5119:D5182" si="79">IF(ISBLANK(B5119),"OK",IF(A5119-B5119=0,"OK","Error?"))</f>
        <v>Error?</v>
      </c>
    </row>
    <row r="5120" spans="1:4" x14ac:dyDescent="0.2">
      <c r="A5120" s="5">
        <v>5059</v>
      </c>
      <c r="B5120" s="1831">
        <f>'Revenues 9-14'!C108</f>
        <v>109947</v>
      </c>
      <c r="C5120" s="2" t="s">
        <v>569</v>
      </c>
      <c r="D5120" s="2" t="str">
        <f t="shared" si="79"/>
        <v>Error?</v>
      </c>
    </row>
    <row r="5121" spans="1:4" x14ac:dyDescent="0.2">
      <c r="A5121" s="5">
        <v>5060</v>
      </c>
      <c r="B5121" s="1831">
        <f>'Revenues 9-14'!C109</f>
        <v>6830681</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2617806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2617806</v>
      </c>
      <c r="C5132" s="2" t="s">
        <v>569</v>
      </c>
      <c r="D5132" s="2" t="str">
        <f t="shared" si="79"/>
        <v>Error?</v>
      </c>
    </row>
    <row r="5133" spans="1:4" x14ac:dyDescent="0.2">
      <c r="A5133" s="5">
        <v>5072</v>
      </c>
      <c r="B5133" s="1831">
        <f>'Revenues 9-14'!C125</f>
        <v>189147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276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189423</v>
      </c>
      <c r="C5147" s="2" t="s">
        <v>569</v>
      </c>
      <c r="D5147" s="2" t="str">
        <f t="shared" si="79"/>
        <v>Error?</v>
      </c>
    </row>
    <row r="5148" spans="1:4" x14ac:dyDescent="0.2">
      <c r="A5148" s="5">
        <v>5087</v>
      </c>
      <c r="B5148" s="1831">
        <f>'Revenues 9-14'!C134</f>
        <v>741</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5796</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2957</v>
      </c>
      <c r="D5167" s="2" t="str">
        <f t="shared" si="79"/>
        <v>Error?</v>
      </c>
    </row>
    <row r="5168" spans="1:4" x14ac:dyDescent="0.2">
      <c r="A5168" s="5">
        <v>5107</v>
      </c>
      <c r="B5168" s="1831">
        <f>'Revenues 9-14'!C148</f>
        <v>12124</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199921</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410221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3028027</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177545</v>
      </c>
      <c r="D5239" s="2" t="str">
        <f t="shared" si="80"/>
        <v>Error?</v>
      </c>
    </row>
    <row r="5240" spans="1:4" x14ac:dyDescent="0.2">
      <c r="A5240" s="5">
        <v>5179</v>
      </c>
      <c r="B5240" s="1831">
        <f>'Revenues 9-14'!C192</f>
        <v>1625</v>
      </c>
      <c r="D5240" s="2" t="str">
        <f t="shared" si="80"/>
        <v>Error?</v>
      </c>
    </row>
    <row r="5241" spans="1:4" x14ac:dyDescent="0.2">
      <c r="A5241" s="5">
        <v>5180</v>
      </c>
      <c r="B5241" s="1831">
        <f>'Revenues 9-14'!C193</f>
        <v>55300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234470</v>
      </c>
      <c r="C5246" s="2" t="s">
        <v>569</v>
      </c>
      <c r="D5246" s="2" t="str">
        <f t="shared" si="80"/>
        <v>Error?</v>
      </c>
    </row>
    <row r="5247" spans="1:4" x14ac:dyDescent="0.2">
      <c r="A5247" s="5">
        <v>5186</v>
      </c>
      <c r="B5247" s="1831">
        <f>'Revenues 9-14'!C200</f>
        <v>149167</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191790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20277</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377340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397617</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882811</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882811</v>
      </c>
      <c r="C5326" s="2" t="s">
        <v>569</v>
      </c>
      <c r="D5326" s="2" t="str">
        <f t="shared" si="82"/>
        <v>Error?</v>
      </c>
    </row>
    <row r="5327" spans="1:5" x14ac:dyDescent="0.2">
      <c r="A5327" s="5">
        <v>5266</v>
      </c>
      <c r="B5327" s="1831">
        <f>'Revenues 9-14'!C268</f>
        <v>10741519</v>
      </c>
      <c r="C5327" s="2" t="s">
        <v>569</v>
      </c>
      <c r="D5327" s="2" t="str">
        <f t="shared" si="82"/>
        <v>Error?</v>
      </c>
    </row>
    <row r="5328" spans="1:5" x14ac:dyDescent="0.2">
      <c r="A5328" s="5">
        <v>5267</v>
      </c>
      <c r="B5328" s="1831">
        <f>'Revenues 9-14'!D5</f>
        <v>922222</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922222</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460</v>
      </c>
      <c r="D5354" s="2" t="str">
        <f t="shared" si="82"/>
        <v>Error?</v>
      </c>
    </row>
    <row r="5355" spans="1:4" x14ac:dyDescent="0.2">
      <c r="A5355" s="5">
        <v>5294</v>
      </c>
      <c r="B5355" s="1831">
        <f>'Revenues 9-14'!D108</f>
        <v>460</v>
      </c>
      <c r="C5355" s="2" t="s">
        <v>569</v>
      </c>
      <c r="D5355" s="2" t="str">
        <f t="shared" si="82"/>
        <v>Error?</v>
      </c>
    </row>
    <row r="5356" spans="1:4" x14ac:dyDescent="0.2">
      <c r="A5356" s="5">
        <v>5295</v>
      </c>
      <c r="B5356" s="1831">
        <f>'Revenues 9-14'!D109</f>
        <v>922682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922682</v>
      </c>
      <c r="C5508" s="2" t="s">
        <v>569</v>
      </c>
      <c r="D5508" s="2" t="str">
        <f t="shared" si="85"/>
        <v>Error?</v>
      </c>
    </row>
    <row r="5509" spans="1:4" x14ac:dyDescent="0.2">
      <c r="A5509" s="5">
        <v>5448</v>
      </c>
      <c r="B5509" s="1831">
        <f>'Revenues 9-14'!E5</f>
        <v>1005602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1005602</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1005602</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1005602</v>
      </c>
      <c r="C5552" s="2" t="s">
        <v>569</v>
      </c>
      <c r="D5552" s="2" t="str">
        <f t="shared" si="85"/>
        <v>Error?</v>
      </c>
    </row>
    <row r="5553" spans="1:4" x14ac:dyDescent="0.2">
      <c r="A5553" s="5">
        <v>5492</v>
      </c>
      <c r="B5553" s="1831">
        <f>'Revenues 9-14'!F5</f>
        <v>335355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335355</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1000</v>
      </c>
      <c r="D5586" s="2" t="str">
        <f t="shared" si="86"/>
        <v>Error?</v>
      </c>
    </row>
    <row r="5587" spans="1:4" x14ac:dyDescent="0.2">
      <c r="A5587" s="5">
        <v>5526</v>
      </c>
      <c r="B5587" s="1831">
        <f>'Revenues 9-14'!F108</f>
        <v>1000</v>
      </c>
      <c r="C5587" s="2" t="s">
        <v>569</v>
      </c>
      <c r="D5587" s="2" t="str">
        <f t="shared" si="86"/>
        <v>Error?</v>
      </c>
    </row>
    <row r="5588" spans="1:4" x14ac:dyDescent="0.2">
      <c r="A5588" s="5">
        <v>5527</v>
      </c>
      <c r="B5588" s="1831">
        <f>'Revenues 9-14'!F109</f>
        <v>336355</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169035</v>
      </c>
      <c r="D5615" s="2" t="str">
        <f t="shared" si="86"/>
        <v>Error?</v>
      </c>
    </row>
    <row r="5616" spans="1:4" x14ac:dyDescent="0.2">
      <c r="A5616" s="10">
        <v>5555</v>
      </c>
      <c r="B5616" s="1831"/>
      <c r="D5616" s="2" t="str">
        <f t="shared" si="86"/>
        <v>OK</v>
      </c>
    </row>
    <row r="5617" spans="1:5" x14ac:dyDescent="0.2">
      <c r="A5617" s="5">
        <v>5556</v>
      </c>
      <c r="B5617" s="1831">
        <f>'Revenues 9-14'!F153</f>
        <v>77618</v>
      </c>
      <c r="D5617" s="2" t="str">
        <f t="shared" si="86"/>
        <v>Error?</v>
      </c>
    </row>
    <row r="5618" spans="1:5" x14ac:dyDescent="0.2">
      <c r="A5618" s="5">
        <v>5557</v>
      </c>
      <c r="B5618" s="1831">
        <f>'Revenues 9-14'!F155</f>
        <v>246653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246653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246653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583008</v>
      </c>
      <c r="C5720" s="2" t="s">
        <v>569</v>
      </c>
      <c r="D5720" s="2" t="str">
        <f t="shared" si="88"/>
        <v>Error?</v>
      </c>
    </row>
    <row r="5721" spans="1:4" x14ac:dyDescent="0.2">
      <c r="A5721" s="5">
        <v>5660</v>
      </c>
      <c r="B5721" s="1831">
        <f>'Revenues 9-14'!G5</f>
        <v>238596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190825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429421</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429421</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298591</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298591</v>
      </c>
      <c r="C5915" s="2" t="s">
        <v>569</v>
      </c>
      <c r="D5915" s="2" t="str">
        <f t="shared" si="91"/>
        <v>Error?</v>
      </c>
    </row>
    <row r="5916" spans="1:4" x14ac:dyDescent="0.2">
      <c r="A5916" s="5">
        <v>5855</v>
      </c>
      <c r="B5916" s="1831">
        <f>'Revenues 9-14'!I5</f>
        <v>83836</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83836</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83836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83836</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83836</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83836</v>
      </c>
      <c r="C6023" s="2" t="s">
        <v>569</v>
      </c>
      <c r="D6023" s="2" t="str">
        <f t="shared" si="93"/>
        <v>Error?</v>
      </c>
    </row>
    <row r="6024" spans="1:5" x14ac:dyDescent="0.2">
      <c r="A6024" s="5">
        <v>5963</v>
      </c>
      <c r="B6024" s="1831">
        <f>'Revenues 9-14'!G109</f>
        <v>429421</v>
      </c>
      <c r="C6024" s="2" t="s">
        <v>569</v>
      </c>
      <c r="D6024" s="2" t="str">
        <f t="shared" si="93"/>
        <v>Error?</v>
      </c>
    </row>
    <row r="6025" spans="1:5" x14ac:dyDescent="0.2">
      <c r="A6025" s="5">
        <v>5964</v>
      </c>
      <c r="B6025" s="1831">
        <f>'Revenues 9-14'!H109</f>
        <v>298591</v>
      </c>
      <c r="C6025" s="2" t="s">
        <v>569</v>
      </c>
      <c r="D6025" s="2" t="str">
        <f t="shared" si="93"/>
        <v>Error?</v>
      </c>
    </row>
    <row r="6026" spans="1:5" x14ac:dyDescent="0.2">
      <c r="A6026" s="5">
        <v>5965</v>
      </c>
      <c r="B6026" s="1831">
        <f>'Revenues 9-14'!I109</f>
        <v>83836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83836</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128418</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15717</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1074.7</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161968</v>
      </c>
      <c r="D6124" s="2" t="str">
        <f t="shared" si="94"/>
        <v>Error?</v>
      </c>
      <c r="E6124" s="2" t="s">
        <v>189</v>
      </c>
    </row>
    <row r="6125" spans="1:5" x14ac:dyDescent="0.2">
      <c r="A6125">
        <v>6064</v>
      </c>
      <c r="B6125" s="1831">
        <f>'Assets-Liab 5-6'!C25</f>
        <v>163098</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10662</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-354</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161968</v>
      </c>
      <c r="D6215" s="2" t="str">
        <f t="shared" si="96"/>
        <v>Error?</v>
      </c>
      <c r="E6215" s="2" t="s">
        <v>189</v>
      </c>
    </row>
    <row r="6216" spans="1:5" x14ac:dyDescent="0.2">
      <c r="A6216">
        <v>6155</v>
      </c>
      <c r="B6216" s="1831">
        <f>'Assets-Liab 5-6'!J41</f>
        <v>161968</v>
      </c>
      <c r="D6216" s="2" t="str">
        <f t="shared" si="96"/>
        <v>Error?</v>
      </c>
      <c r="E6216" s="2" t="s">
        <v>189</v>
      </c>
    </row>
    <row r="6217" spans="1:5" x14ac:dyDescent="0.2">
      <c r="A6217">
        <v>6156</v>
      </c>
      <c r="B6217" s="1831">
        <f>'Assets-Liab 5-6'!J4</f>
        <v>21744</v>
      </c>
      <c r="D6217" s="2" t="str">
        <f t="shared" si="96"/>
        <v>Error?</v>
      </c>
      <c r="E6217" s="2" t="s">
        <v>189</v>
      </c>
    </row>
    <row r="6218" spans="1:5" x14ac:dyDescent="0.2">
      <c r="A6218">
        <v>6157</v>
      </c>
      <c r="B6218" s="1831">
        <f>'Assets-Liab 5-6'!J5</f>
        <v>140224</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625787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625787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625787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814567</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814567</v>
      </c>
      <c r="D6229" s="2" t="str">
        <f t="shared" si="96"/>
        <v>Error?</v>
      </c>
      <c r="E6229" s="2" t="s">
        <v>189</v>
      </c>
    </row>
    <row r="6230" spans="1:5" x14ac:dyDescent="0.2">
      <c r="A6230">
        <v>6169</v>
      </c>
      <c r="B6230" s="1831">
        <f>'Acct Summary 7-8'!J20</f>
        <v>-188780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-188780</v>
      </c>
      <c r="D6263" s="2" t="str">
        <f t="shared" si="96"/>
        <v>Error?</v>
      </c>
      <c r="E6263" s="2" t="s">
        <v>189</v>
      </c>
    </row>
    <row r="6264" spans="1:5" x14ac:dyDescent="0.2">
      <c r="A6264">
        <v>6203</v>
      </c>
      <c r="B6264" s="1831">
        <f>'Acct Summary 7-8'!J79</f>
        <v>350748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161968</v>
      </c>
      <c r="D6266" s="2" t="str">
        <f t="shared" si="96"/>
        <v>Error?</v>
      </c>
      <c r="E6266" s="2" t="s">
        <v>189</v>
      </c>
    </row>
    <row r="6267" spans="1:5" x14ac:dyDescent="0.2">
      <c r="A6267">
        <v>6206</v>
      </c>
      <c r="B6267" s="1831">
        <f>'Acct Summary 7-8'!C82</f>
        <v>-22203</v>
      </c>
      <c r="D6267" s="2" t="str">
        <f t="shared" si="96"/>
        <v>Error?</v>
      </c>
      <c r="E6267" s="2" t="s">
        <v>189</v>
      </c>
    </row>
    <row r="6268" spans="1:5" x14ac:dyDescent="0.2">
      <c r="A6268">
        <v>6207</v>
      </c>
      <c r="B6268" s="1831">
        <f>'Acct Summary 7-8'!D82</f>
        <v>21349</v>
      </c>
      <c r="D6268" s="2" t="str">
        <f t="shared" si="96"/>
        <v>Error?</v>
      </c>
      <c r="E6268" s="2" t="s">
        <v>189</v>
      </c>
    </row>
    <row r="6269" spans="1:5" x14ac:dyDescent="0.2">
      <c r="A6269">
        <v>6208</v>
      </c>
      <c r="B6269" s="1831">
        <f>'Acct Summary 7-8'!E82</f>
        <v>-49737</v>
      </c>
      <c r="D6269" s="2" t="str">
        <f t="shared" si="96"/>
        <v>Error?</v>
      </c>
      <c r="E6269" s="2" t="s">
        <v>189</v>
      </c>
    </row>
    <row r="6270" spans="1:5" x14ac:dyDescent="0.2">
      <c r="A6270">
        <v>6209</v>
      </c>
      <c r="B6270" s="1831">
        <f>'Acct Summary 7-8'!F82</f>
        <v>-93024</v>
      </c>
      <c r="D6270" s="2" t="str">
        <f t="shared" si="96"/>
        <v>Error?</v>
      </c>
      <c r="E6270" s="2" t="s">
        <v>189</v>
      </c>
    </row>
    <row r="6271" spans="1:5" x14ac:dyDescent="0.2">
      <c r="A6271">
        <v>6210</v>
      </c>
      <c r="B6271" s="1831">
        <f>'Acct Summary 7-8'!G82</f>
        <v>93858</v>
      </c>
      <c r="D6271" s="2" t="str">
        <f t="shared" ref="D6271:D6334" si="97">IF(ISBLANK(B6271),"OK",IF(A6271-B6271=0,"OK","Error?"))</f>
        <v>Error?</v>
      </c>
      <c r="E6271" s="2" t="s">
        <v>189</v>
      </c>
    </row>
    <row r="6272" spans="1:5" x14ac:dyDescent="0.2">
      <c r="A6272">
        <v>6211</v>
      </c>
      <c r="B6272" s="1831">
        <f>'Acct Summary 7-8'!H82</f>
        <v>298591</v>
      </c>
      <c r="D6272" s="2" t="str">
        <f t="shared" si="97"/>
        <v>Error?</v>
      </c>
      <c r="E6272" s="2" t="s">
        <v>189</v>
      </c>
    </row>
    <row r="6273" spans="1:5" x14ac:dyDescent="0.2">
      <c r="A6273">
        <v>6212</v>
      </c>
      <c r="B6273" s="1831">
        <f>'Acct Summary 7-8'!I82</f>
        <v>83836</v>
      </c>
      <c r="D6273" s="2" t="str">
        <f t="shared" si="97"/>
        <v>Error?</v>
      </c>
      <c r="E6273" s="2" t="s">
        <v>189</v>
      </c>
    </row>
    <row r="6274" spans="1:5" x14ac:dyDescent="0.2">
      <c r="A6274">
        <v>6213</v>
      </c>
      <c r="B6274" s="1831">
        <f>'Acct Summary 7-8'!J82</f>
        <v>-188780</v>
      </c>
      <c r="D6274" s="2" t="str">
        <f t="shared" si="97"/>
        <v>Error?</v>
      </c>
      <c r="E6274" s="2" t="s">
        <v>189</v>
      </c>
    </row>
    <row r="6275" spans="1:5" x14ac:dyDescent="0.2">
      <c r="A6275">
        <v>6214</v>
      </c>
      <c r="B6275" s="1831">
        <f>'Acct Summary 7-8'!K82</f>
        <v>82892</v>
      </c>
      <c r="D6275" s="2" t="str">
        <f t="shared" si="97"/>
        <v>Error?</v>
      </c>
      <c r="E6275" s="2" t="s">
        <v>189</v>
      </c>
    </row>
    <row r="6276" spans="1:5" x14ac:dyDescent="0.2">
      <c r="A6276">
        <v>6215</v>
      </c>
      <c r="B6276" s="1831">
        <f>'Acct Summary 7-8'!C83</f>
        <v>-3.3447672763263145E-2</v>
      </c>
      <c r="D6276" s="2" t="str">
        <f t="shared" si="97"/>
        <v>Error?</v>
      </c>
      <c r="E6276" s="2" t="s">
        <v>189</v>
      </c>
    </row>
    <row r="6277" spans="1:5" x14ac:dyDescent="0.2">
      <c r="A6277">
        <v>6216</v>
      </c>
      <c r="B6277" s="1831">
        <f>'Acct Summary 7-8'!D83</f>
        <v>1.992873858711227E-2</v>
      </c>
      <c r="D6277" s="2" t="str">
        <f t="shared" si="97"/>
        <v>Error?</v>
      </c>
      <c r="E6277" s="2" t="s">
        <v>189</v>
      </c>
    </row>
    <row r="6278" spans="1:5" x14ac:dyDescent="0.2">
      <c r="A6278">
        <v>6217</v>
      </c>
      <c r="B6278" s="1831">
        <f>'Acct Summary 7-8'!E83</f>
        <v>-0.14313629561413607</v>
      </c>
      <c r="D6278" s="2" t="str">
        <f t="shared" si="97"/>
        <v>Error?</v>
      </c>
      <c r="E6278" s="2" t="s">
        <v>189</v>
      </c>
    </row>
    <row r="6279" spans="1:5" x14ac:dyDescent="0.2">
      <c r="A6279">
        <v>6218</v>
      </c>
      <c r="B6279" s="1831">
        <f>'Acct Summary 7-8'!F83</f>
        <v>-0.26115738674168093</v>
      </c>
      <c r="D6279" s="2" t="str">
        <f t="shared" si="97"/>
        <v>Error?</v>
      </c>
      <c r="E6279" s="2" t="s">
        <v>189</v>
      </c>
    </row>
    <row r="6280" spans="1:5" x14ac:dyDescent="0.2">
      <c r="A6280">
        <v>6219</v>
      </c>
      <c r="B6280" s="1831">
        <f>'Acct Summary 7-8'!G83</f>
        <v>0.13273896988630818</v>
      </c>
      <c r="D6280" s="2" t="str">
        <f t="shared" si="97"/>
        <v>Error?</v>
      </c>
      <c r="E6280" s="2" t="s">
        <v>189</v>
      </c>
    </row>
    <row r="6281" spans="1:5" x14ac:dyDescent="0.2">
      <c r="A6281">
        <v>6220</v>
      </c>
      <c r="B6281" s="1831">
        <f>'Acct Summary 7-8'!H83</f>
        <v>0.51911625877317269</v>
      </c>
      <c r="D6281" s="2" t="str">
        <f t="shared" si="97"/>
        <v>Error?</v>
      </c>
      <c r="E6281" s="2" t="s">
        <v>189</v>
      </c>
    </row>
    <row r="6282" spans="1:5" x14ac:dyDescent="0.2">
      <c r="A6282">
        <v>6221</v>
      </c>
      <c r="B6282" s="1831">
        <f>'Acct Summary 7-8'!I83</f>
        <v>6.1875787876372421E-2</v>
      </c>
      <c r="D6282" s="2" t="str">
        <f t="shared" si="97"/>
        <v>Error?</v>
      </c>
      <c r="E6282" s="2" t="s">
        <v>189</v>
      </c>
    </row>
    <row r="6283" spans="1:5" x14ac:dyDescent="0.2">
      <c r="A6283">
        <v>6222</v>
      </c>
      <c r="B6283" s="1831">
        <f>'Acct Summary 7-8'!J83</f>
        <v>-1.1655388718759261</v>
      </c>
      <c r="D6283" s="2" t="str">
        <f t="shared" si="97"/>
        <v>Error?</v>
      </c>
      <c r="E6283" s="2" t="s">
        <v>189</v>
      </c>
    </row>
    <row r="6284" spans="1:5" x14ac:dyDescent="0.2">
      <c r="A6284">
        <v>6223</v>
      </c>
      <c r="B6284" s="1831">
        <f>'Acct Summary 7-8'!K83</f>
        <v>0.23623896352619969</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625787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625787</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30487</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14200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625787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3639</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107508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139337</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13354</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78743</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650</v>
      </c>
      <c r="D6878" s="2" t="str">
        <f t="shared" si="106"/>
        <v>Error?</v>
      </c>
    </row>
    <row r="6879" spans="1:4" x14ac:dyDescent="0.2">
      <c r="A6879">
        <v>6818</v>
      </c>
      <c r="B6879" s="1831">
        <f>'Expenditures 15-22'!K21</f>
        <v>650</v>
      </c>
      <c r="D6879" s="2" t="str">
        <f t="shared" si="106"/>
        <v>Error?</v>
      </c>
    </row>
    <row r="6880" spans="1:4" x14ac:dyDescent="0.2">
      <c r="A6880">
        <v>6819</v>
      </c>
      <c r="B6880" s="1831">
        <f>'Expenditures 15-22'!H22</f>
        <v>473656</v>
      </c>
      <c r="D6880" s="2" t="str">
        <f t="shared" si="106"/>
        <v>Error?</v>
      </c>
    </row>
    <row r="6881" spans="1:4" x14ac:dyDescent="0.2">
      <c r="A6881">
        <v>6820</v>
      </c>
      <c r="B6881" s="1831">
        <f>'Expenditures 15-22'!K22</f>
        <v>473656</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-127</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-127</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2322</v>
      </c>
      <c r="D6981" s="2" t="str">
        <f t="shared" si="108"/>
        <v>Error?</v>
      </c>
    </row>
    <row r="6982" spans="1:4" x14ac:dyDescent="0.2">
      <c r="A6982">
        <v>6921</v>
      </c>
      <c r="B6982" s="1831">
        <f>'Expenditures 15-22'!K85</f>
        <v>2322</v>
      </c>
      <c r="D6982" s="2" t="str">
        <f t="shared" si="108"/>
        <v>Error?</v>
      </c>
    </row>
    <row r="6983" spans="1:4" x14ac:dyDescent="0.2">
      <c r="A6983">
        <v>6922</v>
      </c>
      <c r="B6983" s="1831">
        <f>'Expenditures 15-22'!H86</f>
        <v>111242</v>
      </c>
      <c r="D6983" s="2" t="str">
        <f t="shared" si="108"/>
        <v>Error?</v>
      </c>
    </row>
    <row r="6984" spans="1:4" x14ac:dyDescent="0.2">
      <c r="A6984">
        <v>6923</v>
      </c>
      <c r="B6984" s="1831">
        <f>'Expenditures 15-22'!K86</f>
        <v>111242</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22775</v>
      </c>
      <c r="D6987" s="2" t="str">
        <f t="shared" si="108"/>
        <v>Error?</v>
      </c>
    </row>
    <row r="6988" spans="1:4" x14ac:dyDescent="0.2">
      <c r="A6988">
        <v>6927</v>
      </c>
      <c r="B6988" s="1831">
        <f>'Expenditures 15-22'!K88</f>
        <v>22775</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136339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9950</v>
      </c>
      <c r="D7004" s="2" t="str">
        <f t="shared" si="108"/>
        <v>Error?</v>
      </c>
    </row>
    <row r="7005" spans="1:4" x14ac:dyDescent="0.2">
      <c r="A7005">
        <v>6944</v>
      </c>
      <c r="B7005" s="1831">
        <f>'Expenditures 15-22'!K97</f>
        <v>9950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9950</v>
      </c>
      <c r="D7012" s="2" t="str">
        <f t="shared" si="108"/>
        <v>Error?</v>
      </c>
    </row>
    <row r="7013" spans="1:4" x14ac:dyDescent="0.2">
      <c r="A7013">
        <v>6952</v>
      </c>
      <c r="B7013" s="1831">
        <f>'Expenditures 15-22'!K100</f>
        <v>9950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814567</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625787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4392</v>
      </c>
      <c r="D7073" s="2" t="str">
        <f t="shared" si="109"/>
        <v>Error?</v>
      </c>
    </row>
    <row r="7074" spans="1:4" x14ac:dyDescent="0.2">
      <c r="A7074">
        <v>7013</v>
      </c>
      <c r="B7074" s="1831">
        <f>'Expenditures 15-22'!K216</f>
        <v>4392</v>
      </c>
      <c r="D7074" s="2" t="str">
        <f t="shared" si="109"/>
        <v>Error?</v>
      </c>
    </row>
    <row r="7075" spans="1:4" x14ac:dyDescent="0.2">
      <c r="A7075">
        <v>7014</v>
      </c>
      <c r="B7075" s="1831">
        <f>'Expenditures 15-22'!D218</f>
        <v>1703</v>
      </c>
      <c r="D7075" s="2" t="str">
        <f t="shared" si="109"/>
        <v>Error?</v>
      </c>
    </row>
    <row r="7076" spans="1:4" x14ac:dyDescent="0.2">
      <c r="A7076">
        <v>7015</v>
      </c>
      <c r="B7076" s="1831">
        <f>'Expenditures 15-22'!K218</f>
        <v>1703</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841</v>
      </c>
      <c r="D7079" s="2" t="str">
        <f t="shared" si="109"/>
        <v>Error?</v>
      </c>
    </row>
    <row r="7080" spans="1:4" x14ac:dyDescent="0.2">
      <c r="A7080">
        <v>7019</v>
      </c>
      <c r="B7080" s="1831">
        <f>'Expenditures 15-22'!K226</f>
        <v>841</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15612</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15612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32770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32770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140548</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520540</v>
      </c>
      <c r="D7174" s="2" t="str">
        <f t="shared" si="111"/>
        <v>Error?</v>
      </c>
    </row>
    <row r="7175" spans="1:4" x14ac:dyDescent="0.2">
      <c r="A7175">
        <v>7114</v>
      </c>
      <c r="B7175" s="1831">
        <f>'Expenditures 15-22'!F325</f>
        <v>9356</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670444</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1000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1000</v>
      </c>
      <c r="D7198" s="2" t="str">
        <f t="shared" si="111"/>
        <v>Error?</v>
      </c>
    </row>
    <row r="7199" spans="1:4" x14ac:dyDescent="0.2">
      <c r="A7199">
        <v>7138</v>
      </c>
      <c r="B7199" s="1831">
        <f>'Expenditures 15-22'!C330</f>
        <v>140548</v>
      </c>
      <c r="D7199" s="2" t="str">
        <f t="shared" si="111"/>
        <v>Error?</v>
      </c>
    </row>
    <row r="7200" spans="1:4" x14ac:dyDescent="0.2">
      <c r="A7200">
        <v>7139</v>
      </c>
      <c r="B7200" s="1831">
        <f>'Expenditures 15-22'!D330</f>
        <v>15612</v>
      </c>
      <c r="D7200" s="2" t="str">
        <f t="shared" si="111"/>
        <v>Error?</v>
      </c>
    </row>
    <row r="7201" spans="1:4" x14ac:dyDescent="0.2">
      <c r="A7201">
        <v>7140</v>
      </c>
      <c r="B7201" s="1831">
        <f>'Expenditures 15-22'!E330</f>
        <v>649051</v>
      </c>
      <c r="D7201" s="2" t="str">
        <f t="shared" si="111"/>
        <v>Error?</v>
      </c>
    </row>
    <row r="7202" spans="1:4" x14ac:dyDescent="0.2">
      <c r="A7202">
        <v>7141</v>
      </c>
      <c r="B7202" s="1831">
        <f>'Expenditures 15-22'!F330</f>
        <v>9356</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814567</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140548</v>
      </c>
      <c r="D7216" s="2" t="str">
        <f t="shared" si="111"/>
        <v>Error?</v>
      </c>
    </row>
    <row r="7217" spans="1:4" x14ac:dyDescent="0.2">
      <c r="A7217">
        <v>7156</v>
      </c>
      <c r="B7217" s="1831">
        <f>'Expenditures 15-22'!D342</f>
        <v>15612</v>
      </c>
      <c r="D7217" s="2" t="str">
        <f t="shared" si="111"/>
        <v>Error?</v>
      </c>
    </row>
    <row r="7218" spans="1:4" x14ac:dyDescent="0.2">
      <c r="A7218">
        <v>7157</v>
      </c>
      <c r="B7218" s="1831">
        <f>'Expenditures 15-22'!E342</f>
        <v>649051</v>
      </c>
      <c r="D7218" s="2" t="str">
        <f t="shared" si="111"/>
        <v>Error?</v>
      </c>
    </row>
    <row r="7219" spans="1:4" x14ac:dyDescent="0.2">
      <c r="A7219">
        <v>7158</v>
      </c>
      <c r="B7219" s="1831">
        <f>'Expenditures 15-22'!F342</f>
        <v>9356</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814567</v>
      </c>
      <c r="D7224" s="2" t="str">
        <f t="shared" si="111"/>
        <v>Error?</v>
      </c>
    </row>
    <row r="7225" spans="1:4" x14ac:dyDescent="0.2">
      <c r="A7225">
        <v>7164</v>
      </c>
      <c r="B7225" s="1831">
        <f>'Expenditures 15-22'!K343</f>
        <v>-188780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24561</v>
      </c>
      <c r="D7246" s="2" t="str">
        <f t="shared" si="112"/>
        <v>Error?</v>
      </c>
    </row>
    <row r="7247" spans="1:4" x14ac:dyDescent="0.2">
      <c r="A7247">
        <f t="shared" si="113"/>
        <v>7186</v>
      </c>
      <c r="B7247" s="1831">
        <f>'Expenditures 15-22'!E7</f>
        <v>807</v>
      </c>
      <c r="D7247" s="2" t="str">
        <f t="shared" si="112"/>
        <v>Error?</v>
      </c>
    </row>
    <row r="7248" spans="1:4" x14ac:dyDescent="0.2">
      <c r="A7248">
        <f t="shared" si="113"/>
        <v>7187</v>
      </c>
      <c r="B7248" s="1831">
        <f>'Expenditures 15-22'!F7</f>
        <v>6461</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11709</v>
      </c>
      <c r="D7251" s="2" t="str">
        <f t="shared" si="112"/>
        <v>Error?</v>
      </c>
    </row>
    <row r="7252" spans="1:4" x14ac:dyDescent="0.2">
      <c r="A7252">
        <f t="shared" si="113"/>
        <v>7191</v>
      </c>
      <c r="B7252" s="1831">
        <f>'Expenditures 15-22'!D9</f>
        <v>1645</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58208</v>
      </c>
      <c r="D7263" s="2" t="str">
        <f t="shared" si="112"/>
        <v>Error?</v>
      </c>
    </row>
    <row r="7264" spans="1:4" x14ac:dyDescent="0.2">
      <c r="A7264">
        <f t="shared" si="113"/>
        <v>7203</v>
      </c>
      <c r="B7264" s="1831">
        <f>'Expenditures 15-22'!D17</f>
        <v>15012</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5523</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49908</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49908</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16636</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16636</v>
      </c>
      <c r="D7622" s="2" t="str">
        <f t="shared" si="124"/>
        <v>Error?</v>
      </c>
      <c r="E7622" s="2" t="s">
        <v>19</v>
      </c>
    </row>
    <row r="7623" spans="1:5" x14ac:dyDescent="0.2">
      <c r="A7623">
        <f t="shared" si="123"/>
        <v>7562</v>
      </c>
      <c r="B7623" s="1831">
        <f>'Cap Outlay Deprec 26'!L14</f>
        <v>33272</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471177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94741</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94741</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179552</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18123</v>
      </c>
      <c r="D7712" s="2" t="str">
        <f t="shared" si="126"/>
        <v>Error?</v>
      </c>
      <c r="E7712" s="2" t="s">
        <v>822</v>
      </c>
    </row>
    <row r="7713" spans="1:6" x14ac:dyDescent="0.2">
      <c r="A7713">
        <v>7652</v>
      </c>
      <c r="B7713" s="1831">
        <f>'Rest Tax Levies-Tort Im 25'!J8</f>
        <v>268104</v>
      </c>
      <c r="D7713" s="2" t="str">
        <f t="shared" si="126"/>
        <v>Error?</v>
      </c>
      <c r="E7713" s="2" t="s">
        <v>822</v>
      </c>
    </row>
    <row r="7714" spans="1:6" x14ac:dyDescent="0.2">
      <c r="A7714">
        <v>7653</v>
      </c>
      <c r="B7714" s="1831">
        <f>'Rest Tax Levies-Tort Im 25'!K9</f>
        <v>8201</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268104</v>
      </c>
      <c r="D7718" s="2" t="str">
        <f t="shared" si="126"/>
        <v>Error?</v>
      </c>
      <c r="E7718" s="2" t="s">
        <v>822</v>
      </c>
    </row>
    <row r="7719" spans="1:6" x14ac:dyDescent="0.2">
      <c r="A7719">
        <v>7658</v>
      </c>
      <c r="B7719" s="1831">
        <f>'Rest Tax Levies-Tort Im 25'!K12</f>
        <v>26324</v>
      </c>
      <c r="D7719" s="2" t="str">
        <f t="shared" si="126"/>
        <v>Error?</v>
      </c>
      <c r="E7719" s="2" t="s">
        <v>822</v>
      </c>
    </row>
    <row r="7720" spans="1:6" x14ac:dyDescent="0.2">
      <c r="A7720">
        <v>7659</v>
      </c>
      <c r="B7720" s="1831">
        <f>'Rest Tax Levies-Tort Im 25'!H14</f>
        <v>67069</v>
      </c>
      <c r="D7720" s="2" t="str">
        <f t="shared" si="126"/>
        <v>Error?</v>
      </c>
      <c r="E7720" s="2" t="s">
        <v>822</v>
      </c>
    </row>
    <row r="7721" spans="1:6" x14ac:dyDescent="0.2">
      <c r="A7721">
        <v>7660</v>
      </c>
      <c r="B7721" s="1831">
        <f>'Rest Tax Levies-Tort Im 25'!K14</f>
        <v>26324</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268104</v>
      </c>
      <c r="D7731" s="2" t="str">
        <f t="shared" si="126"/>
        <v>Error?</v>
      </c>
      <c r="E7731" s="2" t="s">
        <v>822</v>
      </c>
    </row>
    <row r="7732" spans="1:6" x14ac:dyDescent="0.2">
      <c r="A7732">
        <v>7671</v>
      </c>
      <c r="B7732" s="1831">
        <f>'Rest Tax Levies-Tort Im 25'!J24</f>
        <v>447656</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447656</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1996</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26324</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6500000</v>
      </c>
      <c r="D7817" s="2" t="str">
        <f t="shared" si="128"/>
        <v>Error?</v>
      </c>
      <c r="E7817" s="4" t="s">
        <v>1965</v>
      </c>
    </row>
    <row r="7818" spans="1:5" x14ac:dyDescent="0.2">
      <c r="A7818">
        <v>7757</v>
      </c>
      <c r="B7818" s="1831">
        <f>'PCTC-OEPP 27-28'!F172</f>
        <v>381046</v>
      </c>
      <c r="D7818" s="2" t="str">
        <f t="shared" si="128"/>
        <v>Error?</v>
      </c>
      <c r="E7818" s="4" t="s">
        <v>1979</v>
      </c>
    </row>
    <row r="7819" spans="1:5" x14ac:dyDescent="0.2">
      <c r="A7819">
        <v>7758</v>
      </c>
      <c r="B7819" s="1831">
        <f>'PCTC-OEPP 27-28'!F173</f>
        <v>29</v>
      </c>
      <c r="D7819" s="2" t="str">
        <f t="shared" si="128"/>
        <v>Error?</v>
      </c>
      <c r="E7819" s="4" t="s">
        <v>1979</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14546556</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139337</v>
      </c>
      <c r="D7826" s="2" t="str">
        <f t="shared" si="129"/>
        <v>Error?</v>
      </c>
      <c r="E7826" s="4" t="s">
        <v>1997</v>
      </c>
    </row>
    <row r="7827" spans="1:5" x14ac:dyDescent="0.2">
      <c r="A7827">
        <v>7766</v>
      </c>
      <c r="B7827" s="1831">
        <f>'PCTC-OEPP 27-28'!F35</f>
        <v>13354</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0</v>
      </c>
      <c r="D7830" s="2" t="str">
        <f t="shared" si="129"/>
        <v>Error?</v>
      </c>
      <c r="E7830" s="4" t="s">
        <v>1997</v>
      </c>
    </row>
    <row r="7831" spans="1:5" x14ac:dyDescent="0.2">
      <c r="A7831">
        <v>7770</v>
      </c>
      <c r="B7831" s="1831">
        <f>'PCTC-OEPP 27-28'!F52</f>
        <v>3027</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2146187</v>
      </c>
      <c r="D7834" s="2" t="str">
        <f t="shared" si="129"/>
        <v>Error?</v>
      </c>
      <c r="E7834" s="4" t="s">
        <v>1997</v>
      </c>
    </row>
    <row r="7835" spans="1:5" x14ac:dyDescent="0.2">
      <c r="A7835">
        <v>7774</v>
      </c>
      <c r="B7835" s="1831">
        <f>'PCTC-OEPP 27-28'!F78</f>
        <v>12400369</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11538.447008467479</v>
      </c>
      <c r="D7837" s="2" t="str">
        <f t="shared" si="129"/>
        <v>Error?</v>
      </c>
      <c r="E7837" s="4" t="s">
        <v>1997</v>
      </c>
    </row>
    <row r="7838" spans="1:5" x14ac:dyDescent="0.2">
      <c r="A7838">
        <v>7777</v>
      </c>
      <c r="B7838" s="1831">
        <f>'PCTC-OEPP 27-28'!F96</f>
        <v>91494</v>
      </c>
      <c r="D7838" s="2" t="str">
        <f t="shared" si="129"/>
        <v>Error?</v>
      </c>
      <c r="E7838" s="4" t="s">
        <v>1997</v>
      </c>
    </row>
    <row r="7839" spans="1:5" x14ac:dyDescent="0.2">
      <c r="A7839">
        <v>7778</v>
      </c>
      <c r="B7839" s="1831">
        <f>'PCTC-OEPP 27-28'!F102</f>
        <v>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189423</v>
      </c>
      <c r="D7842" s="2" t="str">
        <f t="shared" si="129"/>
        <v>Error?</v>
      </c>
      <c r="E7842" s="4" t="s">
        <v>1997</v>
      </c>
    </row>
    <row r="7843" spans="1:5" x14ac:dyDescent="0.2">
      <c r="A7843">
        <v>7782</v>
      </c>
      <c r="B7843" s="1831">
        <f>'PCTC-OEPP 27-28'!F107</f>
        <v>5796</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12124</v>
      </c>
      <c r="D7846" s="2" t="str">
        <f t="shared" si="129"/>
        <v>Error?</v>
      </c>
      <c r="E7846" s="4" t="s">
        <v>1997</v>
      </c>
    </row>
    <row r="7847" spans="1:5" x14ac:dyDescent="0.2">
      <c r="A7847">
        <v>7786</v>
      </c>
      <c r="B7847" s="1831">
        <f>'PCTC-OEPP 27-28'!F112</f>
        <v>246653</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234470</v>
      </c>
      <c r="D7858" s="2" t="str">
        <f t="shared" si="129"/>
        <v>Error?</v>
      </c>
      <c r="E7858" s="4" t="s">
        <v>1997</v>
      </c>
    </row>
    <row r="7859" spans="1:5" x14ac:dyDescent="0.2">
      <c r="A7859">
        <v>7798</v>
      </c>
      <c r="B7859" s="1831">
        <f>'PCTC-OEPP 27-28'!F127</f>
        <v>191790</v>
      </c>
      <c r="D7859" s="2" t="str">
        <f t="shared" si="129"/>
        <v>Error?</v>
      </c>
      <c r="E7859" s="4" t="s">
        <v>1997</v>
      </c>
    </row>
    <row r="7860" spans="1:5" x14ac:dyDescent="0.2">
      <c r="A7860">
        <v>7799</v>
      </c>
      <c r="B7860" s="1831">
        <f>'PCTC-OEPP 27-28'!F128</f>
        <v>0</v>
      </c>
      <c r="D7860" s="2" t="str">
        <f t="shared" si="129"/>
        <v>Error?</v>
      </c>
      <c r="E7860" s="4" t="s">
        <v>1997</v>
      </c>
    </row>
    <row r="7861" spans="1:5" x14ac:dyDescent="0.2">
      <c r="A7861">
        <v>7800</v>
      </c>
      <c r="B7861" s="1831">
        <f>'PCTC-OEPP 27-28'!F129</f>
        <v>377340</v>
      </c>
      <c r="D7861" s="2" t="str">
        <f t="shared" si="129"/>
        <v>Error?</v>
      </c>
      <c r="E7861" s="4" t="s">
        <v>1997</v>
      </c>
    </row>
    <row r="7862" spans="1:5" x14ac:dyDescent="0.2">
      <c r="A7862">
        <v>7801</v>
      </c>
      <c r="B7862" s="1831">
        <f>'PCTC-OEPP 27-28'!F130</f>
        <v>0</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0</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48519</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0</v>
      </c>
      <c r="D7874" s="2" t="str">
        <f t="shared" si="129"/>
        <v>Error?</v>
      </c>
      <c r="E7874" s="4" t="s">
        <v>1997</v>
      </c>
    </row>
    <row r="7875" spans="1:5" x14ac:dyDescent="0.2">
      <c r="A7875">
        <v>7814</v>
      </c>
      <c r="B7875" s="1831">
        <f>'PCTC-OEPP 27-28'!F170</f>
        <v>10415</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2048508</v>
      </c>
      <c r="D7877" s="2" t="str">
        <f t="shared" si="129"/>
        <v>Error?</v>
      </c>
      <c r="E7877" s="4" t="s">
        <v>1997</v>
      </c>
    </row>
    <row r="7878" spans="1:5" x14ac:dyDescent="0.2">
      <c r="A7878">
        <v>7817</v>
      </c>
      <c r="B7878" s="1831">
        <f>'PCTC-OEPP 27-28'!F176</f>
        <v>10351861</v>
      </c>
      <c r="D7878" s="2" t="str">
        <f t="shared" si="129"/>
        <v>Error?</v>
      </c>
      <c r="E7878" s="4" t="s">
        <v>1997</v>
      </c>
    </row>
    <row r="7879" spans="1:5" x14ac:dyDescent="0.2">
      <c r="A7879">
        <v>7818</v>
      </c>
      <c r="B7879" s="1831">
        <f>'PCTC-OEPP 27-28'!F178</f>
        <v>10823038</v>
      </c>
      <c r="D7879" s="2" t="str">
        <f t="shared" si="129"/>
        <v>Error?</v>
      </c>
      <c r="E7879" s="4" t="s">
        <v>1997</v>
      </c>
    </row>
    <row r="7880" spans="1:5" x14ac:dyDescent="0.2">
      <c r="A7880">
        <v>7819</v>
      </c>
      <c r="B7880" s="1831">
        <f>'PCTC-OEPP 27-28'!F180</f>
        <v>10070.752768214385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2" t="s">
        <v>1183</v>
      </c>
      <c r="B2" s="2542"/>
      <c r="C2" s="2542"/>
      <c r="D2" s="2542"/>
      <c r="E2" s="2542"/>
      <c r="F2" s="2542"/>
      <c r="G2" s="2542"/>
      <c r="H2" s="2542"/>
      <c r="I2" s="2542"/>
      <c r="J2" s="2542"/>
      <c r="K2" s="2542"/>
      <c r="L2" s="2542"/>
    </row>
    <row r="3" spans="1:29" ht="13.5" customHeight="1" x14ac:dyDescent="0.2">
      <c r="A3" s="2567" t="s">
        <v>1182</v>
      </c>
      <c r="B3" s="2567"/>
      <c r="C3" s="2567"/>
      <c r="D3" s="2567"/>
      <c r="E3" s="2567"/>
      <c r="F3" s="2567"/>
      <c r="G3" s="2567"/>
      <c r="H3" s="2567"/>
      <c r="I3" s="2567"/>
      <c r="J3" s="2567"/>
      <c r="K3" s="2567"/>
      <c r="L3" s="2567"/>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7" t="str">
        <f>COVER!A17</f>
        <v xml:space="preserve">   El Paso-Gridley CUSD 11</v>
      </c>
      <c r="B7" s="2538"/>
      <c r="C7" s="2538"/>
      <c r="D7" s="2539"/>
      <c r="E7" s="2540">
        <f>COVER!A13</f>
        <v>53102011026</v>
      </c>
      <c r="F7" s="2541"/>
      <c r="G7" s="2568" t="str">
        <f>COVER!T23</f>
        <v>066-004933</v>
      </c>
      <c r="H7" s="2569"/>
      <c r="I7" s="2569"/>
      <c r="J7" s="2569"/>
      <c r="K7" s="2569"/>
      <c r="L7" s="2570"/>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71"/>
      <c r="B9" s="2572"/>
      <c r="C9" s="2572"/>
      <c r="D9" s="2572"/>
      <c r="E9" s="2572"/>
      <c r="F9" s="2573"/>
      <c r="G9" s="2548" t="str">
        <f>COVER!T13</f>
        <v>PHILLIPS &amp; ASSOCIATES CPAS PC</v>
      </c>
      <c r="H9" s="2574"/>
      <c r="I9" s="2574"/>
      <c r="J9" s="2574"/>
      <c r="K9" s="2574"/>
      <c r="L9" s="2575"/>
    </row>
    <row r="10" spans="1:29" ht="13.5" customHeight="1" x14ac:dyDescent="0.2">
      <c r="A10" s="2545">
        <f>COVER!A38</f>
        <v>0</v>
      </c>
      <c r="B10" s="2546"/>
      <c r="C10" s="2546"/>
      <c r="D10" s="2546"/>
      <c r="E10" s="2546"/>
      <c r="F10" s="2547"/>
      <c r="G10" s="2548" t="str">
        <f>COVER!T17</f>
        <v>1600 HUNT DR, STE B</v>
      </c>
      <c r="H10" s="2549"/>
      <c r="I10" s="2549"/>
      <c r="J10" s="2549"/>
      <c r="K10" s="2549"/>
      <c r="L10" s="2550"/>
    </row>
    <row r="11" spans="1:29" ht="13.5" customHeight="1" x14ac:dyDescent="0.2">
      <c r="A11" s="963" t="s">
        <v>1505</v>
      </c>
      <c r="B11" s="964"/>
      <c r="C11" s="965"/>
      <c r="D11" s="970"/>
      <c r="E11" s="965"/>
      <c r="F11" s="969"/>
      <c r="G11" s="2548" t="str">
        <f>COVER!T19</f>
        <v>NORMAL</v>
      </c>
      <c r="H11" s="2549"/>
      <c r="I11" s="2549"/>
      <c r="J11" s="2549"/>
      <c r="K11" s="2549"/>
      <c r="L11" s="2550"/>
    </row>
    <row r="12" spans="1:29" ht="13.5" customHeight="1" x14ac:dyDescent="0.2">
      <c r="A12" s="2557" t="s">
        <v>1504</v>
      </c>
      <c r="B12" s="2558"/>
      <c r="C12" s="2558"/>
      <c r="D12" s="2558"/>
      <c r="E12" s="2558"/>
      <c r="F12" s="2559"/>
      <c r="G12" s="2554"/>
      <c r="H12" s="2555"/>
      <c r="I12" s="2555"/>
      <c r="J12" s="2555"/>
      <c r="K12" s="2555"/>
      <c r="L12" s="2556"/>
    </row>
    <row r="13" spans="1:29" ht="13.5" customHeight="1" x14ac:dyDescent="0.2">
      <c r="A13" s="2548"/>
      <c r="B13" s="2549"/>
      <c r="C13" s="2549"/>
      <c r="D13" s="2549"/>
      <c r="E13" s="2549"/>
      <c r="F13" s="2550"/>
      <c r="G13" s="2543" t="s">
        <v>1506</v>
      </c>
      <c r="H13" s="2544"/>
      <c r="I13" s="2560" t="str">
        <f>COVER!T25</f>
        <v>RWP6505@AOL.COM</v>
      </c>
      <c r="J13" s="2561"/>
      <c r="K13" s="2561"/>
      <c r="L13" s="2562"/>
    </row>
    <row r="14" spans="1:29" ht="13.5" customHeight="1" x14ac:dyDescent="0.2">
      <c r="A14" s="2548" t="str">
        <f>COVER!A19</f>
        <v>97 West Fifth Street</v>
      </c>
      <c r="B14" s="2549"/>
      <c r="C14" s="2549"/>
      <c r="D14" s="2549"/>
      <c r="E14" s="2549"/>
      <c r="F14" s="2550"/>
      <c r="G14" s="974" t="s">
        <v>1177</v>
      </c>
      <c r="H14" s="972"/>
      <c r="I14" s="972"/>
      <c r="J14" s="972"/>
      <c r="K14" s="972"/>
      <c r="L14" s="973"/>
    </row>
    <row r="15" spans="1:29" ht="13.5" customHeight="1" x14ac:dyDescent="0.2">
      <c r="A15" s="2548" t="str">
        <f>COVER!A21</f>
        <v>El Paso</v>
      </c>
      <c r="B15" s="2549"/>
      <c r="C15" s="2549"/>
      <c r="D15" s="2549"/>
      <c r="E15" s="2549"/>
      <c r="F15" s="2550"/>
      <c r="G15" s="2551" t="str">
        <f>COVER!T15</f>
        <v>RICHARD W PHILLIPS</v>
      </c>
      <c r="H15" s="2552"/>
      <c r="I15" s="2552"/>
      <c r="J15" s="2552"/>
      <c r="K15" s="2552"/>
      <c r="L15" s="2553"/>
    </row>
    <row r="16" spans="1:29" ht="12.2" customHeight="1" x14ac:dyDescent="0.2">
      <c r="A16" s="2564">
        <f>COVER!A25</f>
        <v>61738</v>
      </c>
      <c r="B16" s="2565"/>
      <c r="C16" s="2565"/>
      <c r="D16" s="2565"/>
      <c r="E16" s="2565"/>
      <c r="F16" s="2566"/>
      <c r="G16" s="2576"/>
      <c r="H16" s="2577"/>
      <c r="I16" s="2577"/>
      <c r="J16" s="2577"/>
      <c r="K16" s="2577"/>
      <c r="L16" s="2578"/>
    </row>
    <row r="17" spans="1:13" ht="12.2" customHeight="1" x14ac:dyDescent="0.2">
      <c r="A17" s="2579"/>
      <c r="B17" s="2565"/>
      <c r="C17" s="2565"/>
      <c r="D17" s="2565"/>
      <c r="E17" s="2565"/>
      <c r="F17" s="2566"/>
      <c r="G17" s="974" t="s">
        <v>1176</v>
      </c>
      <c r="H17" s="972"/>
      <c r="I17" s="972"/>
      <c r="J17" s="972"/>
      <c r="K17" s="976" t="s">
        <v>1175</v>
      </c>
      <c r="L17" s="969"/>
      <c r="M17" s="962"/>
    </row>
    <row r="18" spans="1:13" ht="12.2" customHeight="1" x14ac:dyDescent="0.2">
      <c r="A18" s="2545"/>
      <c r="B18" s="2546"/>
      <c r="C18" s="2546"/>
      <c r="D18" s="2546"/>
      <c r="E18" s="2546"/>
      <c r="F18" s="2547"/>
      <c r="G18" s="2537">
        <f>COVER!T21</f>
        <v>3094522417</v>
      </c>
      <c r="H18" s="2538"/>
      <c r="I18" s="2538"/>
      <c r="J18" s="2538"/>
      <c r="K18" s="2537">
        <f>COVER!X21</f>
        <v>3098889261</v>
      </c>
      <c r="L18" s="256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12:F12"/>
    <mergeCell ref="I13:L13"/>
    <mergeCell ref="A4:L4"/>
    <mergeCell ref="A7:D7"/>
    <mergeCell ref="E7:F7"/>
    <mergeCell ref="A2:L2"/>
    <mergeCell ref="G13:H13"/>
    <mergeCell ref="A10:F10"/>
    <mergeCell ref="G10:L10"/>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D101" sqref="D10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El Paso-Gridley CUSD 11</v>
      </c>
      <c r="B1" s="2581"/>
      <c r="C1" s="2581"/>
      <c r="D1" s="2581"/>
    </row>
    <row r="2" spans="1:11" s="991" customFormat="1" ht="12.75" x14ac:dyDescent="0.2">
      <c r="A2" s="2582">
        <f>'Single Audit Cover'!E7</f>
        <v>53102011026</v>
      </c>
      <c r="B2" s="2583"/>
      <c r="C2" s="2583"/>
      <c r="D2" s="2583"/>
    </row>
    <row r="3" spans="1:11" s="991" customFormat="1" ht="12.75" x14ac:dyDescent="0.2">
      <c r="A3" s="2580" t="s">
        <v>1499</v>
      </c>
      <c r="B3" s="2581"/>
      <c r="C3" s="2581"/>
      <c r="D3" s="2581"/>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2026</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2026</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2026</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2026</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2026</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2026</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2026</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2026</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2026</v>
      </c>
      <c r="C42" s="1008">
        <v>11</v>
      </c>
      <c r="D42" s="1019" t="s">
        <v>1560</v>
      </c>
      <c r="E42" s="290"/>
    </row>
    <row r="43" spans="1:5" ht="3" customHeight="1" x14ac:dyDescent="0.2">
      <c r="A43" s="998"/>
      <c r="B43" s="1015"/>
      <c r="C43" s="1016"/>
      <c r="D43" s="997"/>
    </row>
    <row r="44" spans="1:5" x14ac:dyDescent="0.2">
      <c r="A44" s="998"/>
      <c r="B44" s="1001" t="s">
        <v>2026</v>
      </c>
      <c r="C44" s="1002">
        <f>C42+1</f>
        <v>12</v>
      </c>
      <c r="D44" s="1013" t="s">
        <v>1206</v>
      </c>
    </row>
    <row r="45" spans="1:5" ht="10.5" customHeight="1" x14ac:dyDescent="0.2">
      <c r="A45" s="998"/>
      <c r="B45" s="1014"/>
      <c r="C45" s="1002"/>
      <c r="D45" s="1013" t="s">
        <v>1968</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2026</v>
      </c>
      <c r="C48" s="1002">
        <f>C44+1</f>
        <v>13</v>
      </c>
      <c r="D48" s="1013" t="s">
        <v>1561</v>
      </c>
    </row>
    <row r="49" spans="1:4" ht="3" customHeight="1" x14ac:dyDescent="0.2">
      <c r="A49" s="998"/>
      <c r="B49" s="1005"/>
      <c r="C49" s="1002"/>
      <c r="D49" s="1013"/>
    </row>
    <row r="50" spans="1:4" x14ac:dyDescent="0.2">
      <c r="A50" s="998"/>
      <c r="B50" s="1001" t="s">
        <v>2026</v>
      </c>
      <c r="C50" s="1002">
        <f>C48+1</f>
        <v>14</v>
      </c>
      <c r="D50" s="1013" t="s">
        <v>1204</v>
      </c>
    </row>
    <row r="51" spans="1:4" ht="3" customHeight="1" x14ac:dyDescent="0.2">
      <c r="A51" s="998"/>
      <c r="B51" s="1005"/>
      <c r="C51" s="1002"/>
      <c r="D51" s="1013"/>
    </row>
    <row r="52" spans="1:4" x14ac:dyDescent="0.2">
      <c r="A52" s="998"/>
      <c r="B52" s="1001" t="s">
        <v>2026</v>
      </c>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t="s">
        <v>2026</v>
      </c>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t="s">
        <v>2026</v>
      </c>
      <c r="C72" s="1002">
        <f>C56+1</f>
        <v>18</v>
      </c>
      <c r="D72" s="1023" t="s">
        <v>1695</v>
      </c>
    </row>
    <row r="73" spans="1:4" ht="3" customHeight="1" x14ac:dyDescent="0.2">
      <c r="A73" s="998"/>
      <c r="B73" s="1005"/>
      <c r="C73" s="1002"/>
      <c r="D73" s="1023"/>
    </row>
    <row r="74" spans="1:4" x14ac:dyDescent="0.2">
      <c r="A74" s="998"/>
      <c r="B74" s="1001" t="s">
        <v>2026</v>
      </c>
      <c r="C74" s="1002">
        <f>C72+1</f>
        <v>19</v>
      </c>
      <c r="D74" s="1013" t="s">
        <v>1197</v>
      </c>
    </row>
    <row r="75" spans="1:4" ht="3" customHeight="1" x14ac:dyDescent="0.2">
      <c r="A75" s="998"/>
      <c r="B75" s="1005"/>
      <c r="C75" s="1002"/>
      <c r="D75" s="1013"/>
    </row>
    <row r="76" spans="1:4" x14ac:dyDescent="0.2">
      <c r="A76" s="998"/>
      <c r="B76" s="1001" t="s">
        <v>2026</v>
      </c>
      <c r="C76" s="1002">
        <f>C74+1</f>
        <v>20</v>
      </c>
      <c r="D76" s="1024" t="s">
        <v>1696</v>
      </c>
    </row>
    <row r="77" spans="1:4" ht="3" customHeight="1" x14ac:dyDescent="0.2">
      <c r="A77" s="998"/>
      <c r="B77" s="1005"/>
      <c r="C77" s="1002"/>
      <c r="D77" s="1024"/>
    </row>
    <row r="78" spans="1:4" x14ac:dyDescent="0.2">
      <c r="A78" s="998"/>
      <c r="B78" s="1001" t="s">
        <v>2026</v>
      </c>
      <c r="C78" s="1002">
        <f>C76+1</f>
        <v>21</v>
      </c>
      <c r="D78" s="997" t="s">
        <v>1697</v>
      </c>
    </row>
    <row r="79" spans="1:4" ht="3" customHeight="1" x14ac:dyDescent="0.2">
      <c r="A79" s="998"/>
      <c r="B79" s="1005"/>
      <c r="C79" s="1002"/>
      <c r="D79" s="997"/>
    </row>
    <row r="80" spans="1:4" x14ac:dyDescent="0.2">
      <c r="A80" s="998"/>
      <c r="B80" s="1001" t="s">
        <v>2026</v>
      </c>
      <c r="C80" s="1002">
        <f>C78+1</f>
        <v>22</v>
      </c>
      <c r="D80" s="1025" t="s">
        <v>1698</v>
      </c>
    </row>
    <row r="81" spans="1:4" ht="3" customHeight="1" x14ac:dyDescent="0.2">
      <c r="A81" s="998"/>
      <c r="B81" s="1005"/>
      <c r="C81" s="1002"/>
      <c r="D81" s="1025"/>
    </row>
    <row r="82" spans="1:4" x14ac:dyDescent="0.2">
      <c r="A82" s="998"/>
      <c r="B82" s="1001" t="s">
        <v>2026</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2026</v>
      </c>
      <c r="C85" s="1002">
        <f>C82+1</f>
        <v>24</v>
      </c>
      <c r="D85" s="1013" t="s">
        <v>1195</v>
      </c>
    </row>
    <row r="86" spans="1:4" ht="3" customHeight="1" x14ac:dyDescent="0.2">
      <c r="A86" s="998"/>
      <c r="B86" s="1005"/>
      <c r="C86" s="1002"/>
      <c r="D86" s="1013"/>
    </row>
    <row r="87" spans="1:4" x14ac:dyDescent="0.2">
      <c r="A87" s="998"/>
      <c r="B87" s="1001" t="s">
        <v>2026</v>
      </c>
      <c r="C87" s="1002">
        <f>C85+1</f>
        <v>25</v>
      </c>
      <c r="D87" s="1013" t="s">
        <v>1194</v>
      </c>
    </row>
    <row r="88" spans="1:4" ht="3" customHeight="1" x14ac:dyDescent="0.2">
      <c r="A88" s="998"/>
      <c r="B88" s="1005"/>
      <c r="C88" s="1002"/>
      <c r="D88" s="1013"/>
    </row>
    <row r="89" spans="1:4" x14ac:dyDescent="0.2">
      <c r="A89" s="998"/>
      <c r="B89" s="1001" t="s">
        <v>2026</v>
      </c>
      <c r="C89" s="1002">
        <f>C87+1</f>
        <v>26</v>
      </c>
      <c r="D89" s="1013" t="s">
        <v>1193</v>
      </c>
    </row>
    <row r="90" spans="1:4" ht="3" customHeight="1" x14ac:dyDescent="0.2">
      <c r="A90" s="998"/>
      <c r="B90" s="1005"/>
      <c r="C90" s="1002"/>
      <c r="D90" s="1013"/>
    </row>
    <row r="91" spans="1:4" x14ac:dyDescent="0.2">
      <c r="A91" s="998"/>
      <c r="B91" s="1001" t="s">
        <v>2026</v>
      </c>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I18" sqref="I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El Paso-Gridley CUSD 11</v>
      </c>
      <c r="B1" s="2585"/>
      <c r="C1" s="2585"/>
      <c r="D1" s="2585"/>
      <c r="E1" s="2585"/>
    </row>
    <row r="2" spans="1:5" x14ac:dyDescent="0.2">
      <c r="A2" s="2586">
        <f>'Single Audit Cover'!E7</f>
        <v>53102011026</v>
      </c>
      <c r="B2" s="2586"/>
      <c r="C2" s="2586"/>
      <c r="D2" s="2586"/>
      <c r="E2" s="2586"/>
    </row>
    <row r="3" spans="1:5" ht="4.5" customHeight="1" x14ac:dyDescent="0.2"/>
    <row r="4" spans="1:5" x14ac:dyDescent="0.2">
      <c r="A4" s="2585" t="s">
        <v>1236</v>
      </c>
      <c r="B4" s="2585"/>
      <c r="C4" s="2585"/>
      <c r="D4" s="2585"/>
      <c r="E4" s="2585"/>
    </row>
    <row r="5" spans="1:5" x14ac:dyDescent="0.2">
      <c r="A5" s="2588" t="str">
        <f>'Single Audit Cover'!A4</f>
        <v>Year Ending June 30, 2020</v>
      </c>
      <c r="B5" s="2588"/>
      <c r="C5" s="2588"/>
      <c r="D5" s="2588"/>
      <c r="E5" s="2588"/>
    </row>
    <row r="6" spans="1:5" x14ac:dyDescent="0.2">
      <c r="A6" s="2585" t="s">
        <v>1235</v>
      </c>
      <c r="B6" s="2585"/>
      <c r="C6" s="2585"/>
      <c r="D6" s="2585"/>
      <c r="E6" s="2585"/>
    </row>
    <row r="8" spans="1:5" x14ac:dyDescent="0.2">
      <c r="A8" s="1036" t="s">
        <v>1234</v>
      </c>
    </row>
    <row r="10" spans="1:5" x14ac:dyDescent="0.2">
      <c r="A10" s="1037" t="s">
        <v>1233</v>
      </c>
      <c r="B10" s="1038" t="s">
        <v>1232</v>
      </c>
      <c r="C10" s="1038"/>
      <c r="D10" s="1039">
        <f>SUM('Acct Summary 7-8'!C7:K7)</f>
        <v>882811</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2003</v>
      </c>
      <c r="B14" s="1038"/>
      <c r="C14" s="1038"/>
      <c r="D14" s="1040">
        <f>'ICR Computation 30'!E11</f>
        <v>15717</v>
      </c>
    </row>
    <row r="15" spans="1:5" x14ac:dyDescent="0.2">
      <c r="A15" s="1037"/>
      <c r="B15" s="1038"/>
      <c r="C15" s="1038"/>
    </row>
    <row r="16" spans="1:5" x14ac:dyDescent="0.2">
      <c r="A16" s="1037" t="s">
        <v>1814</v>
      </c>
      <c r="B16" s="1038"/>
      <c r="C16" s="1038"/>
    </row>
    <row r="17" spans="1:4" x14ac:dyDescent="0.2">
      <c r="A17" s="1037" t="s">
        <v>1963</v>
      </c>
      <c r="B17" s="1038" t="s">
        <v>1227</v>
      </c>
      <c r="C17" s="1038"/>
      <c r="D17" s="1040">
        <f>-SUM('Revenues 9-14'!C264:D264,'Revenues 9-14'!F264:G264)</f>
        <v>-10415</v>
      </c>
    </row>
    <row r="19" spans="1:4" ht="13.5" thickBot="1" x14ac:dyDescent="0.25">
      <c r="A19" s="1041" t="s">
        <v>1226</v>
      </c>
      <c r="D19" s="1042">
        <f>SUM(D10:D17)</f>
        <v>888113</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87" t="s">
        <v>2119</v>
      </c>
      <c r="B24" s="2587"/>
      <c r="D24" s="1044">
        <v>11136</v>
      </c>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1224</v>
      </c>
      <c r="D32" s="1039">
        <f>SUM(D19:D30)</f>
        <v>899249</v>
      </c>
    </row>
    <row r="33" spans="1:4" x14ac:dyDescent="0.2">
      <c r="D33" s="1045"/>
    </row>
    <row r="34" spans="1:4" x14ac:dyDescent="0.2">
      <c r="A34" s="295" t="s">
        <v>1223</v>
      </c>
    </row>
    <row r="35" spans="1:4" x14ac:dyDescent="0.2">
      <c r="A35" s="295" t="s">
        <v>1222</v>
      </c>
      <c r="B35" s="1034" t="s">
        <v>1221</v>
      </c>
      <c r="D35" s="1046">
        <f>+SEFA1.2!F23</f>
        <v>899249</v>
      </c>
    </row>
    <row r="37" spans="1:4" x14ac:dyDescent="0.2">
      <c r="A37" s="1036" t="s">
        <v>1220</v>
      </c>
    </row>
    <row r="39" spans="1:4" ht="13.35" customHeight="1" x14ac:dyDescent="0.2">
      <c r="A39" s="1043" t="s">
        <v>1219</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1218</v>
      </c>
      <c r="C47" s="1048"/>
      <c r="D47" s="1049">
        <f>SUM(D35:D45)</f>
        <v>899249</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0"/>
  <sheetViews>
    <sheetView workbookViewId="0">
      <pane ySplit="2910" topLeftCell="A18" activePane="bottomLeft"/>
      <selection activeCell="E23" sqref="E23:I23"/>
      <selection pane="bottomLeft" activeCell="O13" sqref="O1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El Paso-Gridley CUSD 11</v>
      </c>
      <c r="C1" s="2589"/>
      <c r="D1" s="2589"/>
      <c r="E1" s="2589"/>
      <c r="F1" s="2589"/>
      <c r="G1" s="2589"/>
      <c r="H1" s="2589"/>
      <c r="I1" s="2589"/>
      <c r="J1" s="2589"/>
      <c r="K1" s="2589"/>
      <c r="L1" s="2589"/>
      <c r="M1" s="2589"/>
    </row>
    <row r="2" spans="2:14" ht="15" x14ac:dyDescent="0.2">
      <c r="B2" s="2590">
        <f>'Single Audit Cover'!E7</f>
        <v>53102011026</v>
      </c>
      <c r="C2" s="2590"/>
      <c r="D2" s="2590"/>
      <c r="E2" s="2590"/>
      <c r="F2" s="2590"/>
      <c r="G2" s="2590"/>
      <c r="H2" s="2590"/>
      <c r="I2" s="2590"/>
      <c r="J2" s="2590"/>
      <c r="K2" s="2590"/>
      <c r="L2" s="2590"/>
      <c r="M2" s="2590"/>
      <c r="N2" s="1077"/>
    </row>
    <row r="3" spans="2:14" ht="15" x14ac:dyDescent="0.2">
      <c r="B3" s="2591" t="s">
        <v>1210</v>
      </c>
      <c r="C3" s="2591"/>
      <c r="D3" s="2591"/>
      <c r="E3" s="2591"/>
      <c r="F3" s="2591"/>
      <c r="G3" s="2591"/>
      <c r="H3" s="2591"/>
      <c r="I3" s="2591"/>
      <c r="J3" s="2591"/>
      <c r="K3" s="2591"/>
      <c r="L3" s="2591"/>
      <c r="M3" s="2591"/>
      <c r="N3" s="1077"/>
    </row>
    <row r="4" spans="2:14" ht="15" x14ac:dyDescent="0.2">
      <c r="B4" s="2592" t="str">
        <f>'Single Audit Cover'!A4</f>
        <v>Year Ending June 30, 2020</v>
      </c>
      <c r="C4" s="2592"/>
      <c r="D4" s="2592"/>
      <c r="E4" s="2592"/>
      <c r="F4" s="2592"/>
      <c r="G4" s="2592"/>
      <c r="H4" s="2592"/>
      <c r="I4" s="2592"/>
      <c r="J4" s="2592"/>
      <c r="K4" s="2592"/>
      <c r="L4" s="2592"/>
      <c r="M4" s="2592"/>
      <c r="N4" s="1077"/>
    </row>
    <row r="5" spans="2:14" x14ac:dyDescent="0.2">
      <c r="H5" s="1914"/>
      <c r="J5" s="1914"/>
    </row>
    <row r="6" spans="2:14" x14ac:dyDescent="0.2">
      <c r="B6" s="1078"/>
      <c r="C6" s="1079"/>
      <c r="D6" s="1080" t="s">
        <v>1256</v>
      </c>
      <c r="E6" s="1081" t="s">
        <v>524</v>
      </c>
      <c r="F6" s="1082"/>
      <c r="G6" s="1083" t="s">
        <v>1711</v>
      </c>
      <c r="H6" s="1081"/>
      <c r="I6" s="1081"/>
      <c r="J6" s="1915"/>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
        <v>2078</v>
      </c>
      <c r="I8" s="1094" t="s">
        <v>1253</v>
      </c>
      <c r="J8" s="1819" t="s">
        <v>2079</v>
      </c>
      <c r="K8" s="1094" t="s">
        <v>1252</v>
      </c>
      <c r="L8" s="1095" t="s">
        <v>1248</v>
      </c>
      <c r="M8" s="1096" t="s">
        <v>30</v>
      </c>
    </row>
    <row r="9" spans="2:14" ht="14.25" x14ac:dyDescent="0.2">
      <c r="B9" s="1100" t="s">
        <v>1250</v>
      </c>
      <c r="C9" s="1088" t="s">
        <v>1712</v>
      </c>
      <c r="D9" s="1089" t="s">
        <v>1713</v>
      </c>
      <c r="E9" s="1913" t="s">
        <v>2078</v>
      </c>
      <c r="F9" s="1913" t="s">
        <v>2079</v>
      </c>
      <c r="G9" s="1913" t="s">
        <v>2078</v>
      </c>
      <c r="H9" s="1092" t="s">
        <v>1568</v>
      </c>
      <c r="I9" s="1913" t="s">
        <v>2079</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6.25" customHeight="1" x14ac:dyDescent="0.2">
      <c r="B11" s="1112" t="s">
        <v>2096</v>
      </c>
      <c r="C11" s="1820"/>
      <c r="D11" s="1821"/>
      <c r="E11" s="1822"/>
      <c r="F11" s="2056"/>
      <c r="G11" s="1822"/>
      <c r="H11" s="1822"/>
      <c r="I11" s="1822"/>
      <c r="J11" s="1822"/>
      <c r="K11" s="1822"/>
      <c r="L11" s="1822"/>
      <c r="M11" s="1825"/>
    </row>
    <row r="12" spans="2:14" ht="20.100000000000001" customHeight="1" x14ac:dyDescent="0.2">
      <c r="B12" s="1112" t="s">
        <v>1051</v>
      </c>
      <c r="C12" s="1820">
        <v>10.555</v>
      </c>
      <c r="D12" s="1821" t="s">
        <v>2081</v>
      </c>
      <c r="E12" s="1822">
        <v>148578</v>
      </c>
      <c r="F12" s="2056">
        <v>29412</v>
      </c>
      <c r="G12" s="1822">
        <v>148578</v>
      </c>
      <c r="H12" s="1822"/>
      <c r="I12" s="1822">
        <v>29412</v>
      </c>
      <c r="J12" s="1822"/>
      <c r="K12" s="1822"/>
      <c r="L12" s="1822">
        <f>+G12+I12+K12</f>
        <v>177990</v>
      </c>
      <c r="M12" s="1825" t="s">
        <v>2080</v>
      </c>
    </row>
    <row r="13" spans="2:14" ht="20.100000000000001" customHeight="1" x14ac:dyDescent="0.2">
      <c r="B13" s="1112" t="s">
        <v>1051</v>
      </c>
      <c r="C13" s="1823">
        <v>10.555</v>
      </c>
      <c r="D13" s="1824" t="s">
        <v>2082</v>
      </c>
      <c r="E13" s="1825"/>
      <c r="F13" s="2052">
        <v>148133</v>
      </c>
      <c r="G13" s="1825"/>
      <c r="H13" s="1825"/>
      <c r="I13" s="1825">
        <v>148133</v>
      </c>
      <c r="J13" s="1825"/>
      <c r="K13" s="1825"/>
      <c r="L13" s="1822">
        <f t="shared" ref="L13:L19" si="0">+G13+I13+K13</f>
        <v>148133</v>
      </c>
      <c r="M13" s="1825" t="s">
        <v>2080</v>
      </c>
    </row>
    <row r="14" spans="2:14" ht="20.100000000000001" customHeight="1" x14ac:dyDescent="0.2">
      <c r="B14" s="1112" t="s">
        <v>1040</v>
      </c>
      <c r="C14" s="1823">
        <v>10.555999999999999</v>
      </c>
      <c r="D14" s="1824" t="s">
        <v>2083</v>
      </c>
      <c r="E14" s="1825">
        <v>1638</v>
      </c>
      <c r="F14" s="2052">
        <v>314</v>
      </c>
      <c r="G14" s="1825">
        <v>1638</v>
      </c>
      <c r="H14" s="1825"/>
      <c r="I14" s="1825">
        <v>314</v>
      </c>
      <c r="J14" s="1825"/>
      <c r="K14" s="1825"/>
      <c r="L14" s="1822">
        <f t="shared" si="0"/>
        <v>1952</v>
      </c>
      <c r="M14" s="1825" t="s">
        <v>2080</v>
      </c>
    </row>
    <row r="15" spans="2:14" ht="20.100000000000001" customHeight="1" x14ac:dyDescent="0.2">
      <c r="B15" s="1112" t="s">
        <v>1040</v>
      </c>
      <c r="C15" s="1823">
        <v>10.555999999999999</v>
      </c>
      <c r="D15" s="1824" t="s">
        <v>2084</v>
      </c>
      <c r="E15" s="1825"/>
      <c r="F15" s="2052">
        <v>1311</v>
      </c>
      <c r="G15" s="1825"/>
      <c r="H15" s="1825"/>
      <c r="I15" s="1825">
        <v>1311</v>
      </c>
      <c r="J15" s="1825"/>
      <c r="K15" s="1825"/>
      <c r="L15" s="1822">
        <f t="shared" si="0"/>
        <v>1311</v>
      </c>
      <c r="M15" s="1825" t="s">
        <v>2080</v>
      </c>
    </row>
    <row r="16" spans="2:14" ht="20.100000000000001" customHeight="1" x14ac:dyDescent="0.2">
      <c r="B16" s="1112" t="s">
        <v>1052</v>
      </c>
      <c r="C16" s="1823">
        <v>10.553000000000001</v>
      </c>
      <c r="D16" s="1824" t="s">
        <v>2085</v>
      </c>
      <c r="E16" s="1825">
        <v>32055</v>
      </c>
      <c r="F16" s="2052">
        <v>5883</v>
      </c>
      <c r="G16" s="1825">
        <v>32055</v>
      </c>
      <c r="H16" s="1825"/>
      <c r="I16" s="1825">
        <v>5883</v>
      </c>
      <c r="J16" s="1825"/>
      <c r="K16" s="1825"/>
      <c r="L16" s="1822">
        <f t="shared" si="0"/>
        <v>37938</v>
      </c>
      <c r="M16" s="1825" t="s">
        <v>2080</v>
      </c>
    </row>
    <row r="17" spans="2:14" ht="20.100000000000001" customHeight="1" x14ac:dyDescent="0.2">
      <c r="B17" s="1112" t="s">
        <v>1052</v>
      </c>
      <c r="C17" s="1823">
        <v>10.553000000000001</v>
      </c>
      <c r="D17" s="1824" t="s">
        <v>2086</v>
      </c>
      <c r="E17" s="1825"/>
      <c r="F17" s="2052">
        <v>49417</v>
      </c>
      <c r="G17" s="1825"/>
      <c r="H17" s="1825"/>
      <c r="I17" s="1825">
        <v>49417</v>
      </c>
      <c r="J17" s="1825"/>
      <c r="K17" s="1825"/>
      <c r="L17" s="1822">
        <f t="shared" si="0"/>
        <v>49417</v>
      </c>
      <c r="M17" s="1825" t="s">
        <v>2080</v>
      </c>
    </row>
    <row r="18" spans="2:14" ht="20.100000000000001" customHeight="1" x14ac:dyDescent="0.2">
      <c r="B18" s="1112" t="s">
        <v>2110</v>
      </c>
      <c r="C18" s="1823">
        <v>10.555</v>
      </c>
      <c r="D18" s="2048" t="s">
        <v>2114</v>
      </c>
      <c r="E18" s="1825">
        <v>19871</v>
      </c>
      <c r="F18" s="2052"/>
      <c r="G18" s="1825">
        <v>19871</v>
      </c>
      <c r="H18" s="1825"/>
      <c r="I18" s="1825"/>
      <c r="J18" s="1825"/>
      <c r="K18" s="1825"/>
      <c r="L18" s="1822"/>
      <c r="M18" s="1825"/>
    </row>
    <row r="19" spans="2:14" ht="20.100000000000001" customHeight="1" x14ac:dyDescent="0.2">
      <c r="B19" s="1112" t="s">
        <v>2110</v>
      </c>
      <c r="C19" s="1823">
        <v>10.555</v>
      </c>
      <c r="D19" s="2043" t="s">
        <v>2114</v>
      </c>
      <c r="E19" s="1825"/>
      <c r="F19" s="2052">
        <v>15717</v>
      </c>
      <c r="G19" s="1825"/>
      <c r="H19" s="1825"/>
      <c r="I19" s="1825">
        <v>15717</v>
      </c>
      <c r="J19" s="1825"/>
      <c r="K19" s="1825"/>
      <c r="L19" s="1822">
        <f t="shared" si="0"/>
        <v>15717</v>
      </c>
      <c r="M19" s="1825"/>
    </row>
    <row r="20" spans="2:14" ht="20.100000000000001" customHeight="1" x14ac:dyDescent="0.2">
      <c r="B20" s="2041" t="s">
        <v>2111</v>
      </c>
      <c r="C20" s="1823"/>
      <c r="D20" s="1824"/>
      <c r="E20" s="2045">
        <f>SUM(E12:E19)</f>
        <v>202142</v>
      </c>
      <c r="F20" s="2045">
        <f>SUM(F12:F19)</f>
        <v>250187</v>
      </c>
      <c r="G20" s="2045">
        <f>SUM(G12:G19)</f>
        <v>202142</v>
      </c>
      <c r="H20" s="2045">
        <f>SUM(H12:H19)</f>
        <v>0</v>
      </c>
      <c r="I20" s="2045">
        <f>SUM(I12:I19)</f>
        <v>250187</v>
      </c>
      <c r="J20" s="1825"/>
      <c r="K20" s="1825"/>
      <c r="L20" s="1822"/>
      <c r="M20" s="1825"/>
    </row>
    <row r="21" spans="2:14" ht="23.25" customHeight="1" x14ac:dyDescent="0.2">
      <c r="B21" s="1112" t="s">
        <v>2112</v>
      </c>
      <c r="C21" s="1823">
        <v>10.582000000000001</v>
      </c>
      <c r="D21" s="2048" t="s">
        <v>2114</v>
      </c>
      <c r="E21" s="1825">
        <v>12588</v>
      </c>
      <c r="F21" s="1825"/>
      <c r="G21" s="1825">
        <v>12588</v>
      </c>
      <c r="H21" s="2045"/>
      <c r="I21" s="2045"/>
      <c r="J21" s="1825"/>
      <c r="K21" s="1825"/>
      <c r="L21" s="1822"/>
      <c r="M21" s="1825"/>
    </row>
    <row r="22" spans="2:14" ht="24" customHeight="1" x14ac:dyDescent="0.2">
      <c r="B22" s="1112" t="s">
        <v>2112</v>
      </c>
      <c r="C22" s="1823">
        <v>10.582000000000001</v>
      </c>
      <c r="D22" s="2043" t="s">
        <v>2114</v>
      </c>
      <c r="E22" s="1825"/>
      <c r="F22" s="1825">
        <v>11136</v>
      </c>
      <c r="G22" s="1825"/>
      <c r="H22" s="1825"/>
      <c r="I22" s="1825">
        <v>11136</v>
      </c>
      <c r="J22" s="1825"/>
      <c r="K22" s="1825"/>
      <c r="L22" s="1822"/>
      <c r="M22" s="1825"/>
    </row>
    <row r="23" spans="2:14" ht="20.100000000000001" customHeight="1" x14ac:dyDescent="0.2">
      <c r="B23" s="2041" t="s">
        <v>2113</v>
      </c>
      <c r="C23" s="2044"/>
      <c r="D23" s="2045"/>
      <c r="E23" s="2045">
        <f>+E22+E21+E20</f>
        <v>214730</v>
      </c>
      <c r="F23" s="2045">
        <f>+F22+F21+F20</f>
        <v>261323</v>
      </c>
      <c r="G23" s="2045">
        <f>+G22+G21+G20</f>
        <v>214730</v>
      </c>
      <c r="H23" s="2045">
        <f>+H22+H21+H20</f>
        <v>0</v>
      </c>
      <c r="I23" s="2045">
        <f>+I22+I21+I20</f>
        <v>261323</v>
      </c>
      <c r="J23" s="1825"/>
      <c r="K23" s="1825"/>
      <c r="L23" s="1822"/>
      <c r="M23" s="1825"/>
    </row>
    <row r="24" spans="2:14" ht="20.100000000000001" customHeight="1" x14ac:dyDescent="0.2">
      <c r="B24" s="1112"/>
      <c r="C24" s="1823"/>
      <c r="D24" s="1824"/>
      <c r="E24" s="1825"/>
      <c r="F24" s="1825"/>
      <c r="G24" s="1825"/>
      <c r="H24" s="1825"/>
      <c r="I24" s="1825"/>
      <c r="J24" s="1825"/>
      <c r="K24" s="1825"/>
      <c r="L24" s="1822"/>
      <c r="M24" s="1825"/>
    </row>
    <row r="25" spans="2:14" ht="20.100000000000001" customHeight="1" x14ac:dyDescent="0.2">
      <c r="B25" s="1112"/>
      <c r="C25" s="1823"/>
      <c r="D25" s="1824"/>
      <c r="E25" s="1825"/>
      <c r="F25" s="1825"/>
      <c r="G25" s="1825"/>
      <c r="H25" s="1825"/>
      <c r="I25" s="1825"/>
      <c r="J25" s="1825"/>
      <c r="K25" s="1825"/>
      <c r="L25" s="1822"/>
      <c r="M25" s="1825"/>
    </row>
    <row r="26" spans="2:14" ht="20.100000000000001" customHeight="1" x14ac:dyDescent="0.2">
      <c r="B26" s="1112"/>
      <c r="C26" s="1823"/>
      <c r="D26" s="1824"/>
      <c r="E26" s="1825"/>
      <c r="F26" s="1825"/>
      <c r="G26" s="1825"/>
      <c r="H26" s="1825"/>
      <c r="I26" s="1825"/>
      <c r="J26" s="1825"/>
      <c r="K26" s="1825"/>
      <c r="L26" s="1822"/>
      <c r="M26" s="1825"/>
    </row>
    <row r="27" spans="2:14" ht="20.100000000000001" customHeight="1" x14ac:dyDescent="0.2">
      <c r="B27" s="2041" t="s">
        <v>2109</v>
      </c>
      <c r="C27" s="2044"/>
      <c r="D27" s="2046"/>
      <c r="E27" s="2045">
        <f>+E23</f>
        <v>214730</v>
      </c>
      <c r="F27" s="2045">
        <f>+F23</f>
        <v>261323</v>
      </c>
      <c r="G27" s="2045">
        <f>+G23</f>
        <v>214730</v>
      </c>
      <c r="H27" s="2045">
        <f>+H23</f>
        <v>0</v>
      </c>
      <c r="I27" s="2045">
        <f>+I23</f>
        <v>261323</v>
      </c>
      <c r="J27" s="1825"/>
      <c r="K27" s="1825"/>
      <c r="L27" s="1822"/>
      <c r="M27" s="1825"/>
    </row>
    <row r="28" spans="2:14" ht="20.100000000000001" customHeight="1" x14ac:dyDescent="0.2">
      <c r="B28" s="1112"/>
      <c r="C28" s="1823"/>
      <c r="D28" s="1824"/>
      <c r="E28" s="1825"/>
      <c r="F28" s="1825"/>
      <c r="G28" s="1825"/>
      <c r="H28" s="1825"/>
      <c r="I28" s="1825"/>
      <c r="J28" s="1825"/>
      <c r="K28" s="1825"/>
      <c r="L28" s="1822"/>
      <c r="M28" s="1825"/>
    </row>
    <row r="29" spans="2:14" ht="20.100000000000001" customHeight="1" x14ac:dyDescent="0.2">
      <c r="B29" s="1112"/>
      <c r="C29" s="1823"/>
      <c r="D29" s="1824"/>
      <c r="E29" s="1825"/>
      <c r="F29" s="1825"/>
      <c r="G29" s="1825"/>
      <c r="H29" s="1825"/>
      <c r="I29" s="1825"/>
      <c r="J29" s="1825"/>
      <c r="K29" s="1825"/>
      <c r="L29" s="1822"/>
      <c r="M29" s="1825"/>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3"/>
      <c r="C31" s="1118"/>
      <c r="D31" s="1119"/>
      <c r="E31" s="1033"/>
      <c r="F31" s="1033"/>
      <c r="G31" s="1026"/>
      <c r="H31" s="1026"/>
      <c r="I31" s="1026"/>
      <c r="J31" s="1026"/>
      <c r="K31" s="1026"/>
      <c r="L31" s="1026"/>
      <c r="M31" s="1033"/>
      <c r="N31" s="1113"/>
    </row>
    <row r="32" spans="2:14" ht="13.5" customHeight="1" x14ac:dyDescent="0.2">
      <c r="B32" s="1057" t="s">
        <v>1714</v>
      </c>
      <c r="C32" s="1118"/>
      <c r="D32" s="1119"/>
      <c r="E32" s="1033"/>
      <c r="F32" s="1033"/>
      <c r="G32" s="1026"/>
      <c r="H32" s="1026"/>
      <c r="I32" s="1026"/>
      <c r="J32" s="1026"/>
      <c r="K32" s="1026"/>
      <c r="L32" s="1026"/>
      <c r="M32" s="1033"/>
      <c r="N32" s="1113"/>
    </row>
    <row r="33" spans="2:14" ht="8.25" customHeight="1" x14ac:dyDescent="0.2">
      <c r="B33" s="1057"/>
      <c r="C33" s="1118"/>
      <c r="D33" s="1119"/>
      <c r="E33" s="1033"/>
      <c r="F33" s="1033"/>
      <c r="G33" s="1026"/>
      <c r="H33" s="1026"/>
      <c r="I33" s="1026"/>
      <c r="J33" s="1026"/>
      <c r="K33" s="1026"/>
      <c r="L33" s="1026"/>
      <c r="M33" s="1033"/>
      <c r="N33" s="1113"/>
    </row>
    <row r="34" spans="2:14" x14ac:dyDescent="0.2">
      <c r="B34" s="1120" t="s">
        <v>1811</v>
      </c>
      <c r="C34" s="1121"/>
      <c r="D34" s="1122"/>
      <c r="E34" s="1123"/>
      <c r="F34" s="1123"/>
      <c r="G34" s="1123"/>
      <c r="H34" s="1123"/>
      <c r="I34" s="295"/>
      <c r="J34" s="295"/>
    </row>
    <row r="35" spans="2:14" x14ac:dyDescent="0.2">
      <c r="B35" s="1052"/>
      <c r="C35" s="1124"/>
      <c r="D35" s="1125"/>
      <c r="E35" s="1053"/>
      <c r="F35" s="1053"/>
      <c r="G35" s="295"/>
      <c r="H35" s="295"/>
      <c r="I35" s="295"/>
      <c r="J35" s="295"/>
    </row>
    <row r="36" spans="2:14" x14ac:dyDescent="0.2">
      <c r="B36" s="1051" t="s">
        <v>1237</v>
      </c>
      <c r="G36" s="295"/>
      <c r="H36" s="295"/>
      <c r="I36" s="295"/>
      <c r="J36" s="295"/>
    </row>
    <row r="37" spans="2:14" x14ac:dyDescent="0.2">
      <c r="B37" s="1128"/>
      <c r="C37" s="1129"/>
      <c r="D37" s="1130"/>
      <c r="E37" s="1072"/>
      <c r="F37" s="1072"/>
      <c r="G37" s="1072"/>
      <c r="H37" s="1072"/>
      <c r="I37" s="1072"/>
      <c r="J37" s="1072"/>
      <c r="K37" s="1131"/>
      <c r="L37" s="1131"/>
      <c r="M37" s="1072"/>
    </row>
    <row r="38" spans="2:14" x14ac:dyDescent="0.2">
      <c r="B38" s="1132"/>
      <c r="G38" s="295"/>
      <c r="H38" s="295"/>
      <c r="I38" s="295"/>
      <c r="J38" s="295"/>
    </row>
    <row r="39" spans="2:14" x14ac:dyDescent="0.2">
      <c r="B39" s="1133" t="s">
        <v>1715</v>
      </c>
      <c r="C39" s="1134"/>
      <c r="D39" s="1134"/>
      <c r="E39" s="1134"/>
      <c r="F39" s="1134"/>
      <c r="G39" s="1134"/>
      <c r="H39" s="1134"/>
      <c r="I39" s="1135"/>
      <c r="J39" s="1135"/>
      <c r="K39" s="1135"/>
      <c r="L39" s="1135"/>
      <c r="M39" s="1135"/>
    </row>
    <row r="40" spans="2:14" x14ac:dyDescent="0.2">
      <c r="B40" s="1136" t="s">
        <v>1570</v>
      </c>
      <c r="C40" s="1135"/>
      <c r="D40" s="1135"/>
      <c r="E40" s="1135"/>
      <c r="F40" s="1135"/>
      <c r="G40" s="1135"/>
      <c r="H40" s="1135"/>
      <c r="I40" s="1135"/>
      <c r="J40" s="1135"/>
      <c r="K40" s="1135"/>
      <c r="L40" s="1135"/>
      <c r="M40" s="1135"/>
    </row>
    <row r="41" spans="2:14" x14ac:dyDescent="0.2">
      <c r="B41" s="1136"/>
      <c r="C41" s="1135"/>
      <c r="D41" s="1135"/>
      <c r="E41" s="1135"/>
      <c r="F41" s="1135"/>
      <c r="G41" s="1135"/>
      <c r="H41" s="1135"/>
      <c r="I41" s="1135"/>
      <c r="J41" s="1135"/>
      <c r="K41" s="1135"/>
      <c r="L41" s="1135"/>
      <c r="M41" s="1135"/>
    </row>
    <row r="42" spans="2:14" x14ac:dyDescent="0.2">
      <c r="B42" s="1133" t="s">
        <v>1716</v>
      </c>
      <c r="C42" s="1135"/>
      <c r="D42" s="1135"/>
      <c r="E42" s="1135"/>
      <c r="F42" s="1135"/>
      <c r="G42" s="1135"/>
      <c r="H42" s="1135"/>
      <c r="I42" s="1135"/>
      <c r="J42" s="1135"/>
      <c r="K42" s="1135"/>
      <c r="L42" s="1135"/>
      <c r="M42" s="1135"/>
    </row>
    <row r="43" spans="2:14" x14ac:dyDescent="0.2">
      <c r="B43" s="1075" t="s">
        <v>1571</v>
      </c>
      <c r="C43" s="1137"/>
      <c r="D43" s="1138"/>
      <c r="E43" s="1075"/>
      <c r="F43" s="1075"/>
      <c r="G43" s="1075"/>
      <c r="H43" s="1075"/>
      <c r="I43" s="1075"/>
      <c r="J43" s="1075"/>
      <c r="K43" s="1139"/>
      <c r="L43" s="1139"/>
      <c r="M43" s="1075"/>
    </row>
    <row r="44" spans="2:14" x14ac:dyDescent="0.2">
      <c r="B44" s="1075"/>
      <c r="C44" s="1137"/>
      <c r="D44" s="1138"/>
      <c r="E44" s="1075"/>
      <c r="F44" s="1075"/>
      <c r="G44" s="1075"/>
      <c r="H44" s="1075"/>
      <c r="I44" s="1075"/>
      <c r="J44" s="1075"/>
      <c r="K44" s="1139"/>
      <c r="L44" s="1139"/>
      <c r="M44" s="1075"/>
    </row>
    <row r="45" spans="2:14" x14ac:dyDescent="0.2">
      <c r="B45" s="1140" t="s">
        <v>1717</v>
      </c>
      <c r="C45" s="1137"/>
      <c r="D45" s="1138"/>
      <c r="E45" s="1075"/>
      <c r="F45" s="1075"/>
      <c r="G45" s="1075"/>
      <c r="H45" s="1075"/>
      <c r="I45" s="1075"/>
      <c r="J45" s="1075"/>
      <c r="K45" s="1139"/>
      <c r="L45" s="1139"/>
      <c r="M45" s="1075"/>
    </row>
    <row r="46" spans="2:14" x14ac:dyDescent="0.2">
      <c r="B46" s="1140"/>
      <c r="C46" s="1137"/>
      <c r="D46" s="1138"/>
      <c r="E46" s="1075"/>
      <c r="F46" s="1075"/>
      <c r="G46" s="1075"/>
      <c r="H46" s="1075"/>
      <c r="I46" s="1075"/>
      <c r="J46" s="1075"/>
      <c r="K46" s="1139"/>
      <c r="L46" s="1139"/>
      <c r="M46" s="1075"/>
    </row>
    <row r="47" spans="2:14" ht="14.25" x14ac:dyDescent="0.2">
      <c r="B47" s="1141" t="s">
        <v>1718</v>
      </c>
      <c r="C47" s="1137"/>
      <c r="D47" s="1138"/>
      <c r="E47" s="1075"/>
      <c r="F47" s="1075"/>
      <c r="G47" s="1075"/>
      <c r="H47" s="1075"/>
      <c r="I47" s="1075"/>
      <c r="J47" s="1075"/>
      <c r="K47" s="1139"/>
      <c r="L47" s="1139"/>
      <c r="M47" s="1075"/>
    </row>
    <row r="48" spans="2:14" x14ac:dyDescent="0.2">
      <c r="B48" s="1075" t="s">
        <v>1572</v>
      </c>
      <c r="G48" s="295"/>
      <c r="H48" s="295"/>
      <c r="I48" s="295"/>
      <c r="J48" s="295"/>
    </row>
    <row r="49" spans="2:13" x14ac:dyDescent="0.2">
      <c r="B49" s="1075"/>
      <c r="G49" s="295"/>
      <c r="H49" s="295"/>
      <c r="I49" s="295"/>
      <c r="J49" s="295"/>
    </row>
    <row r="50" spans="2:13" x14ac:dyDescent="0.2">
      <c r="B50" s="1075"/>
      <c r="G50" s="295"/>
      <c r="H50" s="295"/>
      <c r="I50" s="295"/>
      <c r="J50" s="295"/>
    </row>
    <row r="51" spans="2:13" x14ac:dyDescent="0.2">
      <c r="M51" s="1142"/>
    </row>
    <row r="52" spans="2:13" x14ac:dyDescent="0.2">
      <c r="M52" s="1142"/>
    </row>
    <row r="53" spans="2:13" x14ac:dyDescent="0.2">
      <c r="M53" s="1142"/>
    </row>
    <row r="54" spans="2:13" x14ac:dyDescent="0.2">
      <c r="G54" s="295"/>
      <c r="H54" s="295"/>
      <c r="I54" s="295"/>
      <c r="J54" s="295"/>
    </row>
    <row r="55" spans="2:13" x14ac:dyDescent="0.2">
      <c r="G55" s="295"/>
      <c r="H55" s="295"/>
      <c r="I55" s="295"/>
      <c r="J55" s="295"/>
    </row>
    <row r="56" spans="2:13" x14ac:dyDescent="0.2">
      <c r="G56" s="295"/>
      <c r="H56" s="295"/>
      <c r="I56" s="295"/>
      <c r="J56" s="295"/>
    </row>
    <row r="57" spans="2:13" x14ac:dyDescent="0.2">
      <c r="G57" s="295"/>
      <c r="H57" s="295"/>
      <c r="I57" s="295"/>
      <c r="J57" s="295"/>
    </row>
    <row r="58" spans="2:13" x14ac:dyDescent="0.2">
      <c r="G58" s="295"/>
      <c r="H58" s="295"/>
      <c r="I58" s="295"/>
      <c r="J58" s="295"/>
    </row>
    <row r="59" spans="2:13" x14ac:dyDescent="0.2">
      <c r="G59" s="295"/>
      <c r="H59" s="295"/>
      <c r="I59" s="295"/>
      <c r="J59" s="295"/>
    </row>
    <row r="60" spans="2:13" x14ac:dyDescent="0.2">
      <c r="G60" s="295"/>
      <c r="H60" s="295"/>
      <c r="I60" s="295"/>
      <c r="J60" s="295"/>
    </row>
  </sheetData>
  <mergeCells count="4">
    <mergeCell ref="B1:M1"/>
    <mergeCell ref="B2:M2"/>
    <mergeCell ref="B3:M3"/>
    <mergeCell ref="B4:M4"/>
  </mergeCells>
  <pageMargins left="0.7" right="0.7" top="0.75" bottom="0.75" header="0.3" footer="0.3"/>
  <pageSetup scale="65" orientation="landscape" r:id="rId1"/>
  <headerFooter>
    <oddHeader xml:space="preserve">&amp;LPage 40&amp;RPage 40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0"/>
  <sheetViews>
    <sheetView topLeftCell="A12" workbookViewId="0">
      <selection activeCell="L14" sqref="L14"/>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El Paso-Gridley CUSD 11</v>
      </c>
      <c r="C1" s="2589"/>
      <c r="D1" s="2589"/>
      <c r="E1" s="2589"/>
      <c r="F1" s="2589"/>
      <c r="G1" s="2589"/>
      <c r="H1" s="2589"/>
      <c r="I1" s="2589"/>
      <c r="J1" s="2589"/>
      <c r="K1" s="2589"/>
      <c r="L1" s="2589"/>
      <c r="M1" s="2589"/>
    </row>
    <row r="2" spans="2:14" ht="15" x14ac:dyDescent="0.2">
      <c r="B2" s="2590">
        <f>'Single Audit Cover'!E7</f>
        <v>53102011026</v>
      </c>
      <c r="C2" s="2590"/>
      <c r="D2" s="2590"/>
      <c r="E2" s="2590"/>
      <c r="F2" s="2590"/>
      <c r="G2" s="2590"/>
      <c r="H2" s="2590"/>
      <c r="I2" s="2590"/>
      <c r="J2" s="2590"/>
      <c r="K2" s="2590"/>
      <c r="L2" s="2590"/>
      <c r="M2" s="2590"/>
      <c r="N2" s="1077"/>
    </row>
    <row r="3" spans="2:14" ht="15" x14ac:dyDescent="0.2">
      <c r="B3" s="2591" t="s">
        <v>1210</v>
      </c>
      <c r="C3" s="2591"/>
      <c r="D3" s="2591"/>
      <c r="E3" s="2591"/>
      <c r="F3" s="2591"/>
      <c r="G3" s="2591"/>
      <c r="H3" s="2591"/>
      <c r="I3" s="2591"/>
      <c r="J3" s="2591"/>
      <c r="K3" s="2591"/>
      <c r="L3" s="2591"/>
      <c r="M3" s="2591"/>
      <c r="N3" s="1077"/>
    </row>
    <row r="4" spans="2:14" ht="15" x14ac:dyDescent="0.2">
      <c r="B4" s="2592" t="str">
        <f>'Single Audit Cover'!A4</f>
        <v>Year Ending June 30, 2020</v>
      </c>
      <c r="C4" s="2592"/>
      <c r="D4" s="2592"/>
      <c r="E4" s="2592"/>
      <c r="F4" s="2592"/>
      <c r="G4" s="2592"/>
      <c r="H4" s="2592"/>
      <c r="I4" s="2592"/>
      <c r="J4" s="2592"/>
      <c r="K4" s="2592"/>
      <c r="L4" s="2592"/>
      <c r="M4" s="2592"/>
      <c r="N4" s="1077"/>
    </row>
    <row r="5" spans="2:14" x14ac:dyDescent="0.2">
      <c r="H5" s="1914"/>
      <c r="J5" s="1914"/>
    </row>
    <row r="6" spans="2:14" x14ac:dyDescent="0.2">
      <c r="B6" s="1078"/>
      <c r="C6" s="1079"/>
      <c r="D6" s="1080" t="s">
        <v>1256</v>
      </c>
      <c r="E6" s="1081" t="s">
        <v>524</v>
      </c>
      <c r="F6" s="1082"/>
      <c r="G6" s="1083" t="s">
        <v>1711</v>
      </c>
      <c r="H6" s="1081"/>
      <c r="I6" s="1081"/>
      <c r="J6" s="1915"/>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
        <v>2078</v>
      </c>
      <c r="I8" s="1094" t="s">
        <v>1253</v>
      </c>
      <c r="J8" s="1819" t="s">
        <v>2079</v>
      </c>
      <c r="K8" s="1094" t="s">
        <v>1252</v>
      </c>
      <c r="L8" s="1095" t="s">
        <v>1248</v>
      </c>
      <c r="M8" s="1096" t="s">
        <v>30</v>
      </c>
    </row>
    <row r="9" spans="2:14" ht="14.25" x14ac:dyDescent="0.2">
      <c r="B9" s="1100" t="s">
        <v>1250</v>
      </c>
      <c r="C9" s="1088" t="s">
        <v>1712</v>
      </c>
      <c r="D9" s="1089" t="s">
        <v>1713</v>
      </c>
      <c r="E9" s="1913" t="s">
        <v>2078</v>
      </c>
      <c r="F9" s="1913" t="s">
        <v>2079</v>
      </c>
      <c r="G9" s="1913" t="s">
        <v>2078</v>
      </c>
      <c r="H9" s="1092" t="s">
        <v>1568</v>
      </c>
      <c r="I9" s="1913" t="s">
        <v>2079</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7" customHeight="1" x14ac:dyDescent="0.2">
      <c r="B11" s="1112" t="s">
        <v>2097</v>
      </c>
      <c r="C11" s="1823"/>
      <c r="D11" s="1824"/>
      <c r="E11" s="1825"/>
      <c r="F11" s="1825"/>
      <c r="G11" s="1825"/>
      <c r="H11" s="1825"/>
      <c r="I11" s="1825"/>
      <c r="J11" s="1825"/>
      <c r="K11" s="1825"/>
      <c r="L11" s="1822"/>
      <c r="M11" s="1825"/>
    </row>
    <row r="12" spans="2:14" ht="3.75" customHeight="1" x14ac:dyDescent="0.2">
      <c r="B12" s="1112"/>
      <c r="C12" s="1823"/>
      <c r="D12" s="1824"/>
      <c r="E12" s="1825"/>
      <c r="F12" s="1825"/>
      <c r="G12" s="1825"/>
      <c r="H12" s="1825"/>
      <c r="I12" s="1825"/>
      <c r="J12" s="1825"/>
      <c r="K12" s="1825"/>
      <c r="L12" s="1822"/>
      <c r="M12" s="1825"/>
    </row>
    <row r="13" spans="2:14" ht="20.100000000000001" customHeight="1" x14ac:dyDescent="0.2">
      <c r="B13" s="1112" t="s">
        <v>912</v>
      </c>
      <c r="C13" s="1823" t="s">
        <v>2104</v>
      </c>
      <c r="D13" s="1824" t="s">
        <v>2087</v>
      </c>
      <c r="E13" s="1825">
        <v>69226</v>
      </c>
      <c r="F13" s="2052">
        <v>52288</v>
      </c>
      <c r="G13" s="1825">
        <v>121514</v>
      </c>
      <c r="H13" s="1825"/>
      <c r="I13" s="1825"/>
      <c r="J13" s="1825"/>
      <c r="K13" s="1825"/>
      <c r="L13" s="1822">
        <f>+G13+I13+K13</f>
        <v>121514</v>
      </c>
      <c r="M13" s="1825">
        <v>149142</v>
      </c>
    </row>
    <row r="14" spans="2:14" ht="20.100000000000001" customHeight="1" x14ac:dyDescent="0.2">
      <c r="B14" s="1112" t="s">
        <v>912</v>
      </c>
      <c r="C14" s="1823" t="s">
        <v>2104</v>
      </c>
      <c r="D14" s="1824" t="s">
        <v>2088</v>
      </c>
      <c r="E14" s="1825"/>
      <c r="F14" s="2052">
        <v>96879</v>
      </c>
      <c r="G14" s="1825"/>
      <c r="H14" s="1825"/>
      <c r="I14" s="1825">
        <v>127066</v>
      </c>
      <c r="J14" s="1825"/>
      <c r="K14" s="1825"/>
      <c r="L14" s="1822">
        <f>+G14+I14+K14</f>
        <v>127066</v>
      </c>
      <c r="M14" s="1825">
        <v>170342</v>
      </c>
    </row>
    <row r="15" spans="2:14" ht="20.100000000000001" customHeight="1" x14ac:dyDescent="0.2">
      <c r="B15" s="1112" t="s">
        <v>2093</v>
      </c>
      <c r="C15" s="1823" t="s">
        <v>2104</v>
      </c>
      <c r="D15" s="1824" t="s">
        <v>2090</v>
      </c>
      <c r="E15" s="1825">
        <v>600</v>
      </c>
      <c r="F15" s="2052">
        <v>33454</v>
      </c>
      <c r="G15" s="1825">
        <v>600</v>
      </c>
      <c r="H15" s="1825"/>
      <c r="I15" s="1825">
        <v>33454</v>
      </c>
      <c r="J15" s="1825"/>
      <c r="K15" s="1825"/>
      <c r="L15" s="1822">
        <f>+G15+I15+K15</f>
        <v>34054</v>
      </c>
      <c r="M15" s="1825">
        <v>34054</v>
      </c>
    </row>
    <row r="16" spans="2:14" ht="20.100000000000001" customHeight="1" x14ac:dyDescent="0.2">
      <c r="B16" s="1112" t="s">
        <v>2093</v>
      </c>
      <c r="C16" s="1823" t="s">
        <v>2104</v>
      </c>
      <c r="D16" s="1824" t="s">
        <v>2089</v>
      </c>
      <c r="E16" s="2040"/>
      <c r="F16" s="2053">
        <v>9169</v>
      </c>
      <c r="G16" s="2040"/>
      <c r="H16" s="2040"/>
      <c r="I16" s="1825">
        <v>18338</v>
      </c>
      <c r="J16" s="1825"/>
      <c r="K16" s="1825"/>
      <c r="L16" s="1822">
        <f>+G16+I16+K16</f>
        <v>18338</v>
      </c>
      <c r="M16" s="1825">
        <v>30000</v>
      </c>
    </row>
    <row r="17" spans="2:14" ht="20.100000000000001" customHeight="1" x14ac:dyDescent="0.2">
      <c r="B17" s="2041" t="s">
        <v>2101</v>
      </c>
      <c r="C17" s="2044"/>
      <c r="D17" s="2046"/>
      <c r="E17" s="2047">
        <f>+E13+E14+E15+E16</f>
        <v>69826</v>
      </c>
      <c r="F17" s="2054">
        <f>+F13+F14+F15+F16</f>
        <v>191790</v>
      </c>
      <c r="G17" s="2047">
        <f>+G13+G14+G15+G16</f>
        <v>122114</v>
      </c>
      <c r="H17" s="2047">
        <f>+H13+H14+H15+H16</f>
        <v>0</v>
      </c>
      <c r="I17" s="2045">
        <f>+I13+I14+I15+I16</f>
        <v>178858</v>
      </c>
      <c r="J17" s="1825"/>
      <c r="K17" s="1825"/>
      <c r="L17" s="1822"/>
      <c r="M17" s="1825"/>
    </row>
    <row r="18" spans="2:14" ht="9.75" customHeight="1" x14ac:dyDescent="0.2">
      <c r="B18" s="2041"/>
      <c r="C18" s="1823"/>
      <c r="D18" s="1824"/>
      <c r="E18" s="2042"/>
      <c r="F18" s="2055"/>
      <c r="G18" s="2042"/>
      <c r="H18" s="2042"/>
      <c r="I18" s="1825"/>
      <c r="J18" s="1825"/>
      <c r="K18" s="1825"/>
      <c r="L18" s="1822"/>
      <c r="M18" s="1825"/>
    </row>
    <row r="19" spans="2:14" ht="20.100000000000001" customHeight="1" x14ac:dyDescent="0.2">
      <c r="B19" s="1112" t="s">
        <v>2098</v>
      </c>
      <c r="C19" s="1823" t="s">
        <v>2105</v>
      </c>
      <c r="D19" s="1824" t="s">
        <v>2091</v>
      </c>
      <c r="E19" s="1822"/>
      <c r="F19" s="2056">
        <v>9327</v>
      </c>
      <c r="G19" s="1822"/>
      <c r="H19" s="1822"/>
      <c r="I19" s="1825">
        <v>13084</v>
      </c>
      <c r="J19" s="1825"/>
      <c r="K19" s="1825"/>
      <c r="L19" s="1822">
        <f t="shared" ref="L19:L29" si="0">+G19+I19+K19</f>
        <v>13084</v>
      </c>
      <c r="M19" s="1825">
        <v>23159</v>
      </c>
    </row>
    <row r="20" spans="2:14" ht="20.100000000000001" customHeight="1" x14ac:dyDescent="0.2">
      <c r="B20" s="1112" t="s">
        <v>2099</v>
      </c>
      <c r="C20" s="1823" t="s">
        <v>2106</v>
      </c>
      <c r="D20" s="1824" t="s">
        <v>2095</v>
      </c>
      <c r="E20" s="1825"/>
      <c r="F20" s="2052">
        <v>174348</v>
      </c>
      <c r="G20" s="1825"/>
      <c r="H20" s="1825"/>
      <c r="I20" s="1825">
        <v>315274</v>
      </c>
      <c r="J20" s="1825"/>
      <c r="K20" s="1825"/>
      <c r="L20" s="1822">
        <f t="shared" si="0"/>
        <v>315274</v>
      </c>
      <c r="M20" s="1825">
        <v>315274</v>
      </c>
    </row>
    <row r="21" spans="2:14" ht="24" customHeight="1" x14ac:dyDescent="0.2">
      <c r="B21" s="1112" t="s">
        <v>2108</v>
      </c>
      <c r="C21" s="1823"/>
      <c r="D21" s="1824"/>
      <c r="E21" s="1825"/>
      <c r="F21" s="2052"/>
      <c r="G21" s="1825"/>
      <c r="H21" s="1825"/>
      <c r="I21" s="1825"/>
      <c r="J21" s="1825"/>
      <c r="K21" s="1825"/>
      <c r="L21" s="1822"/>
      <c r="M21" s="1825"/>
    </row>
    <row r="22" spans="2:14" ht="20.100000000000001" customHeight="1" x14ac:dyDescent="0.2">
      <c r="B22" s="1112" t="s">
        <v>2098</v>
      </c>
      <c r="C22" s="1823" t="s">
        <v>2105</v>
      </c>
      <c r="D22" s="1824">
        <v>4600</v>
      </c>
      <c r="E22" s="1825"/>
      <c r="F22" s="2052">
        <v>10950</v>
      </c>
      <c r="G22" s="1825">
        <v>10950</v>
      </c>
      <c r="H22" s="1825"/>
      <c r="I22" s="1825">
        <v>0</v>
      </c>
      <c r="J22" s="1825"/>
      <c r="K22" s="1825"/>
      <c r="L22" s="1822">
        <f t="shared" si="0"/>
        <v>10950</v>
      </c>
      <c r="M22" s="1825"/>
    </row>
    <row r="23" spans="2:14" ht="20.100000000000001" customHeight="1" x14ac:dyDescent="0.2">
      <c r="B23" s="1112" t="s">
        <v>2099</v>
      </c>
      <c r="C23" s="1823" t="s">
        <v>2106</v>
      </c>
      <c r="D23" s="1824">
        <v>4620</v>
      </c>
      <c r="E23" s="1825"/>
      <c r="F23" s="2052">
        <v>202992</v>
      </c>
      <c r="G23" s="1825">
        <v>202992</v>
      </c>
      <c r="H23" s="1825"/>
      <c r="I23" s="2040">
        <v>0</v>
      </c>
      <c r="J23" s="1825"/>
      <c r="K23" s="1825"/>
      <c r="L23" s="1822">
        <f t="shared" si="0"/>
        <v>202992</v>
      </c>
      <c r="M23" s="1825"/>
    </row>
    <row r="24" spans="2:14" ht="20.100000000000001" customHeight="1" x14ac:dyDescent="0.2">
      <c r="B24" s="2041" t="s">
        <v>2100</v>
      </c>
      <c r="C24" s="2044"/>
      <c r="D24" s="2046"/>
      <c r="E24" s="2047">
        <f>+E19+E20+E22+E23</f>
        <v>0</v>
      </c>
      <c r="F24" s="2054">
        <f>+F19+F20+F22+F23</f>
        <v>397617</v>
      </c>
      <c r="G24" s="2047">
        <f>+G19+G20+G22+G23</f>
        <v>213942</v>
      </c>
      <c r="H24" s="2047">
        <f>+H19+H20+H22+H23</f>
        <v>0</v>
      </c>
      <c r="I24" s="2047">
        <f>+I19+I20+I22+I23</f>
        <v>328358</v>
      </c>
      <c r="J24" s="1825"/>
      <c r="K24" s="1825"/>
      <c r="L24" s="1822">
        <f t="shared" si="0"/>
        <v>542300</v>
      </c>
      <c r="M24" s="1825"/>
    </row>
    <row r="25" spans="2:14" ht="20.100000000000001" customHeight="1" x14ac:dyDescent="0.2">
      <c r="B25" s="1112" t="s">
        <v>1161</v>
      </c>
      <c r="C25" s="1823"/>
      <c r="D25" s="1824"/>
      <c r="E25" s="1825"/>
      <c r="F25" s="2052"/>
      <c r="G25" s="1825"/>
      <c r="H25" s="1825"/>
      <c r="I25" s="1822"/>
      <c r="J25" s="1825"/>
      <c r="K25" s="1825"/>
      <c r="L25" s="1822">
        <f t="shared" si="0"/>
        <v>0</v>
      </c>
      <c r="M25" s="1825"/>
    </row>
    <row r="26" spans="2:14" ht="20.100000000000001" customHeight="1" x14ac:dyDescent="0.2">
      <c r="B26" s="1112" t="s">
        <v>753</v>
      </c>
      <c r="C26" s="1823" t="s">
        <v>2107</v>
      </c>
      <c r="D26" s="1824" t="s">
        <v>2092</v>
      </c>
      <c r="E26" s="1825">
        <v>10076</v>
      </c>
      <c r="F26" s="2052">
        <v>10280</v>
      </c>
      <c r="G26" s="1825">
        <v>20356</v>
      </c>
      <c r="H26" s="1825"/>
      <c r="I26" s="1825"/>
      <c r="J26" s="1825"/>
      <c r="K26" s="1825"/>
      <c r="L26" s="1822">
        <f t="shared" si="0"/>
        <v>20356</v>
      </c>
      <c r="M26" s="1825">
        <v>53569</v>
      </c>
    </row>
    <row r="27" spans="2:14" ht="20.100000000000001" customHeight="1" x14ac:dyDescent="0.2">
      <c r="B27" s="1112" t="s">
        <v>753</v>
      </c>
      <c r="C27" s="1823" t="s">
        <v>2107</v>
      </c>
      <c r="D27" s="1824" t="s">
        <v>2094</v>
      </c>
      <c r="E27" s="1825"/>
      <c r="F27" s="2052">
        <v>38239</v>
      </c>
      <c r="G27" s="1825"/>
      <c r="H27" s="1825"/>
      <c r="I27" s="1825">
        <v>37939</v>
      </c>
      <c r="J27" s="1825"/>
      <c r="K27" s="1825"/>
      <c r="L27" s="1822">
        <f t="shared" si="0"/>
        <v>37939</v>
      </c>
      <c r="M27" s="1825">
        <v>74867</v>
      </c>
    </row>
    <row r="28" spans="2:14" ht="20.100000000000001" customHeight="1" x14ac:dyDescent="0.2">
      <c r="B28" s="1112"/>
      <c r="C28" s="1823"/>
      <c r="D28" s="1824"/>
      <c r="E28" s="1825"/>
      <c r="F28" s="2052"/>
      <c r="G28" s="1825"/>
      <c r="H28" s="1825"/>
      <c r="I28" s="1825"/>
      <c r="J28" s="1825"/>
      <c r="K28" s="1825"/>
      <c r="L28" s="1822">
        <f t="shared" si="0"/>
        <v>0</v>
      </c>
      <c r="M28" s="1825"/>
    </row>
    <row r="29" spans="2:14" ht="20.100000000000001" customHeight="1" x14ac:dyDescent="0.2">
      <c r="B29" s="2041" t="s">
        <v>2115</v>
      </c>
      <c r="C29" s="2044"/>
      <c r="D29" s="2046"/>
      <c r="E29" s="2045">
        <f>+E17+E24+E26+E27</f>
        <v>79902</v>
      </c>
      <c r="F29" s="2045">
        <f>+F17+F24+F26+F27</f>
        <v>637926</v>
      </c>
      <c r="G29" s="2045">
        <f>+G17+G24+G26+G27</f>
        <v>356412</v>
      </c>
      <c r="H29" s="2045">
        <f>+H17+H24+H26+H27</f>
        <v>0</v>
      </c>
      <c r="I29" s="2045">
        <f>+I17+I24+I26+I27</f>
        <v>545155</v>
      </c>
      <c r="J29" s="1825"/>
      <c r="K29" s="1825"/>
      <c r="L29" s="1822">
        <f t="shared" si="0"/>
        <v>901567</v>
      </c>
      <c r="M29" s="1825"/>
      <c r="N29" s="1113"/>
    </row>
    <row r="30" spans="2:14" ht="7.5" customHeight="1" x14ac:dyDescent="0.2">
      <c r="B30" s="1114"/>
      <c r="C30" s="1115"/>
      <c r="D30" s="1116"/>
      <c r="E30" s="1117"/>
      <c r="F30" s="1117"/>
      <c r="G30" s="1117"/>
      <c r="H30" s="1117"/>
      <c r="I30" s="1117"/>
      <c r="J30" s="1117"/>
      <c r="K30" s="1117"/>
      <c r="L30" s="1117"/>
      <c r="M30" s="1117"/>
      <c r="N30" s="1113"/>
    </row>
    <row r="31" spans="2:14" ht="7.5" customHeight="1" x14ac:dyDescent="0.2">
      <c r="B31" s="1033"/>
      <c r="C31" s="1118"/>
      <c r="D31" s="1119"/>
      <c r="E31" s="1033"/>
      <c r="F31" s="1033"/>
      <c r="G31" s="1026"/>
      <c r="H31" s="1026"/>
      <c r="I31" s="1026"/>
      <c r="J31" s="1026"/>
      <c r="K31" s="1026"/>
      <c r="L31" s="1026"/>
      <c r="M31" s="1033"/>
      <c r="N31" s="1113"/>
    </row>
    <row r="32" spans="2:14" ht="13.5" customHeight="1" x14ac:dyDescent="0.2">
      <c r="B32" s="1057" t="s">
        <v>1714</v>
      </c>
      <c r="C32" s="1118"/>
      <c r="D32" s="1119"/>
      <c r="E32" s="1033"/>
      <c r="F32" s="1033"/>
      <c r="G32" s="1026"/>
      <c r="H32" s="1026"/>
      <c r="I32" s="1026"/>
      <c r="J32" s="1026"/>
      <c r="K32" s="1026"/>
      <c r="L32" s="1026"/>
      <c r="M32" s="1033"/>
      <c r="N32" s="1113"/>
    </row>
    <row r="33" spans="2:14" ht="8.25" customHeight="1" x14ac:dyDescent="0.2">
      <c r="B33" s="1057"/>
      <c r="C33" s="1118"/>
      <c r="D33" s="1119"/>
      <c r="E33" s="1033"/>
      <c r="F33" s="1033"/>
      <c r="G33" s="1026"/>
      <c r="H33" s="1026"/>
      <c r="I33" s="1026"/>
      <c r="J33" s="1026"/>
      <c r="K33" s="1026"/>
      <c r="L33" s="1026"/>
      <c r="M33" s="1033"/>
      <c r="N33" s="1113"/>
    </row>
    <row r="34" spans="2:14" x14ac:dyDescent="0.2">
      <c r="B34" s="1120" t="s">
        <v>1811</v>
      </c>
      <c r="C34" s="1121"/>
      <c r="D34" s="1122"/>
      <c r="E34" s="1123"/>
      <c r="F34" s="1123"/>
      <c r="G34" s="1123"/>
      <c r="H34" s="1123"/>
      <c r="I34" s="295"/>
      <c r="J34" s="295"/>
    </row>
    <row r="35" spans="2:14" x14ac:dyDescent="0.2">
      <c r="B35" s="1052"/>
      <c r="C35" s="1124"/>
      <c r="D35" s="1125"/>
      <c r="E35" s="1053"/>
      <c r="F35" s="1053"/>
      <c r="G35" s="295"/>
      <c r="H35" s="295"/>
      <c r="I35" s="295"/>
      <c r="J35" s="295"/>
    </row>
    <row r="36" spans="2:14" x14ac:dyDescent="0.2">
      <c r="B36" s="1051" t="s">
        <v>1237</v>
      </c>
      <c r="G36" s="295"/>
      <c r="H36" s="295"/>
      <c r="I36" s="295"/>
      <c r="J36" s="295"/>
    </row>
    <row r="37" spans="2:14" x14ac:dyDescent="0.2">
      <c r="B37" s="1128"/>
      <c r="C37" s="1129"/>
      <c r="D37" s="1130"/>
      <c r="E37" s="1072"/>
      <c r="F37" s="1072"/>
      <c r="G37" s="1072"/>
      <c r="H37" s="1072"/>
      <c r="I37" s="1072"/>
      <c r="J37" s="1072"/>
      <c r="K37" s="1131"/>
      <c r="L37" s="1131"/>
      <c r="M37" s="1072"/>
    </row>
    <row r="38" spans="2:14" x14ac:dyDescent="0.2">
      <c r="B38" s="1132"/>
      <c r="G38" s="295"/>
      <c r="H38" s="295"/>
      <c r="I38" s="295"/>
      <c r="J38" s="295"/>
    </row>
    <row r="39" spans="2:14" x14ac:dyDescent="0.2">
      <c r="B39" s="1133" t="s">
        <v>1715</v>
      </c>
      <c r="C39" s="1134"/>
      <c r="D39" s="1134"/>
      <c r="E39" s="1134"/>
      <c r="F39" s="1134"/>
      <c r="G39" s="1134"/>
      <c r="H39" s="1134"/>
      <c r="I39" s="1135"/>
      <c r="J39" s="1135"/>
      <c r="K39" s="1135"/>
      <c r="L39" s="1135"/>
      <c r="M39" s="1135"/>
    </row>
    <row r="40" spans="2:14" x14ac:dyDescent="0.2">
      <c r="B40" s="1136" t="s">
        <v>1570</v>
      </c>
      <c r="C40" s="1135"/>
      <c r="D40" s="1135"/>
      <c r="E40" s="1135"/>
      <c r="F40" s="1135"/>
      <c r="G40" s="1135"/>
      <c r="H40" s="1135"/>
      <c r="I40" s="1135"/>
      <c r="J40" s="1135"/>
      <c r="K40" s="1135"/>
      <c r="L40" s="1135"/>
      <c r="M40" s="1135"/>
    </row>
    <row r="41" spans="2:14" x14ac:dyDescent="0.2">
      <c r="B41" s="1136"/>
      <c r="C41" s="1135"/>
      <c r="D41" s="1135"/>
      <c r="E41" s="1135"/>
      <c r="F41" s="1135"/>
      <c r="G41" s="1135"/>
      <c r="H41" s="1135"/>
      <c r="I41" s="1135"/>
      <c r="J41" s="1135"/>
      <c r="K41" s="1135"/>
      <c r="L41" s="1135"/>
      <c r="M41" s="1135"/>
    </row>
    <row r="42" spans="2:14" x14ac:dyDescent="0.2">
      <c r="B42" s="1133" t="s">
        <v>1716</v>
      </c>
      <c r="C42" s="1135"/>
      <c r="D42" s="1135"/>
      <c r="E42" s="1135"/>
      <c r="F42" s="1135"/>
      <c r="G42" s="1135"/>
      <c r="H42" s="1135"/>
      <c r="I42" s="1135"/>
      <c r="J42" s="1135"/>
      <c r="K42" s="1135"/>
      <c r="L42" s="1135"/>
      <c r="M42" s="1135"/>
    </row>
    <row r="43" spans="2:14" x14ac:dyDescent="0.2">
      <c r="B43" s="1075" t="s">
        <v>1571</v>
      </c>
      <c r="C43" s="1137"/>
      <c r="D43" s="1138"/>
      <c r="E43" s="1075"/>
      <c r="F43" s="1075"/>
      <c r="G43" s="1075"/>
      <c r="H43" s="1075"/>
      <c r="I43" s="1075"/>
      <c r="J43" s="1075"/>
      <c r="K43" s="1139"/>
      <c r="L43" s="1139"/>
      <c r="M43" s="1075"/>
    </row>
    <row r="44" spans="2:14" x14ac:dyDescent="0.2">
      <c r="B44" s="1075"/>
      <c r="C44" s="1137"/>
      <c r="D44" s="1138"/>
      <c r="E44" s="1075"/>
      <c r="F44" s="1075"/>
      <c r="G44" s="1075"/>
      <c r="H44" s="1075"/>
      <c r="I44" s="1075"/>
      <c r="J44" s="1075"/>
      <c r="K44" s="1139"/>
      <c r="L44" s="1139"/>
      <c r="M44" s="1075"/>
    </row>
    <row r="45" spans="2:14" x14ac:dyDescent="0.2">
      <c r="B45" s="1140" t="s">
        <v>1717</v>
      </c>
      <c r="C45" s="1137"/>
      <c r="D45" s="1138"/>
      <c r="E45" s="1075"/>
      <c r="F45" s="1075"/>
      <c r="G45" s="1075"/>
      <c r="H45" s="1075"/>
      <c r="I45" s="1075"/>
      <c r="J45" s="1075"/>
      <c r="K45" s="1139"/>
      <c r="L45" s="1139"/>
      <c r="M45" s="1075"/>
    </row>
    <row r="46" spans="2:14" x14ac:dyDescent="0.2">
      <c r="B46" s="1140"/>
      <c r="C46" s="1137"/>
      <c r="D46" s="1138"/>
      <c r="E46" s="1075"/>
      <c r="F46" s="1075"/>
      <c r="G46" s="1075"/>
      <c r="H46" s="1075"/>
      <c r="I46" s="1075"/>
      <c r="J46" s="1075"/>
      <c r="K46" s="1139"/>
      <c r="L46" s="1139"/>
      <c r="M46" s="1075"/>
    </row>
    <row r="47" spans="2:14" ht="14.25" x14ac:dyDescent="0.2">
      <c r="B47" s="1141" t="s">
        <v>1718</v>
      </c>
      <c r="C47" s="1137"/>
      <c r="D47" s="1138"/>
      <c r="E47" s="1075"/>
      <c r="F47" s="1075"/>
      <c r="G47" s="1075"/>
      <c r="H47" s="1075"/>
      <c r="I47" s="1075"/>
      <c r="J47" s="1075"/>
      <c r="K47" s="1139"/>
      <c r="L47" s="1139"/>
      <c r="M47" s="1075"/>
    </row>
    <row r="48" spans="2:14" x14ac:dyDescent="0.2">
      <c r="B48" s="1075" t="s">
        <v>1572</v>
      </c>
      <c r="G48" s="295"/>
      <c r="H48" s="295"/>
      <c r="I48" s="295"/>
      <c r="J48" s="295"/>
    </row>
    <row r="49" spans="2:13" x14ac:dyDescent="0.2">
      <c r="B49" s="1075"/>
      <c r="G49" s="295"/>
      <c r="H49" s="295"/>
      <c r="I49" s="295"/>
      <c r="J49" s="295"/>
    </row>
    <row r="50" spans="2:13" x14ac:dyDescent="0.2">
      <c r="B50" s="1075"/>
      <c r="G50" s="295"/>
      <c r="H50" s="295"/>
      <c r="I50" s="295"/>
      <c r="J50" s="295"/>
    </row>
    <row r="51" spans="2:13" x14ac:dyDescent="0.2">
      <c r="M51" s="1142"/>
    </row>
    <row r="52" spans="2:13" x14ac:dyDescent="0.2">
      <c r="M52" s="1142"/>
    </row>
    <row r="53" spans="2:13" x14ac:dyDescent="0.2">
      <c r="M53" s="1142"/>
    </row>
    <row r="54" spans="2:13" x14ac:dyDescent="0.2">
      <c r="G54" s="295"/>
      <c r="H54" s="295"/>
      <c r="I54" s="295"/>
      <c r="J54" s="295"/>
    </row>
    <row r="55" spans="2:13" x14ac:dyDescent="0.2">
      <c r="G55" s="295"/>
      <c r="H55" s="295"/>
      <c r="I55" s="295"/>
      <c r="J55" s="295"/>
    </row>
    <row r="56" spans="2:13" x14ac:dyDescent="0.2">
      <c r="G56" s="295"/>
      <c r="H56" s="295"/>
      <c r="I56" s="295"/>
      <c r="J56" s="295"/>
    </row>
    <row r="57" spans="2:13" x14ac:dyDescent="0.2">
      <c r="G57" s="295"/>
      <c r="H57" s="295"/>
      <c r="I57" s="295"/>
      <c r="J57" s="295"/>
    </row>
    <row r="58" spans="2:13" x14ac:dyDescent="0.2">
      <c r="G58" s="295"/>
      <c r="H58" s="295"/>
      <c r="I58" s="295"/>
      <c r="J58" s="295"/>
    </row>
    <row r="59" spans="2:13" x14ac:dyDescent="0.2">
      <c r="G59" s="295"/>
      <c r="H59" s="295"/>
      <c r="I59" s="295"/>
      <c r="J59" s="295"/>
    </row>
    <row r="60" spans="2:13" x14ac:dyDescent="0.2">
      <c r="G60" s="295"/>
      <c r="H60" s="295"/>
      <c r="I60" s="295"/>
      <c r="J60" s="295"/>
    </row>
  </sheetData>
  <mergeCells count="4">
    <mergeCell ref="B1:M1"/>
    <mergeCell ref="B2:M2"/>
    <mergeCell ref="B3:M3"/>
    <mergeCell ref="B4:M4"/>
  </mergeCells>
  <pageMargins left="0.7" right="0.7" top="0.75" bottom="0.75" header="0.3" footer="0.3"/>
  <pageSetup scale="71" orientation="landscape" r:id="rId1"/>
  <headerFooter>
    <oddHeader>&amp;LPage 40.1&amp;RPage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9" colorId="8" zoomScaleNormal="100" workbookViewId="0">
      <selection activeCell="F119" sqref="F119"/>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6" t="s">
        <v>1160</v>
      </c>
      <c r="B2" s="2186"/>
      <c r="C2" s="2186"/>
      <c r="D2" s="2186"/>
      <c r="E2" s="2186"/>
      <c r="F2" s="2186"/>
      <c r="G2" s="2186"/>
      <c r="H2" s="2186"/>
      <c r="I2" s="2186"/>
      <c r="J2" s="218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00" t="s">
        <v>1619</v>
      </c>
      <c r="B35" s="2201"/>
      <c r="C35" s="2201"/>
      <c r="D35" s="2201"/>
      <c r="E35" s="2202"/>
      <c r="F35" s="2202"/>
      <c r="G35" s="2202"/>
      <c r="H35" s="2202"/>
      <c r="I35" s="220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0" t="s">
        <v>310</v>
      </c>
      <c r="B47" s="2203"/>
      <c r="C47" s="2203"/>
      <c r="D47" s="2203"/>
      <c r="E47" s="2204"/>
      <c r="F47" s="2204"/>
      <c r="G47" s="2204"/>
      <c r="H47" s="2204"/>
      <c r="I47" s="220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2"/>
      <c r="C57" s="2173"/>
      <c r="D57" s="2173"/>
      <c r="E57" s="2173"/>
      <c r="F57" s="2173"/>
      <c r="G57" s="2173"/>
      <c r="H57" s="2173"/>
      <c r="I57" s="2173"/>
      <c r="J57" s="2174"/>
    </row>
    <row r="58" spans="1:10" s="176" customFormat="1" x14ac:dyDescent="0.2">
      <c r="A58" s="248"/>
      <c r="B58" s="2175"/>
      <c r="C58" s="2176"/>
      <c r="D58" s="2176"/>
      <c r="E58" s="2176"/>
      <c r="F58" s="2176"/>
      <c r="G58" s="2176"/>
      <c r="H58" s="2176"/>
      <c r="I58" s="2176"/>
      <c r="J58" s="2177"/>
    </row>
    <row r="59" spans="1:10" s="176" customFormat="1" x14ac:dyDescent="0.2">
      <c r="A59" s="248"/>
      <c r="B59" s="2175"/>
      <c r="C59" s="2176"/>
      <c r="D59" s="2176"/>
      <c r="E59" s="2176"/>
      <c r="F59" s="2176"/>
      <c r="G59" s="2176"/>
      <c r="H59" s="2176"/>
      <c r="I59" s="2176"/>
      <c r="J59" s="2177"/>
    </row>
    <row r="60" spans="1:10" s="176" customFormat="1" x14ac:dyDescent="0.2">
      <c r="A60" s="248"/>
      <c r="B60" s="2175"/>
      <c r="C60" s="2176"/>
      <c r="D60" s="2176"/>
      <c r="E60" s="2176"/>
      <c r="F60" s="2176"/>
      <c r="G60" s="2176"/>
      <c r="H60" s="2176"/>
      <c r="I60" s="2176"/>
      <c r="J60" s="2177"/>
    </row>
    <row r="61" spans="1:10" s="176" customFormat="1" x14ac:dyDescent="0.2">
      <c r="A61" s="248"/>
      <c r="B61" s="2175"/>
      <c r="C61" s="2176"/>
      <c r="D61" s="2176"/>
      <c r="E61" s="2176"/>
      <c r="F61" s="2176"/>
      <c r="G61" s="2176"/>
      <c r="H61" s="2176"/>
      <c r="I61" s="2176"/>
      <c r="J61" s="2177"/>
    </row>
    <row r="62" spans="1:10" s="176" customFormat="1" x14ac:dyDescent="0.2">
      <c r="A62" s="248"/>
      <c r="B62" s="2175"/>
      <c r="C62" s="2176"/>
      <c r="D62" s="2176"/>
      <c r="E62" s="2176"/>
      <c r="F62" s="2176"/>
      <c r="G62" s="2176"/>
      <c r="H62" s="2176"/>
      <c r="I62" s="2176"/>
      <c r="J62" s="2177"/>
    </row>
    <row r="63" spans="1:10" s="176" customFormat="1" x14ac:dyDescent="0.2">
      <c r="A63" s="248"/>
      <c r="B63" s="2175"/>
      <c r="C63" s="2176"/>
      <c r="D63" s="2176"/>
      <c r="E63" s="2176"/>
      <c r="F63" s="2176"/>
      <c r="G63" s="2176"/>
      <c r="H63" s="2176"/>
      <c r="I63" s="2176"/>
      <c r="J63" s="2177"/>
    </row>
    <row r="64" spans="1:10" s="176" customFormat="1" x14ac:dyDescent="0.2">
      <c r="A64" s="248"/>
      <c r="B64" s="2175"/>
      <c r="C64" s="2176"/>
      <c r="D64" s="2176"/>
      <c r="E64" s="2176"/>
      <c r="F64" s="2176"/>
      <c r="G64" s="2176"/>
      <c r="H64" s="2176"/>
      <c r="I64" s="2176"/>
      <c r="J64" s="2177"/>
    </row>
    <row r="65" spans="1:11" s="176" customFormat="1" x14ac:dyDescent="0.2">
      <c r="A65" s="248"/>
      <c r="B65" s="2175"/>
      <c r="C65" s="2176"/>
      <c r="D65" s="2176"/>
      <c r="E65" s="2176"/>
      <c r="F65" s="2176"/>
      <c r="G65" s="2176"/>
      <c r="H65" s="2176"/>
      <c r="I65" s="2176"/>
      <c r="J65" s="2177"/>
    </row>
    <row r="66" spans="1:11" s="176" customFormat="1" x14ac:dyDescent="0.2">
      <c r="A66" s="248"/>
      <c r="B66" s="2175"/>
      <c r="C66" s="2176"/>
      <c r="D66" s="2176"/>
      <c r="E66" s="2176"/>
      <c r="F66" s="2176"/>
      <c r="G66" s="2176"/>
      <c r="H66" s="2176"/>
      <c r="I66" s="2176"/>
      <c r="J66" s="2177"/>
    </row>
    <row r="67" spans="1:11" s="176" customFormat="1" ht="9" customHeight="1" x14ac:dyDescent="0.2">
      <c r="A67" s="249"/>
      <c r="B67" s="2178"/>
      <c r="C67" s="2179"/>
      <c r="D67" s="2179"/>
      <c r="E67" s="2179"/>
      <c r="F67" s="2179"/>
      <c r="G67" s="2179"/>
      <c r="H67" s="2179"/>
      <c r="I67" s="2179"/>
      <c r="J67" s="218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0" t="s">
        <v>1314</v>
      </c>
      <c r="B70" s="2203"/>
      <c r="C70" s="2203"/>
      <c r="D70" s="2203"/>
      <c r="E70" s="2204"/>
      <c r="F70" s="2204"/>
      <c r="G70" s="2204"/>
      <c r="H70" s="2204"/>
      <c r="I70" s="220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5" t="s">
        <v>1311</v>
      </c>
      <c r="B83" s="2205"/>
      <c r="C83" s="2205"/>
      <c r="D83" s="220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1" t="s">
        <v>1988</v>
      </c>
      <c r="B85" s="2181"/>
      <c r="C85" s="2181"/>
      <c r="D85" s="2182"/>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3" t="s">
        <v>1988</v>
      </c>
      <c r="B88" s="2184"/>
      <c r="C88" s="2184"/>
      <c r="D88" s="2185"/>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87"/>
      <c r="C102" s="2188"/>
      <c r="D102" s="2188"/>
      <c r="E102" s="2188"/>
      <c r="F102" s="2188"/>
      <c r="G102" s="2188"/>
      <c r="H102" s="2188"/>
      <c r="I102" s="2189"/>
    </row>
    <row r="103" spans="1:9" s="176" customFormat="1" ht="11.25" customHeight="1" x14ac:dyDescent="0.2">
      <c r="A103" s="294"/>
      <c r="B103" s="2190"/>
      <c r="C103" s="2191"/>
      <c r="D103" s="2191"/>
      <c r="E103" s="2191"/>
      <c r="F103" s="2191"/>
      <c r="G103" s="2191"/>
      <c r="H103" s="2191"/>
      <c r="I103" s="2192"/>
    </row>
    <row r="104" spans="1:9" s="176" customFormat="1" ht="11.25" customHeight="1" x14ac:dyDescent="0.2">
      <c r="A104" s="294"/>
      <c r="B104" s="2190"/>
      <c r="C104" s="2191"/>
      <c r="D104" s="2191"/>
      <c r="E104" s="2191"/>
      <c r="F104" s="2191"/>
      <c r="G104" s="2191"/>
      <c r="H104" s="2191"/>
      <c r="I104" s="2192"/>
    </row>
    <row r="105" spans="1:9" s="176" customFormat="1" x14ac:dyDescent="0.2">
      <c r="A105" s="294"/>
      <c r="B105" s="2190"/>
      <c r="C105" s="2191"/>
      <c r="D105" s="2191"/>
      <c r="E105" s="2191"/>
      <c r="F105" s="2191"/>
      <c r="G105" s="2191"/>
      <c r="H105" s="2191"/>
      <c r="I105" s="2192"/>
    </row>
    <row r="106" spans="1:9" s="176" customFormat="1" ht="11.25" customHeight="1" x14ac:dyDescent="0.2">
      <c r="A106" s="294"/>
      <c r="B106" s="2190"/>
      <c r="C106" s="2191"/>
      <c r="D106" s="2191"/>
      <c r="E106" s="2191"/>
      <c r="F106" s="2191"/>
      <c r="G106" s="2191"/>
      <c r="H106" s="2191"/>
      <c r="I106" s="2192"/>
    </row>
    <row r="107" spans="1:9" s="176" customFormat="1" ht="11.25" customHeight="1" x14ac:dyDescent="0.2">
      <c r="A107" s="294"/>
      <c r="B107" s="2190"/>
      <c r="C107" s="2191"/>
      <c r="D107" s="2191"/>
      <c r="E107" s="2191"/>
      <c r="F107" s="2191"/>
      <c r="G107" s="2191"/>
      <c r="H107" s="2191"/>
      <c r="I107" s="2192"/>
    </row>
    <row r="108" spans="1:9" s="176" customFormat="1" ht="11.25" customHeight="1" x14ac:dyDescent="0.2">
      <c r="A108" s="294"/>
      <c r="B108" s="2190"/>
      <c r="C108" s="2191"/>
      <c r="D108" s="2191"/>
      <c r="E108" s="2191"/>
      <c r="F108" s="2191"/>
      <c r="G108" s="2191"/>
      <c r="H108" s="2191"/>
      <c r="I108" s="2192"/>
    </row>
    <row r="109" spans="1:9" s="176" customFormat="1" ht="11.25" customHeight="1" x14ac:dyDescent="0.2">
      <c r="A109" s="294"/>
      <c r="B109" s="2190"/>
      <c r="C109" s="2191"/>
      <c r="D109" s="2191"/>
      <c r="E109" s="2191"/>
      <c r="F109" s="2191"/>
      <c r="G109" s="2191"/>
      <c r="H109" s="2191"/>
      <c r="I109" s="2192"/>
    </row>
    <row r="110" spans="1:9" s="176" customFormat="1" ht="11.25" customHeight="1" x14ac:dyDescent="0.2">
      <c r="A110" s="294"/>
      <c r="B110" s="2190"/>
      <c r="C110" s="2191"/>
      <c r="D110" s="2191"/>
      <c r="E110" s="2191"/>
      <c r="F110" s="2191"/>
      <c r="G110" s="2191"/>
      <c r="H110" s="2191"/>
      <c r="I110" s="2192"/>
    </row>
    <row r="111" spans="1:9" s="176" customFormat="1" ht="11.25" customHeight="1" x14ac:dyDescent="0.2">
      <c r="A111" s="294"/>
      <c r="B111" s="2190"/>
      <c r="C111" s="2191"/>
      <c r="D111" s="2191"/>
      <c r="E111" s="2191"/>
      <c r="F111" s="2191"/>
      <c r="G111" s="2191"/>
      <c r="H111" s="2191"/>
      <c r="I111" s="2192"/>
    </row>
    <row r="112" spans="1:9" s="176" customFormat="1" ht="11.25" customHeight="1" x14ac:dyDescent="0.2">
      <c r="A112" s="294"/>
      <c r="B112" s="2193"/>
      <c r="C112" s="2194"/>
      <c r="D112" s="2194"/>
      <c r="E112" s="2194"/>
      <c r="F112" s="2194"/>
      <c r="G112" s="2194"/>
      <c r="H112" s="2194"/>
      <c r="I112" s="219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6" t="s">
        <v>2025</v>
      </c>
      <c r="D114" s="219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7" t="s">
        <v>1321</v>
      </c>
      <c r="D117" s="2198"/>
      <c r="E117" s="2199"/>
      <c r="F117" s="2199"/>
      <c r="G117" s="2199"/>
      <c r="H117" s="2199"/>
      <c r="I117" s="282"/>
    </row>
    <row r="118" spans="1:9" s="176" customFormat="1" ht="24" customHeight="1" x14ac:dyDescent="0.2">
      <c r="A118" s="294"/>
      <c r="B118" s="294"/>
      <c r="C118" s="294"/>
      <c r="D118" s="301" t="s">
        <v>2025</v>
      </c>
      <c r="E118" s="300"/>
      <c r="F118" s="2051">
        <v>44229</v>
      </c>
      <c r="G118" s="1472"/>
      <c r="H118" s="300"/>
      <c r="I118" s="282"/>
    </row>
    <row r="119" spans="1:9" s="176" customFormat="1" ht="11.25" customHeight="1" x14ac:dyDescent="0.2">
      <c r="A119" s="303"/>
      <c r="B119" s="303"/>
      <c r="C119" s="304"/>
      <c r="D119" s="305" t="s">
        <v>358</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C117:H117"/>
    <mergeCell ref="A35:I35"/>
    <mergeCell ref="A47:I47"/>
    <mergeCell ref="A70:I70"/>
    <mergeCell ref="A83:D83"/>
    <mergeCell ref="B57:J67"/>
    <mergeCell ref="A85:D85"/>
    <mergeCell ref="A88:D88"/>
    <mergeCell ref="A2:J2"/>
    <mergeCell ref="B102:I112"/>
    <mergeCell ref="C114:D114"/>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8"/>
  <sheetViews>
    <sheetView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El Paso-Gridley CUSD 11</v>
      </c>
      <c r="C1" s="2589"/>
      <c r="D1" s="2589"/>
      <c r="E1" s="2589"/>
      <c r="F1" s="2589"/>
      <c r="G1" s="2589"/>
      <c r="H1" s="2589"/>
      <c r="I1" s="2589"/>
      <c r="J1" s="2589"/>
      <c r="K1" s="2589"/>
      <c r="L1" s="2589"/>
      <c r="M1" s="2589"/>
    </row>
    <row r="2" spans="2:14" ht="15" x14ac:dyDescent="0.2">
      <c r="B2" s="2590">
        <f>'Single Audit Cover'!E7</f>
        <v>53102011026</v>
      </c>
      <c r="C2" s="2590"/>
      <c r="D2" s="2590"/>
      <c r="E2" s="2590"/>
      <c r="F2" s="2590"/>
      <c r="G2" s="2590"/>
      <c r="H2" s="2590"/>
      <c r="I2" s="2590"/>
      <c r="J2" s="2590"/>
      <c r="K2" s="2590"/>
      <c r="L2" s="2590"/>
      <c r="M2" s="2590"/>
      <c r="N2" s="1077"/>
    </row>
    <row r="3" spans="2:14" ht="15" x14ac:dyDescent="0.2">
      <c r="B3" s="2591" t="s">
        <v>1210</v>
      </c>
      <c r="C3" s="2591"/>
      <c r="D3" s="2591"/>
      <c r="E3" s="2591"/>
      <c r="F3" s="2591"/>
      <c r="G3" s="2591"/>
      <c r="H3" s="2591"/>
      <c r="I3" s="2591"/>
      <c r="J3" s="2591"/>
      <c r="K3" s="2591"/>
      <c r="L3" s="2591"/>
      <c r="M3" s="2591"/>
      <c r="N3" s="1077"/>
    </row>
    <row r="4" spans="2:14" ht="15" x14ac:dyDescent="0.2">
      <c r="B4" s="2592" t="str">
        <f>'Single Audit Cover'!A4</f>
        <v>Year Ending June 30, 2020</v>
      </c>
      <c r="C4" s="2592"/>
      <c r="D4" s="2592"/>
      <c r="E4" s="2592"/>
      <c r="F4" s="2592"/>
      <c r="G4" s="2592"/>
      <c r="H4" s="2592"/>
      <c r="I4" s="2592"/>
      <c r="J4" s="2592"/>
      <c r="K4" s="2592"/>
      <c r="L4" s="2592"/>
      <c r="M4" s="2592"/>
      <c r="N4" s="1077"/>
    </row>
    <row r="5" spans="2:14" x14ac:dyDescent="0.2">
      <c r="H5" s="1914"/>
      <c r="J5" s="1914"/>
    </row>
    <row r="6" spans="2:14" x14ac:dyDescent="0.2">
      <c r="B6" s="1078"/>
      <c r="C6" s="1079"/>
      <c r="D6" s="1080" t="s">
        <v>1256</v>
      </c>
      <c r="E6" s="1081" t="s">
        <v>524</v>
      </c>
      <c r="F6" s="1082"/>
      <c r="G6" s="1083" t="s">
        <v>1711</v>
      </c>
      <c r="H6" s="1081"/>
      <c r="I6" s="1081"/>
      <c r="J6" s="1915"/>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
        <v>2078</v>
      </c>
      <c r="I8" s="1094" t="s">
        <v>1253</v>
      </c>
      <c r="J8" s="1819" t="s">
        <v>2079</v>
      </c>
      <c r="K8" s="1094" t="s">
        <v>1252</v>
      </c>
      <c r="L8" s="1095" t="s">
        <v>1248</v>
      </c>
      <c r="M8" s="1096" t="s">
        <v>30</v>
      </c>
    </row>
    <row r="9" spans="2:14" ht="14.25" x14ac:dyDescent="0.2">
      <c r="B9" s="1100" t="s">
        <v>1250</v>
      </c>
      <c r="C9" s="1088" t="s">
        <v>1712</v>
      </c>
      <c r="D9" s="1089" t="s">
        <v>1713</v>
      </c>
      <c r="E9" s="1913" t="s">
        <v>2078</v>
      </c>
      <c r="F9" s="1913" t="s">
        <v>2079</v>
      </c>
      <c r="G9" s="1913" t="s">
        <v>2078</v>
      </c>
      <c r="H9" s="1092" t="s">
        <v>1568</v>
      </c>
      <c r="I9" s="1913" t="s">
        <v>2079</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c r="C11" s="1820"/>
      <c r="D11" s="1821"/>
      <c r="E11" s="1822"/>
      <c r="F11" s="1822"/>
      <c r="G11" s="1822"/>
      <c r="H11" s="1822"/>
      <c r="I11" s="1822"/>
      <c r="J11" s="1822"/>
      <c r="K11" s="1822"/>
      <c r="L11" s="1822"/>
      <c r="M11" s="1822"/>
    </row>
    <row r="12" spans="2:14" ht="43.5" customHeight="1" x14ac:dyDescent="0.2">
      <c r="B12" s="2038"/>
      <c r="C12" s="2039"/>
      <c r="D12" s="1824"/>
      <c r="E12" s="1825"/>
      <c r="F12" s="1825"/>
      <c r="G12" s="1825"/>
      <c r="H12" s="1825"/>
      <c r="I12" s="1825"/>
      <c r="J12" s="1825"/>
      <c r="K12" s="1825"/>
      <c r="L12" s="1822"/>
      <c r="M12" s="1825"/>
    </row>
    <row r="13" spans="2:14" ht="24" customHeight="1" x14ac:dyDescent="0.2">
      <c r="B13" s="2038"/>
      <c r="C13" s="2039"/>
      <c r="D13" s="1824"/>
      <c r="E13" s="1825"/>
      <c r="F13" s="1825"/>
      <c r="G13" s="1825"/>
      <c r="H13" s="1825"/>
      <c r="I13" s="1825"/>
      <c r="J13" s="1825"/>
      <c r="K13" s="1825"/>
      <c r="L13" s="1822">
        <f t="shared" ref="L13:L27" si="0">+G13+I13+K13</f>
        <v>0</v>
      </c>
      <c r="M13" s="1825"/>
    </row>
    <row r="14" spans="2:14" ht="25.5" customHeight="1" x14ac:dyDescent="0.2">
      <c r="B14" s="2038"/>
      <c r="C14" s="2039"/>
      <c r="D14" s="1824"/>
      <c r="E14" s="1825"/>
      <c r="F14" s="1825"/>
      <c r="G14" s="1825"/>
      <c r="H14" s="1825"/>
      <c r="I14" s="1825"/>
      <c r="J14" s="1825"/>
      <c r="K14" s="1825"/>
      <c r="L14" s="1822">
        <f t="shared" si="0"/>
        <v>0</v>
      </c>
      <c r="M14" s="1825"/>
    </row>
    <row r="15" spans="2:14" ht="20.100000000000001" customHeight="1" x14ac:dyDescent="0.2">
      <c r="B15" s="1112"/>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9"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2038" t="s">
        <v>2121</v>
      </c>
      <c r="C19" s="2039"/>
      <c r="D19" s="1824"/>
      <c r="E19" s="1825">
        <f>+SEFA1.1!E29</f>
        <v>79902</v>
      </c>
      <c r="F19" s="1825">
        <f>+SEFA1.1!F29</f>
        <v>637926</v>
      </c>
      <c r="G19" s="1825">
        <f>+SEFA1.1!G29</f>
        <v>356412</v>
      </c>
      <c r="H19" s="1825">
        <f>+SEFA1.1!H29</f>
        <v>0</v>
      </c>
      <c r="I19" s="1825">
        <f>+SEFA1.1!I29</f>
        <v>545155</v>
      </c>
      <c r="J19" s="1825"/>
      <c r="K19" s="1825"/>
      <c r="L19" s="1822">
        <f t="shared" si="0"/>
        <v>901567</v>
      </c>
      <c r="M19" s="1825"/>
    </row>
    <row r="20" spans="2:14" ht="10.5" customHeight="1" x14ac:dyDescent="0.2">
      <c r="B20" s="2038"/>
      <c r="C20" s="2039"/>
      <c r="D20" s="1824"/>
      <c r="E20" s="1825"/>
      <c r="F20" s="1825"/>
      <c r="G20" s="1825"/>
      <c r="H20" s="1825"/>
      <c r="I20" s="1825"/>
      <c r="J20" s="1825"/>
      <c r="K20" s="1825"/>
      <c r="L20" s="1822">
        <f t="shared" si="0"/>
        <v>0</v>
      </c>
      <c r="M20" s="1825"/>
    </row>
    <row r="21" spans="2:14" ht="20.100000000000001" customHeight="1" x14ac:dyDescent="0.2">
      <c r="B21" s="2038" t="s">
        <v>2102</v>
      </c>
      <c r="C21" s="2039"/>
      <c r="D21" s="1824"/>
      <c r="E21" s="1825">
        <f>+'SEFA 1'!E27</f>
        <v>214730</v>
      </c>
      <c r="F21" s="1825">
        <f>+'SEFA 1'!F27</f>
        <v>261323</v>
      </c>
      <c r="G21" s="1825">
        <f>+'SEFA 1'!G27</f>
        <v>214730</v>
      </c>
      <c r="H21" s="1825">
        <f>+'SEFA 1'!H27</f>
        <v>0</v>
      </c>
      <c r="I21" s="1825">
        <f>+'SEFA 1'!I27</f>
        <v>261323</v>
      </c>
      <c r="J21" s="1825"/>
      <c r="K21" s="1825"/>
      <c r="L21" s="1822">
        <f t="shared" si="0"/>
        <v>476053</v>
      </c>
      <c r="M21" s="1825"/>
    </row>
    <row r="22" spans="2:14" ht="10.5"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2041" t="s">
        <v>2103</v>
      </c>
      <c r="C23" s="2044"/>
      <c r="D23" s="2046"/>
      <c r="E23" s="2045">
        <f>+E17+E19+E21</f>
        <v>294632</v>
      </c>
      <c r="F23" s="2045">
        <f>+F17+F19+F21</f>
        <v>899249</v>
      </c>
      <c r="G23" s="2045">
        <f>+G17+G19+G21</f>
        <v>571142</v>
      </c>
      <c r="H23" s="2045">
        <f>+H17+H19+H21</f>
        <v>0</v>
      </c>
      <c r="I23" s="2045">
        <f>+I17+I19+I21</f>
        <v>806478</v>
      </c>
      <c r="J23" s="1825"/>
      <c r="K23" s="1825"/>
      <c r="L23" s="1822">
        <f t="shared" si="0"/>
        <v>1377620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7" t="s">
        <v>1714</v>
      </c>
      <c r="C30" s="1118"/>
      <c r="D30" s="1119"/>
      <c r="E30" s="1033"/>
      <c r="F30" s="1033"/>
      <c r="G30" s="1026"/>
      <c r="H30" s="1026"/>
      <c r="I30" s="1026"/>
      <c r="J30" s="1026"/>
      <c r="K30" s="1026"/>
      <c r="L30" s="1026"/>
      <c r="M30" s="1033"/>
      <c r="N30" s="1113"/>
    </row>
    <row r="31" spans="2:14" ht="8.25" customHeight="1" x14ac:dyDescent="0.2">
      <c r="B31" s="1057"/>
      <c r="C31" s="1118"/>
      <c r="D31" s="1119"/>
      <c r="E31" s="1033"/>
      <c r="F31" s="1033"/>
      <c r="G31" s="1026"/>
      <c r="H31" s="1026"/>
      <c r="I31" s="1026"/>
      <c r="J31" s="1026"/>
      <c r="K31" s="1026"/>
      <c r="L31" s="1026"/>
      <c r="M31" s="1033"/>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x14ac:dyDescent="0.2">
      <c r="B34" s="1051" t="s">
        <v>1237</v>
      </c>
      <c r="G34" s="295"/>
      <c r="H34" s="295"/>
      <c r="I34" s="295"/>
      <c r="J34" s="295"/>
    </row>
    <row r="35" spans="2:13" x14ac:dyDescent="0.2">
      <c r="B35" s="1128"/>
      <c r="C35" s="1129"/>
      <c r="D35" s="1130"/>
      <c r="E35" s="1072"/>
      <c r="F35" s="1072"/>
      <c r="G35" s="1072"/>
      <c r="H35" s="1072"/>
      <c r="I35" s="1072"/>
      <c r="J35" s="1072"/>
      <c r="K35" s="1131"/>
      <c r="L35" s="1131"/>
      <c r="M35" s="1072"/>
    </row>
    <row r="36" spans="2:13" x14ac:dyDescent="0.2">
      <c r="B36" s="1132"/>
      <c r="G36" s="295"/>
      <c r="H36" s="295"/>
      <c r="I36" s="295"/>
      <c r="J36" s="295"/>
    </row>
    <row r="37" spans="2:13" x14ac:dyDescent="0.2">
      <c r="B37" s="1133" t="s">
        <v>1715</v>
      </c>
      <c r="C37" s="1134"/>
      <c r="D37" s="1134"/>
      <c r="E37" s="1134"/>
      <c r="F37" s="1134"/>
      <c r="G37" s="1134"/>
      <c r="H37" s="1134"/>
      <c r="I37" s="1135"/>
      <c r="J37" s="1135"/>
      <c r="K37" s="1135"/>
      <c r="L37" s="1135"/>
      <c r="M37" s="1135"/>
    </row>
    <row r="38" spans="2:13" x14ac:dyDescent="0.2">
      <c r="B38" s="1136" t="s">
        <v>1570</v>
      </c>
      <c r="C38" s="1135"/>
      <c r="D38" s="1135"/>
      <c r="E38" s="1135"/>
      <c r="F38" s="1135"/>
      <c r="G38" s="1135"/>
      <c r="H38" s="1135"/>
      <c r="I38" s="1135"/>
      <c r="J38" s="1135"/>
      <c r="K38" s="1135"/>
      <c r="L38" s="1135"/>
      <c r="M38" s="1135"/>
    </row>
    <row r="39" spans="2:13" x14ac:dyDescent="0.2">
      <c r="B39" s="1136"/>
      <c r="C39" s="1135"/>
      <c r="D39" s="1135"/>
      <c r="E39" s="1135"/>
      <c r="F39" s="1135"/>
      <c r="G39" s="1135"/>
      <c r="H39" s="1135"/>
      <c r="I39" s="1135"/>
      <c r="J39" s="1135"/>
      <c r="K39" s="1135"/>
      <c r="L39" s="1135"/>
      <c r="M39" s="1135"/>
    </row>
    <row r="40" spans="2:13" x14ac:dyDescent="0.2">
      <c r="B40" s="1133" t="s">
        <v>1716</v>
      </c>
      <c r="C40" s="1135"/>
      <c r="D40" s="1135"/>
      <c r="E40" s="1135"/>
      <c r="F40" s="1135"/>
      <c r="G40" s="1135"/>
      <c r="H40" s="1135"/>
      <c r="I40" s="1135"/>
      <c r="J40" s="1135"/>
      <c r="K40" s="1135"/>
      <c r="L40" s="1135"/>
      <c r="M40" s="1135"/>
    </row>
    <row r="41" spans="2:13" x14ac:dyDescent="0.2">
      <c r="B41" s="1075" t="s">
        <v>1571</v>
      </c>
      <c r="C41" s="1137"/>
      <c r="D41" s="1138"/>
      <c r="E41" s="1075"/>
      <c r="F41" s="1075"/>
      <c r="G41" s="1075"/>
      <c r="H41" s="1075"/>
      <c r="I41" s="1075"/>
      <c r="J41" s="1075"/>
      <c r="K41" s="1139"/>
      <c r="L41" s="1139"/>
      <c r="M41" s="1075"/>
    </row>
    <row r="42" spans="2:13" x14ac:dyDescent="0.2">
      <c r="B42" s="1075"/>
      <c r="C42" s="1137"/>
      <c r="D42" s="1138"/>
      <c r="E42" s="1075"/>
      <c r="F42" s="1075"/>
      <c r="G42" s="1075"/>
      <c r="H42" s="1075"/>
      <c r="I42" s="1075"/>
      <c r="J42" s="1075"/>
      <c r="K42" s="1139"/>
      <c r="L42" s="1139"/>
      <c r="M42" s="1075"/>
    </row>
    <row r="43" spans="2:13" x14ac:dyDescent="0.2">
      <c r="B43" s="1140" t="s">
        <v>1717</v>
      </c>
      <c r="C43" s="1137"/>
      <c r="D43" s="1138"/>
      <c r="E43" s="1075"/>
      <c r="F43" s="1075"/>
      <c r="G43" s="1075"/>
      <c r="H43" s="1075"/>
      <c r="I43" s="1075"/>
      <c r="J43" s="1075"/>
      <c r="K43" s="1139"/>
      <c r="L43" s="1139"/>
      <c r="M43" s="1075"/>
    </row>
    <row r="44" spans="2:13" x14ac:dyDescent="0.2">
      <c r="B44" s="1140"/>
      <c r="C44" s="1137"/>
      <c r="D44" s="1138"/>
      <c r="E44" s="1075"/>
      <c r="F44" s="1075"/>
      <c r="G44" s="1075"/>
      <c r="H44" s="1075"/>
      <c r="I44" s="1075"/>
      <c r="J44" s="1075"/>
      <c r="K44" s="1139"/>
      <c r="L44" s="1139"/>
      <c r="M44" s="1075"/>
    </row>
    <row r="45" spans="2:13" ht="14.25" x14ac:dyDescent="0.2">
      <c r="B45" s="1141" t="s">
        <v>1718</v>
      </c>
      <c r="C45" s="1137"/>
      <c r="D45" s="1138"/>
      <c r="E45" s="1075"/>
      <c r="F45" s="1075"/>
      <c r="G45" s="1075"/>
      <c r="H45" s="1075"/>
      <c r="I45" s="1075"/>
      <c r="J45" s="1075"/>
      <c r="K45" s="1139"/>
      <c r="L45" s="1139"/>
      <c r="M45" s="1075"/>
    </row>
    <row r="46" spans="2:13" x14ac:dyDescent="0.2">
      <c r="B46" s="1075" t="s">
        <v>1572</v>
      </c>
      <c r="G46" s="295"/>
      <c r="H46" s="295"/>
      <c r="I46" s="295"/>
      <c r="J46" s="295"/>
    </row>
    <row r="47" spans="2:13" x14ac:dyDescent="0.2">
      <c r="B47" s="1075"/>
      <c r="G47" s="295"/>
      <c r="H47" s="295"/>
      <c r="I47" s="295"/>
      <c r="J47" s="295"/>
    </row>
    <row r="48" spans="2:13" x14ac:dyDescent="0.2">
      <c r="B48" s="1075"/>
      <c r="G48" s="295"/>
      <c r="H48" s="295"/>
      <c r="I48" s="295"/>
      <c r="J48" s="295"/>
    </row>
    <row r="49" spans="7:13" x14ac:dyDescent="0.2">
      <c r="M49" s="1142"/>
    </row>
    <row r="50" spans="7:13" x14ac:dyDescent="0.2">
      <c r="M50" s="1142"/>
    </row>
    <row r="51" spans="7:13" x14ac:dyDescent="0.2">
      <c r="M51" s="1142"/>
    </row>
    <row r="52" spans="7:13" x14ac:dyDescent="0.2">
      <c r="G52" s="295"/>
      <c r="H52" s="295"/>
      <c r="I52" s="295"/>
      <c r="J52" s="295"/>
    </row>
    <row r="53" spans="7:13" x14ac:dyDescent="0.2">
      <c r="G53" s="295"/>
      <c r="H53" s="295"/>
      <c r="I53" s="295"/>
      <c r="J53" s="295"/>
    </row>
    <row r="54" spans="7:13" x14ac:dyDescent="0.2">
      <c r="G54" s="295"/>
      <c r="H54" s="295"/>
      <c r="I54" s="295"/>
      <c r="J54" s="295"/>
    </row>
    <row r="55" spans="7:13" x14ac:dyDescent="0.2">
      <c r="G55" s="295"/>
      <c r="H55" s="295"/>
      <c r="I55" s="295"/>
      <c r="J55" s="295"/>
    </row>
    <row r="56" spans="7:13" x14ac:dyDescent="0.2">
      <c r="G56" s="295"/>
      <c r="H56" s="295"/>
      <c r="I56" s="295"/>
      <c r="J56" s="295"/>
    </row>
    <row r="57" spans="7:13" x14ac:dyDescent="0.2">
      <c r="G57" s="295"/>
      <c r="H57" s="295"/>
      <c r="I57" s="295"/>
      <c r="J57" s="295"/>
    </row>
    <row r="58" spans="7:13" x14ac:dyDescent="0.2">
      <c r="G58" s="295"/>
      <c r="H58" s="295"/>
      <c r="I58" s="295"/>
      <c r="J58" s="295"/>
    </row>
  </sheetData>
  <mergeCells count="4">
    <mergeCell ref="B1:M1"/>
    <mergeCell ref="B2:M2"/>
    <mergeCell ref="B3:M3"/>
    <mergeCell ref="B4:M4"/>
  </mergeCells>
  <pageMargins left="0.7" right="0.7" top="0.75" bottom="0.75" header="0.3" footer="0.3"/>
  <pageSetup scale="71" orientation="landscape" r:id="rId1"/>
  <headerFooter>
    <oddHeader>&amp;LPage 40.2&amp;RPage 40.2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2" t="str">
        <f>'Single Audit Cover'!A7</f>
        <v xml:space="preserve">   El Paso-Gridley CUSD 11</v>
      </c>
      <c r="B1" s="2602"/>
      <c r="C1" s="2602"/>
      <c r="D1" s="2602"/>
      <c r="E1" s="2602"/>
      <c r="F1" s="2602"/>
    </row>
    <row r="2" spans="1:7" ht="13.5" customHeight="1" x14ac:dyDescent="0.2">
      <c r="A2" s="2590">
        <f>'Single Audit Cover'!E7</f>
        <v>53102011026</v>
      </c>
      <c r="B2" s="2590"/>
      <c r="C2" s="2590"/>
      <c r="D2" s="2590"/>
      <c r="E2" s="2590"/>
      <c r="F2" s="2590"/>
      <c r="G2" s="1050"/>
    </row>
    <row r="3" spans="1:7" ht="15.75" customHeight="1" x14ac:dyDescent="0.2">
      <c r="A3" s="2603" t="s">
        <v>1262</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51" t="s">
        <v>1708</v>
      </c>
      <c r="C6" s="295"/>
      <c r="D6" s="295"/>
    </row>
    <row r="7" spans="1:7" ht="60.95" customHeight="1" x14ac:dyDescent="0.2">
      <c r="A7" s="2601" t="s">
        <v>2116</v>
      </c>
      <c r="B7" s="2601"/>
      <c r="C7" s="2601"/>
      <c r="D7" s="2601"/>
      <c r="E7" s="2601"/>
      <c r="F7" s="2601"/>
    </row>
    <row r="8" spans="1:7" ht="12" customHeight="1" x14ac:dyDescent="0.2">
      <c r="A8" s="1051"/>
      <c r="B8" s="1057"/>
      <c r="C8" s="1057"/>
      <c r="D8" s="1057"/>
    </row>
    <row r="9" spans="1:7" ht="15" customHeight="1" x14ac:dyDescent="0.2">
      <c r="A9" s="1052" t="s">
        <v>1709</v>
      </c>
      <c r="B9" s="1055"/>
      <c r="C9" s="1055"/>
      <c r="D9" s="1055"/>
      <c r="E9" s="1053"/>
      <c r="F9" s="1053"/>
      <c r="G9" s="1053"/>
    </row>
    <row r="10" spans="1:7" ht="15" customHeight="1" x14ac:dyDescent="0.2">
      <c r="A10" s="1054" t="s">
        <v>1533</v>
      </c>
      <c r="B10" s="1055"/>
      <c r="C10" s="1056"/>
      <c r="D10" s="1055" t="s">
        <v>1534</v>
      </c>
      <c r="E10" s="1056" t="s">
        <v>2017</v>
      </c>
      <c r="F10" s="1055" t="s">
        <v>99</v>
      </c>
      <c r="G10" s="1053"/>
    </row>
    <row r="11" spans="1:7" ht="12" customHeight="1" x14ac:dyDescent="0.2">
      <c r="A11" s="1054"/>
      <c r="B11" s="1055"/>
      <c r="C11" s="1524"/>
      <c r="D11" s="1055"/>
      <c r="E11" s="1524"/>
      <c r="F11" s="1055"/>
      <c r="G11" s="1053"/>
    </row>
    <row r="12" spans="1:7" x14ac:dyDescent="0.2">
      <c r="A12" s="1051" t="s">
        <v>1573</v>
      </c>
      <c r="C12" s="1036"/>
      <c r="D12" s="1036"/>
    </row>
    <row r="13" spans="1:7" ht="15" customHeight="1" x14ac:dyDescent="0.2">
      <c r="A13" s="2601" t="s">
        <v>2141</v>
      </c>
      <c r="B13" s="2601"/>
      <c r="C13" s="2601"/>
      <c r="D13" s="2601"/>
      <c r="E13" s="2601"/>
      <c r="F13" s="2601"/>
    </row>
    <row r="14" spans="1:7" ht="9.75" customHeight="1" x14ac:dyDescent="0.2">
      <c r="C14" s="1036"/>
      <c r="D14" s="1036"/>
    </row>
    <row r="15" spans="1:7" ht="13.5" customHeight="1" x14ac:dyDescent="0.2">
      <c r="C15" s="1475" t="s">
        <v>1261</v>
      </c>
      <c r="D15" s="2599" t="s">
        <v>1260</v>
      </c>
      <c r="E15" s="2599"/>
      <c r="F15" s="2599"/>
    </row>
    <row r="16" spans="1:7" ht="13.5" customHeight="1" x14ac:dyDescent="0.2">
      <c r="A16" s="1057"/>
      <c r="B16" s="1051" t="s">
        <v>1259</v>
      </c>
      <c r="C16" s="1475" t="s">
        <v>1258</v>
      </c>
      <c r="D16" s="2600" t="s">
        <v>1574</v>
      </c>
      <c r="E16" s="2600"/>
      <c r="F16" s="2600"/>
    </row>
    <row r="17" spans="1:6" ht="20.45" customHeight="1" x14ac:dyDescent="0.2">
      <c r="A17" s="1058"/>
      <c r="B17" s="1059" t="s">
        <v>2117</v>
      </c>
      <c r="C17" s="1060"/>
      <c r="D17" s="2593"/>
      <c r="E17" s="2593"/>
      <c r="F17" s="2593"/>
    </row>
    <row r="18" spans="1:6" ht="20.65" customHeight="1" x14ac:dyDescent="0.2">
      <c r="A18" s="1058"/>
      <c r="B18" s="1059"/>
      <c r="C18" s="1060"/>
      <c r="D18" s="2593"/>
      <c r="E18" s="2593"/>
      <c r="F18" s="2593"/>
    </row>
    <row r="19" spans="1:6" ht="20.65" customHeight="1" x14ac:dyDescent="0.2">
      <c r="A19" s="1058"/>
      <c r="B19" s="1059"/>
      <c r="C19" s="1060"/>
      <c r="D19" s="2593"/>
      <c r="E19" s="2593"/>
      <c r="F19" s="2593"/>
    </row>
    <row r="20" spans="1:6" ht="20.65" customHeight="1" x14ac:dyDescent="0.2">
      <c r="A20" s="1058"/>
      <c r="B20" s="1059"/>
      <c r="C20" s="1060"/>
      <c r="D20" s="2593"/>
      <c r="E20" s="2593"/>
      <c r="F20" s="2593"/>
    </row>
    <row r="21" spans="1:6" ht="20.65" customHeight="1" x14ac:dyDescent="0.2">
      <c r="A21" s="1058"/>
      <c r="B21" s="1059"/>
      <c r="C21" s="1060"/>
      <c r="D21" s="2593"/>
      <c r="E21" s="2593"/>
      <c r="F21" s="2593"/>
    </row>
    <row r="22" spans="1:6" ht="20.65" customHeight="1" x14ac:dyDescent="0.2">
      <c r="A22" s="1058"/>
      <c r="B22" s="1059"/>
      <c r="C22" s="1060"/>
      <c r="D22" s="2593"/>
      <c r="E22" s="2593"/>
      <c r="F22" s="2593"/>
    </row>
    <row r="23" spans="1:6" ht="20.65" customHeight="1" x14ac:dyDescent="0.2">
      <c r="A23" s="1058"/>
      <c r="B23" s="1059"/>
      <c r="C23" s="1060"/>
      <c r="D23" s="2593"/>
      <c r="E23" s="2593"/>
      <c r="F23" s="2593"/>
    </row>
    <row r="24" spans="1:6" ht="20.65" customHeight="1" x14ac:dyDescent="0.2">
      <c r="A24" s="1058"/>
      <c r="B24" s="1059"/>
      <c r="C24" s="1060"/>
      <c r="D24" s="2593"/>
      <c r="E24" s="2593"/>
      <c r="F24" s="2593"/>
    </row>
    <row r="25" spans="1:6" ht="20.65" customHeight="1" x14ac:dyDescent="0.2">
      <c r="A25" s="1058"/>
      <c r="B25" s="1059"/>
      <c r="C25" s="1060"/>
      <c r="D25" s="2593"/>
      <c r="E25" s="2593"/>
      <c r="F25" s="2593"/>
    </row>
    <row r="26" spans="1:6" ht="20.65" customHeight="1" x14ac:dyDescent="0.2">
      <c r="A26" s="1058"/>
      <c r="B26" s="1059"/>
      <c r="C26" s="1060"/>
      <c r="D26" s="2593"/>
      <c r="E26" s="2593"/>
      <c r="F26" s="2593"/>
    </row>
    <row r="27" spans="1:6" ht="20.65" customHeight="1" x14ac:dyDescent="0.2">
      <c r="A27" s="1058"/>
      <c r="B27" s="1059"/>
      <c r="C27" s="1060"/>
      <c r="D27" s="2593"/>
      <c r="E27" s="2593"/>
      <c r="F27" s="2593"/>
    </row>
    <row r="28" spans="1:6" ht="20.65" customHeight="1" x14ac:dyDescent="0.2">
      <c r="A28" s="1058"/>
      <c r="B28" s="1059"/>
      <c r="C28" s="1060"/>
      <c r="D28" s="2593"/>
      <c r="E28" s="2593"/>
      <c r="F28" s="2593"/>
    </row>
    <row r="29" spans="1:6" ht="20.65" customHeight="1" x14ac:dyDescent="0.2">
      <c r="A29" s="1058"/>
      <c r="B29" s="1059"/>
      <c r="C29" s="1060"/>
      <c r="D29" s="2593"/>
      <c r="E29" s="2593"/>
      <c r="F29" s="2593"/>
    </row>
    <row r="30" spans="1:6" ht="12" customHeight="1" x14ac:dyDescent="0.2">
      <c r="A30" s="306"/>
      <c r="B30" s="306"/>
      <c r="C30" s="1232"/>
      <c r="D30" s="1525"/>
      <c r="E30" s="1061"/>
    </row>
    <row r="31" spans="1:6" ht="12" customHeight="1" x14ac:dyDescent="0.2">
      <c r="A31" s="1062" t="s">
        <v>1535</v>
      </c>
      <c r="B31" s="306"/>
      <c r="C31" s="1232"/>
      <c r="D31" s="1525"/>
      <c r="E31" s="1061"/>
    </row>
    <row r="32" spans="1:6" ht="30" customHeight="1" x14ac:dyDescent="0.2">
      <c r="A32" s="2595" t="s">
        <v>2118</v>
      </c>
      <c r="B32" s="2595"/>
      <c r="C32" s="2595"/>
      <c r="D32" s="2595"/>
      <c r="E32" s="2595"/>
      <c r="F32" s="2595"/>
    </row>
    <row r="33" spans="1:6" ht="13.5" customHeight="1" x14ac:dyDescent="0.2">
      <c r="A33" s="306" t="s">
        <v>1420</v>
      </c>
      <c r="B33" s="306"/>
      <c r="C33" s="1063">
        <v>15717</v>
      </c>
      <c r="D33" s="1525"/>
      <c r="E33" s="1061"/>
    </row>
    <row r="34" spans="1:6" ht="13.5" customHeight="1" x14ac:dyDescent="0.2">
      <c r="A34" s="306" t="s">
        <v>1810</v>
      </c>
      <c r="B34" s="306"/>
      <c r="C34" s="1064">
        <v>11136</v>
      </c>
      <c r="D34" s="1525" t="s">
        <v>1575</v>
      </c>
      <c r="E34" s="2596">
        <f>+C33+C34</f>
        <v>26853</v>
      </c>
      <c r="F34" s="2597"/>
    </row>
    <row r="35" spans="1:6" ht="12" customHeight="1" x14ac:dyDescent="0.2">
      <c r="A35" s="306"/>
      <c r="B35" s="306"/>
      <c r="C35" s="1526"/>
      <c r="D35" s="1525"/>
      <c r="E35" s="1065"/>
      <c r="F35" s="1066"/>
    </row>
    <row r="36" spans="1:6" ht="13.5" customHeight="1" x14ac:dyDescent="0.2">
      <c r="A36" s="1062" t="s">
        <v>1536</v>
      </c>
      <c r="B36" s="306"/>
      <c r="C36" s="1232"/>
      <c r="D36" s="1525"/>
      <c r="E36" s="1061"/>
    </row>
    <row r="37" spans="1:6" ht="14.25" customHeight="1" x14ac:dyDescent="0.2">
      <c r="A37" s="306" t="s">
        <v>1470</v>
      </c>
      <c r="B37" s="306"/>
      <c r="C37" s="1527"/>
      <c r="D37" s="1525"/>
      <c r="E37" s="1061"/>
    </row>
    <row r="38" spans="1:6" ht="14.25" customHeight="1" x14ac:dyDescent="0.2">
      <c r="A38" s="306"/>
      <c r="B38" s="306" t="s">
        <v>1421</v>
      </c>
      <c r="C38" s="1067">
        <v>0</v>
      </c>
      <c r="D38" s="1525"/>
      <c r="E38" s="1061"/>
    </row>
    <row r="39" spans="1:6" ht="14.25" customHeight="1" x14ac:dyDescent="0.2">
      <c r="A39" s="306"/>
      <c r="B39" s="306" t="s">
        <v>1422</v>
      </c>
      <c r="C39" s="1067">
        <v>0</v>
      </c>
      <c r="D39" s="1525"/>
      <c r="E39" s="1061"/>
    </row>
    <row r="40" spans="1:6" ht="14.25" customHeight="1" x14ac:dyDescent="0.2">
      <c r="A40" s="306"/>
      <c r="B40" s="306" t="s">
        <v>1423</v>
      </c>
      <c r="C40" s="1067">
        <v>0</v>
      </c>
      <c r="D40" s="1525"/>
      <c r="E40" s="1061"/>
    </row>
    <row r="41" spans="1:6" ht="14.25" customHeight="1" x14ac:dyDescent="0.2">
      <c r="A41" s="306"/>
      <c r="B41" s="306" t="s">
        <v>1424</v>
      </c>
      <c r="C41" s="1067">
        <v>0</v>
      </c>
      <c r="D41" s="1525"/>
      <c r="E41" s="1061"/>
    </row>
    <row r="42" spans="1:6" ht="14.25" customHeight="1" x14ac:dyDescent="0.2">
      <c r="A42" s="306" t="s">
        <v>1425</v>
      </c>
      <c r="B42" s="306"/>
      <c r="C42" s="1523">
        <v>0</v>
      </c>
      <c r="D42" s="1525"/>
      <c r="E42" s="1061"/>
    </row>
    <row r="43" spans="1:6" ht="14.25" customHeight="1" x14ac:dyDescent="0.2">
      <c r="A43" s="306" t="s">
        <v>1426</v>
      </c>
      <c r="B43" s="306"/>
      <c r="C43" s="1068" t="s">
        <v>380</v>
      </c>
      <c r="D43" s="1525"/>
      <c r="E43" s="1061"/>
    </row>
    <row r="44" spans="1:6" ht="14.25" customHeight="1" x14ac:dyDescent="0.2">
      <c r="A44" s="306"/>
      <c r="B44" s="306"/>
      <c r="C44" s="1527" t="s">
        <v>1427</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8" t="s">
        <v>1576</v>
      </c>
      <c r="C49" s="2598"/>
      <c r="D49" s="2598"/>
      <c r="E49" s="1167"/>
    </row>
    <row r="50" spans="1:5" s="1075" customFormat="1" ht="3.75" customHeight="1" x14ac:dyDescent="0.2">
      <c r="A50" s="1074"/>
      <c r="B50" s="1474"/>
      <c r="C50" s="1474"/>
      <c r="D50" s="1474"/>
      <c r="E50" s="1167"/>
    </row>
    <row r="51" spans="1:5" s="1075" customFormat="1" ht="20.25" customHeight="1" x14ac:dyDescent="0.2">
      <c r="A51" s="1076">
        <v>6</v>
      </c>
      <c r="B51" s="2594" t="s">
        <v>1537</v>
      </c>
      <c r="C51" s="2594"/>
      <c r="D51" s="2594"/>
    </row>
    <row r="52" spans="1:5" ht="14.25" customHeight="1" x14ac:dyDescent="0.2">
      <c r="A52" s="1076"/>
      <c r="B52" s="2594"/>
      <c r="C52" s="2594"/>
      <c r="D52" s="259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9" zoomScale="110" zoomScaleNormal="110" workbookViewId="0">
      <selection activeCell="D46" sqref="D46"/>
    </sheetView>
  </sheetViews>
  <sheetFormatPr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 xml:space="preserve">   El Paso-Gridley CUSD 11</v>
      </c>
      <c r="C1" s="2624"/>
      <c r="D1" s="2624"/>
      <c r="E1" s="2624"/>
      <c r="F1" s="2624"/>
      <c r="G1" s="2624"/>
      <c r="H1" s="2624"/>
      <c r="I1" s="2624"/>
      <c r="J1" s="1177"/>
    </row>
    <row r="2" spans="2:10" s="295" customFormat="1" ht="12.75" customHeight="1" x14ac:dyDescent="0.2">
      <c r="B2" s="2625">
        <f>'Single Audit Cover'!E7</f>
        <v>53102011026</v>
      </c>
      <c r="C2" s="2626"/>
      <c r="D2" s="2626"/>
      <c r="E2" s="2626"/>
      <c r="F2" s="2626"/>
      <c r="G2" s="2626"/>
      <c r="H2" s="2626"/>
      <c r="I2" s="2626"/>
      <c r="J2" s="1177"/>
    </row>
    <row r="3" spans="2:10" s="295" customFormat="1" ht="12.75" customHeight="1" x14ac:dyDescent="0.2">
      <c r="B3" s="2627" t="s">
        <v>1276</v>
      </c>
      <c r="C3" s="2628"/>
      <c r="D3" s="2628"/>
      <c r="E3" s="2628"/>
      <c r="F3" s="2628"/>
      <c r="G3" s="2628"/>
      <c r="H3" s="2628"/>
      <c r="I3" s="2628"/>
      <c r="J3" s="1178"/>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79" t="s">
        <v>1161</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27" t="s">
        <v>1275</v>
      </c>
      <c r="C7" s="2628"/>
      <c r="D7" s="2628"/>
      <c r="E7" s="2628"/>
      <c r="F7" s="2628"/>
      <c r="G7" s="2628"/>
      <c r="H7" s="2628"/>
      <c r="I7" s="2628"/>
    </row>
    <row r="8" spans="2:10" s="295" customFormat="1" ht="6.2" customHeight="1" x14ac:dyDescent="0.2">
      <c r="B8" s="1181" t="s">
        <v>1161</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1274</v>
      </c>
      <c r="C10" s="1186"/>
      <c r="D10" s="1186"/>
      <c r="E10" s="1034"/>
    </row>
    <row r="11" spans="2:10" s="295" customFormat="1" ht="13.5" customHeight="1" x14ac:dyDescent="0.2">
      <c r="B11" s="1118" t="s">
        <v>1273</v>
      </c>
      <c r="C11" s="2629" t="s">
        <v>2120</v>
      </c>
      <c r="D11" s="2629"/>
      <c r="E11" s="1187"/>
      <c r="F11" s="1187"/>
      <c r="G11" s="1187"/>
    </row>
    <row r="12" spans="2:10" s="295" customFormat="1" ht="11.45" customHeight="1" x14ac:dyDescent="0.2">
      <c r="B12" s="1126"/>
      <c r="C12" s="1188" t="s">
        <v>1428</v>
      </c>
      <c r="D12" s="1189"/>
      <c r="E12" s="1034"/>
    </row>
    <row r="13" spans="2:10" s="295" customFormat="1" ht="12.75" customHeight="1" x14ac:dyDescent="0.2">
      <c r="B13" s="1190"/>
      <c r="C13" s="1155"/>
      <c r="D13" s="1155"/>
      <c r="E13" s="1034"/>
    </row>
    <row r="14" spans="2:10" s="295" customFormat="1" ht="12.75" customHeight="1" x14ac:dyDescent="0.2">
      <c r="B14" s="1137" t="s">
        <v>1272</v>
      </c>
      <c r="C14" s="1057"/>
      <c r="E14" s="1034"/>
    </row>
    <row r="15" spans="2:10" s="295" customFormat="1" ht="13.5" customHeight="1" x14ac:dyDescent="0.2">
      <c r="B15" s="1191" t="s">
        <v>1269</v>
      </c>
      <c r="C15" s="1192"/>
      <c r="D15" s="1166"/>
      <c r="E15" s="1193" t="s">
        <v>2026</v>
      </c>
      <c r="F15" s="1075" t="s">
        <v>879</v>
      </c>
      <c r="G15" s="1193"/>
      <c r="H15" s="1075" t="s">
        <v>1267</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1268</v>
      </c>
      <c r="C17" s="1192"/>
      <c r="D17" s="1166"/>
      <c r="E17" s="1194"/>
      <c r="F17" s="1033"/>
      <c r="G17" s="1194"/>
      <c r="H17" s="1075"/>
      <c r="I17" s="1075"/>
    </row>
    <row r="18" spans="2:9" s="295" customFormat="1" ht="12.75" customHeight="1" x14ac:dyDescent="0.2">
      <c r="B18" s="1191" t="s">
        <v>1429</v>
      </c>
      <c r="C18" s="1192"/>
      <c r="D18" s="1166"/>
      <c r="E18" s="1193" t="s">
        <v>2026</v>
      </c>
      <c r="F18" s="1075" t="s">
        <v>879</v>
      </c>
      <c r="G18" s="1193"/>
      <c r="H18" s="1075" t="s">
        <v>1267</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1577</v>
      </c>
      <c r="C20" s="1192"/>
      <c r="D20" s="1166"/>
      <c r="E20" s="1193"/>
      <c r="F20" s="1075" t="s">
        <v>879</v>
      </c>
      <c r="G20" s="1193" t="s">
        <v>2026</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1271</v>
      </c>
      <c r="C22" s="1195"/>
      <c r="D22" s="1186"/>
      <c r="E22" s="1152"/>
      <c r="F22" s="1075"/>
      <c r="G22" s="300"/>
      <c r="H22" s="1075"/>
      <c r="I22" s="1075"/>
    </row>
    <row r="23" spans="2:9" s="295" customFormat="1" ht="12.75" customHeight="1" x14ac:dyDescent="0.2">
      <c r="B23" s="1137" t="s">
        <v>1270</v>
      </c>
      <c r="C23" s="1057"/>
      <c r="E23" s="1152"/>
      <c r="F23" s="1075"/>
      <c r="G23" s="300"/>
      <c r="H23" s="1075"/>
      <c r="I23" s="1075"/>
    </row>
    <row r="24" spans="2:9" s="295" customFormat="1" ht="13.5" customHeight="1" x14ac:dyDescent="0.2">
      <c r="B24" s="1191" t="s">
        <v>1269</v>
      </c>
      <c r="C24" s="1192"/>
      <c r="D24" s="1166"/>
      <c r="E24" s="1193"/>
      <c r="F24" s="1075" t="s">
        <v>879</v>
      </c>
      <c r="G24" s="1193" t="s">
        <v>2026</v>
      </c>
      <c r="H24" s="1075" t="s">
        <v>1267</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1268</v>
      </c>
      <c r="C26" s="1192"/>
      <c r="D26" s="1166"/>
      <c r="E26" s="1194"/>
      <c r="F26" s="1033"/>
      <c r="G26" s="1194"/>
      <c r="H26" s="1075"/>
      <c r="I26" s="1075"/>
    </row>
    <row r="27" spans="2:9" s="295" customFormat="1" ht="12.75" customHeight="1" x14ac:dyDescent="0.2">
      <c r="B27" s="1191" t="s">
        <v>1429</v>
      </c>
      <c r="C27" s="1192"/>
      <c r="D27" s="1166"/>
      <c r="E27" s="1193"/>
      <c r="F27" s="1075" t="s">
        <v>879</v>
      </c>
      <c r="G27" s="1193" t="s">
        <v>2026</v>
      </c>
      <c r="H27" s="1075" t="s">
        <v>1267</v>
      </c>
      <c r="I27" s="1075"/>
    </row>
    <row r="28" spans="2:9" s="295" customFormat="1" ht="12.75" customHeight="1" x14ac:dyDescent="0.2">
      <c r="B28" s="1137"/>
      <c r="C28" s="1057"/>
      <c r="E28" s="1034"/>
    </row>
    <row r="29" spans="2:9" s="295" customFormat="1" ht="12.75" customHeight="1" x14ac:dyDescent="0.2">
      <c r="B29" s="1137" t="s">
        <v>1266</v>
      </c>
      <c r="C29" s="1057"/>
      <c r="D29" s="2619" t="s">
        <v>2120</v>
      </c>
      <c r="E29" s="2619"/>
      <c r="F29" s="2619"/>
      <c r="G29" s="2619"/>
      <c r="H29" s="2619"/>
      <c r="I29" s="2619"/>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4"/>
    </row>
    <row r="32" spans="2:9" s="295" customFormat="1" x14ac:dyDescent="0.2">
      <c r="B32" s="1137" t="s">
        <v>1265</v>
      </c>
      <c r="C32" s="1057"/>
      <c r="E32" s="1034"/>
    </row>
    <row r="33" spans="2:9" ht="13.5" customHeight="1" x14ac:dyDescent="0.2">
      <c r="B33" s="1137" t="s">
        <v>1538</v>
      </c>
      <c r="C33" s="1057"/>
      <c r="E33" s="1193"/>
      <c r="F33" s="1075" t="s">
        <v>879</v>
      </c>
      <c r="G33" s="1193" t="s">
        <v>2026</v>
      </c>
      <c r="H33" s="1075" t="s">
        <v>99</v>
      </c>
    </row>
    <row r="35" spans="2:9" x14ac:dyDescent="0.2">
      <c r="B35" s="1196" t="s">
        <v>1726</v>
      </c>
      <c r="C35" s="1197"/>
      <c r="D35" s="1043"/>
    </row>
    <row r="36" spans="2:9" ht="6" customHeight="1" x14ac:dyDescent="0.2">
      <c r="B36" s="1196"/>
      <c r="C36" s="1197"/>
      <c r="D36" s="1043"/>
    </row>
    <row r="37" spans="2:9" ht="17.25" customHeight="1" x14ac:dyDescent="0.2">
      <c r="B37" s="1198" t="s">
        <v>1727</v>
      </c>
      <c r="C37" s="2620" t="s">
        <v>1728</v>
      </c>
      <c r="D37" s="2621"/>
      <c r="E37" s="2621"/>
      <c r="F37" s="2622"/>
      <c r="G37" s="2620" t="s">
        <v>1578</v>
      </c>
      <c r="H37" s="2621"/>
      <c r="I37" s="2622"/>
    </row>
    <row r="38" spans="2:9" ht="16.5" customHeight="1" x14ac:dyDescent="0.2">
      <c r="B38" s="1199" t="s">
        <v>2122</v>
      </c>
      <c r="C38" s="2606" t="s">
        <v>2123</v>
      </c>
      <c r="D38" s="2607"/>
      <c r="E38" s="2607"/>
      <c r="F38" s="2608"/>
      <c r="G38" s="2610">
        <v>328358</v>
      </c>
      <c r="H38" s="2611"/>
      <c r="I38" s="2612"/>
    </row>
    <row r="39" spans="2:9" ht="16.5" customHeight="1" x14ac:dyDescent="0.2">
      <c r="B39" s="1199"/>
      <c r="C39" s="2606"/>
      <c r="D39" s="2607"/>
      <c r="E39" s="2607"/>
      <c r="F39" s="2608"/>
      <c r="G39" s="2609"/>
      <c r="H39" s="2609"/>
      <c r="I39" s="2609"/>
    </row>
    <row r="40" spans="2:9" ht="16.5" customHeight="1" x14ac:dyDescent="0.2">
      <c r="B40" s="1199"/>
      <c r="C40" s="2606"/>
      <c r="D40" s="2607"/>
      <c r="E40" s="2607"/>
      <c r="F40" s="2608"/>
      <c r="G40" s="2609"/>
      <c r="H40" s="2609"/>
      <c r="I40" s="2609"/>
    </row>
    <row r="41" spans="2:9" ht="16.5" customHeight="1" x14ac:dyDescent="0.2">
      <c r="B41" s="1199"/>
      <c r="C41" s="2606"/>
      <c r="D41" s="2607"/>
      <c r="E41" s="2607"/>
      <c r="F41" s="2608"/>
      <c r="G41" s="2609"/>
      <c r="H41" s="2609"/>
      <c r="I41" s="2609"/>
    </row>
    <row r="42" spans="2:9" ht="16.5" customHeight="1" x14ac:dyDescent="0.2">
      <c r="B42" s="1199"/>
      <c r="C42" s="2606"/>
      <c r="D42" s="2607"/>
      <c r="E42" s="2607"/>
      <c r="F42" s="2608"/>
      <c r="G42" s="2609"/>
      <c r="H42" s="2609"/>
      <c r="I42" s="2609"/>
    </row>
    <row r="43" spans="2:9" ht="16.5" customHeight="1" x14ac:dyDescent="0.2">
      <c r="B43" s="1199"/>
      <c r="C43" s="2613" t="s">
        <v>1579</v>
      </c>
      <c r="D43" s="2614"/>
      <c r="E43" s="2614"/>
      <c r="F43" s="2615"/>
      <c r="G43" s="2616">
        <f>SUM(G38:I42)</f>
        <v>328358</v>
      </c>
      <c r="H43" s="2616"/>
      <c r="I43" s="2616"/>
    </row>
    <row r="44" spans="2:9" ht="12.75" customHeight="1" x14ac:dyDescent="0.2"/>
    <row r="45" spans="2:9" ht="12.75" customHeight="1" x14ac:dyDescent="0.2">
      <c r="B45" s="1916" t="str">
        <f>"Total Federal Expenditures for 7/1/"&amp;MID('AFR20'!E2,3,2)-1&amp;"-6/30/"&amp;MID('AFR20'!E2,3,2)</f>
        <v>Total Federal Expenditures for 7/1/19-6/30/20</v>
      </c>
      <c r="C45" s="1917"/>
      <c r="D45" s="2617">
        <v>806478</v>
      </c>
      <c r="E45" s="2618"/>
    </row>
    <row r="46" spans="2:9" ht="5.25" customHeight="1" x14ac:dyDescent="0.2">
      <c r="B46" s="1200"/>
      <c r="D46" s="1201"/>
      <c r="E46" s="1202"/>
    </row>
    <row r="47" spans="2:9" ht="12.75" customHeight="1" x14ac:dyDescent="0.2">
      <c r="B47" s="1075" t="s">
        <v>1580</v>
      </c>
      <c r="C47" s="1075"/>
      <c r="D47" s="1203">
        <f>+G43/D45</f>
        <v>0.40715059803243236</v>
      </c>
      <c r="E47" s="1204"/>
      <c r="F47" s="1205"/>
      <c r="I47" s="1206"/>
    </row>
    <row r="48" spans="2:9" ht="9.9499999999999993" customHeight="1" x14ac:dyDescent="0.2"/>
    <row r="49" spans="1:9" x14ac:dyDescent="0.2">
      <c r="B49" s="1137" t="s">
        <v>1264</v>
      </c>
      <c r="C49" s="1057"/>
      <c r="D49" s="1057"/>
      <c r="E49" s="2605">
        <v>750000</v>
      </c>
      <c r="F49" s="2605"/>
      <c r="G49" s="2605"/>
      <c r="H49" s="300"/>
    </row>
    <row r="51" spans="1:9" ht="13.5" customHeight="1" x14ac:dyDescent="0.2">
      <c r="B51" s="1137" t="s">
        <v>1263</v>
      </c>
      <c r="C51" s="1057"/>
      <c r="E51" s="1193"/>
      <c r="F51" s="1075" t="s">
        <v>879</v>
      </c>
      <c r="G51" s="1193" t="s">
        <v>2017</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1581</v>
      </c>
      <c r="C55" s="1213"/>
      <c r="D55" s="1213"/>
    </row>
    <row r="56" spans="1:9" s="1216" customFormat="1" ht="12.75" customHeight="1" x14ac:dyDescent="0.2">
      <c r="A56" s="1213"/>
      <c r="B56" s="1217" t="s">
        <v>1582</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1583</v>
      </c>
      <c r="C63" s="1213"/>
      <c r="D63" s="1213"/>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0" workbookViewId="0">
      <selection activeCell="B29" sqref="B29:K29"/>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El Paso-Gridley CUSD 11</v>
      </c>
      <c r="C1" s="2623"/>
      <c r="D1" s="2623"/>
      <c r="E1" s="2623"/>
      <c r="F1" s="2623"/>
      <c r="G1" s="2623"/>
      <c r="H1" s="2623"/>
      <c r="I1" s="2623"/>
      <c r="J1" s="2623"/>
      <c r="K1" s="2623"/>
      <c r="L1" s="1143"/>
      <c r="M1" s="1143"/>
    </row>
    <row r="2" spans="1:13" ht="12" customHeight="1" x14ac:dyDescent="0.2">
      <c r="B2" s="2625">
        <f>'Single Audit Cover'!E7</f>
        <v>53102011026</v>
      </c>
      <c r="C2" s="2625"/>
      <c r="D2" s="2625"/>
      <c r="E2" s="2625"/>
      <c r="F2" s="2625"/>
      <c r="G2" s="2625"/>
      <c r="H2" s="2625"/>
      <c r="I2" s="2625"/>
      <c r="J2" s="2625"/>
      <c r="K2" s="2625"/>
      <c r="L2" s="1144"/>
      <c r="M2" s="1145"/>
    </row>
    <row r="3" spans="1:13" ht="10.35" customHeight="1" x14ac:dyDescent="0.2">
      <c r="B3" s="2633" t="s">
        <v>1276</v>
      </c>
      <c r="C3" s="2633"/>
      <c r="D3" s="2633"/>
      <c r="E3" s="2633"/>
      <c r="F3" s="2633"/>
      <c r="G3" s="2633"/>
      <c r="H3" s="2633"/>
      <c r="I3" s="2633"/>
      <c r="J3" s="2633"/>
      <c r="K3" s="2633"/>
      <c r="L3" s="2049"/>
      <c r="M3" s="2049"/>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1161</v>
      </c>
      <c r="C5" s="1036"/>
    </row>
    <row r="6" spans="1:13" ht="7.5" customHeight="1" x14ac:dyDescent="0.2">
      <c r="B6" s="1147"/>
      <c r="C6" s="1147"/>
      <c r="D6" s="1148"/>
      <c r="E6" s="1148"/>
      <c r="F6" s="1148"/>
      <c r="G6" s="1149"/>
      <c r="H6" s="1148"/>
      <c r="I6" s="1149"/>
      <c r="J6" s="1148"/>
      <c r="K6" s="1148"/>
      <c r="L6" s="1150"/>
    </row>
    <row r="7" spans="1:13" ht="12.75" customHeight="1" x14ac:dyDescent="0.2">
      <c r="A7" s="1057"/>
      <c r="B7" s="2634" t="s">
        <v>1287</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
        <v>2124</v>
      </c>
      <c r="D10" s="1154">
        <v>1</v>
      </c>
      <c r="E10" s="300"/>
      <c r="F10" s="1155" t="s">
        <v>1286</v>
      </c>
      <c r="G10" s="1156" t="s">
        <v>2026</v>
      </c>
      <c r="H10" s="1157" t="s">
        <v>1285</v>
      </c>
      <c r="I10" s="1156"/>
      <c r="J10" s="1158" t="s">
        <v>1284</v>
      </c>
      <c r="K10" s="300"/>
      <c r="L10" s="1150"/>
    </row>
    <row r="11" spans="1:13" ht="13.5" customHeight="1" x14ac:dyDescent="0.2">
      <c r="B11" s="300"/>
      <c r="C11" s="300"/>
      <c r="D11" s="300"/>
      <c r="E11" s="300"/>
      <c r="F11" s="300"/>
      <c r="G11" s="1152"/>
      <c r="H11" s="300"/>
      <c r="I11" s="1159" t="s">
        <v>1283</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1282</v>
      </c>
      <c r="C13" s="1161"/>
      <c r="D13" s="1162"/>
      <c r="E13" s="1162"/>
      <c r="F13" s="1162"/>
      <c r="G13" s="1163"/>
      <c r="H13" s="1162"/>
      <c r="I13" s="1163"/>
      <c r="J13" s="1162"/>
      <c r="K13" s="1162"/>
      <c r="L13" s="1164"/>
    </row>
    <row r="14" spans="1:13" ht="57" customHeight="1" x14ac:dyDescent="0.2">
      <c r="B14" s="2630" t="s">
        <v>2144</v>
      </c>
      <c r="C14" s="2630"/>
      <c r="D14" s="2630"/>
      <c r="E14" s="2630"/>
      <c r="F14" s="2630"/>
      <c r="G14" s="2630"/>
      <c r="H14" s="2630"/>
      <c r="I14" s="2630"/>
      <c r="J14" s="2630"/>
      <c r="K14" s="263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1281</v>
      </c>
      <c r="C16" s="1161"/>
      <c r="D16" s="1162"/>
      <c r="E16" s="1162"/>
      <c r="F16" s="1162"/>
      <c r="G16" s="1163"/>
      <c r="H16" s="1162"/>
      <c r="I16" s="1163"/>
      <c r="J16" s="1162"/>
      <c r="K16" s="1162"/>
      <c r="L16" s="1164"/>
    </row>
    <row r="17" spans="2:12" ht="45.75" customHeight="1" x14ac:dyDescent="0.2">
      <c r="B17" s="2630" t="s">
        <v>2145</v>
      </c>
      <c r="C17" s="2630"/>
      <c r="D17" s="2630"/>
      <c r="E17" s="2630"/>
      <c r="F17" s="2630"/>
      <c r="G17" s="2630"/>
      <c r="H17" s="2630"/>
      <c r="I17" s="2630"/>
      <c r="J17" s="2630"/>
      <c r="K17" s="263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31" t="s">
        <v>2132</v>
      </c>
      <c r="C20" s="2631"/>
      <c r="D20" s="2630"/>
      <c r="E20" s="2630"/>
      <c r="F20" s="2630"/>
      <c r="G20" s="2630"/>
      <c r="H20" s="2630"/>
      <c r="I20" s="2630"/>
      <c r="J20" s="2630"/>
      <c r="K20" s="2630"/>
      <c r="L20" s="1150"/>
    </row>
    <row r="21" spans="2:12" ht="4.5" customHeight="1" x14ac:dyDescent="0.2">
      <c r="B21" s="1168"/>
      <c r="C21" s="1168"/>
      <c r="L21" s="1150"/>
    </row>
    <row r="22" spans="2:12" ht="13.5" customHeight="1" x14ac:dyDescent="0.2">
      <c r="B22" s="1161" t="s">
        <v>1280</v>
      </c>
      <c r="C22" s="1161"/>
      <c r="D22" s="1148"/>
      <c r="E22" s="1148"/>
      <c r="F22" s="1148"/>
      <c r="G22" s="1149"/>
      <c r="H22" s="1148"/>
      <c r="I22" s="1149"/>
      <c r="J22" s="1148"/>
      <c r="K22" s="1148"/>
      <c r="L22" s="1150"/>
    </row>
    <row r="23" spans="2:12" ht="45" customHeight="1" x14ac:dyDescent="0.2">
      <c r="B23" s="2630" t="s">
        <v>2133</v>
      </c>
      <c r="C23" s="2630"/>
      <c r="D23" s="2630"/>
      <c r="E23" s="2630"/>
      <c r="F23" s="2630"/>
      <c r="G23" s="2630"/>
      <c r="H23" s="2630"/>
      <c r="I23" s="2630"/>
      <c r="J23" s="2630"/>
      <c r="K23" s="2630"/>
      <c r="L23" s="1150"/>
    </row>
    <row r="24" spans="2:12" ht="4.5" customHeight="1" x14ac:dyDescent="0.2">
      <c r="B24" s="1166"/>
      <c r="C24" s="1166"/>
      <c r="L24" s="1150"/>
    </row>
    <row r="25" spans="2:12" ht="13.5" customHeight="1" x14ac:dyDescent="0.2">
      <c r="B25" s="1161" t="s">
        <v>1279</v>
      </c>
      <c r="C25" s="1161"/>
      <c r="D25" s="1148"/>
      <c r="E25" s="1148"/>
      <c r="F25" s="1148"/>
      <c r="G25" s="1149"/>
      <c r="H25" s="1148"/>
      <c r="I25" s="1149"/>
      <c r="J25" s="1148"/>
      <c r="K25" s="1148"/>
      <c r="L25" s="1150"/>
    </row>
    <row r="26" spans="2:12" ht="45.75" customHeight="1" x14ac:dyDescent="0.2">
      <c r="B26" s="2630" t="s">
        <v>2134</v>
      </c>
      <c r="C26" s="2630"/>
      <c r="D26" s="2630"/>
      <c r="E26" s="2630"/>
      <c r="F26" s="2630"/>
      <c r="G26" s="2630"/>
      <c r="H26" s="2630"/>
      <c r="I26" s="2630"/>
      <c r="J26" s="2630"/>
      <c r="K26" s="2630"/>
      <c r="L26" s="1150"/>
    </row>
    <row r="27" spans="2:12" ht="4.5" customHeight="1" x14ac:dyDescent="0.2">
      <c r="B27" s="1166"/>
      <c r="C27" s="1166"/>
      <c r="L27" s="1150"/>
    </row>
    <row r="28" spans="2:12" ht="13.5" customHeight="1" x14ac:dyDescent="0.2">
      <c r="B28" s="1169" t="s">
        <v>1278</v>
      </c>
      <c r="C28" s="1169"/>
      <c r="D28" s="1148"/>
      <c r="E28" s="1148"/>
      <c r="F28" s="1148"/>
      <c r="G28" s="1149"/>
      <c r="H28" s="1148"/>
      <c r="I28" s="1149"/>
      <c r="J28" s="1148"/>
      <c r="K28" s="1148"/>
      <c r="L28" s="1150"/>
    </row>
    <row r="29" spans="2:12" ht="45.75" customHeight="1" x14ac:dyDescent="0.2">
      <c r="B29" s="2632" t="s">
        <v>2125</v>
      </c>
      <c r="C29" s="2632"/>
      <c r="D29" s="2630"/>
      <c r="E29" s="2630"/>
      <c r="F29" s="2630"/>
      <c r="G29" s="2630"/>
      <c r="H29" s="2630"/>
      <c r="I29" s="2630"/>
      <c r="J29" s="2630"/>
      <c r="K29" s="263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32" t="s">
        <v>2140</v>
      </c>
      <c r="C32" s="2632"/>
      <c r="D32" s="2630"/>
      <c r="E32" s="2630"/>
      <c r="F32" s="2630"/>
      <c r="G32" s="2630"/>
      <c r="H32" s="2630"/>
      <c r="I32" s="2630"/>
      <c r="J32" s="2630"/>
      <c r="K32" s="263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1723</v>
      </c>
      <c r="C38" s="1175"/>
    </row>
    <row r="39" spans="1:13" ht="9.6" customHeight="1" x14ac:dyDescent="0.2">
      <c r="B39" s="1075" t="s">
        <v>1277</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42" top="0.56999999999999995" bottom="0.75" header="0.3" footer="0.3"/>
  <pageSetup scale="95" orientation="portrait" r:id="rId1"/>
  <headerFooter>
    <oddHeader>&amp;LPage 43&amp;RPage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workbookViewId="0">
      <selection activeCell="B32" sqref="B32:K32"/>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El Paso-Gridley CUSD 11</v>
      </c>
      <c r="C1" s="2623"/>
      <c r="D1" s="2623"/>
      <c r="E1" s="2623"/>
      <c r="F1" s="2623"/>
      <c r="G1" s="2623"/>
      <c r="H1" s="2623"/>
      <c r="I1" s="2623"/>
      <c r="J1" s="2623"/>
      <c r="K1" s="2623"/>
      <c r="L1" s="1143"/>
      <c r="M1" s="1143"/>
    </row>
    <row r="2" spans="1:13" ht="12" customHeight="1" x14ac:dyDescent="0.2">
      <c r="B2" s="2625">
        <f>'Single Audit Cover'!E7</f>
        <v>53102011026</v>
      </c>
      <c r="C2" s="2625"/>
      <c r="D2" s="2625"/>
      <c r="E2" s="2625"/>
      <c r="F2" s="2625"/>
      <c r="G2" s="2625"/>
      <c r="H2" s="2625"/>
      <c r="I2" s="2625"/>
      <c r="J2" s="2625"/>
      <c r="K2" s="2625"/>
      <c r="L2" s="1144"/>
      <c r="M2" s="1145"/>
    </row>
    <row r="3" spans="1:13" ht="10.35" customHeight="1" x14ac:dyDescent="0.2">
      <c r="B3" s="2633" t="s">
        <v>1276</v>
      </c>
      <c r="C3" s="2633"/>
      <c r="D3" s="2633"/>
      <c r="E3" s="2633"/>
      <c r="F3" s="2633"/>
      <c r="G3" s="2633"/>
      <c r="H3" s="2633"/>
      <c r="I3" s="2633"/>
      <c r="J3" s="2633"/>
      <c r="K3" s="2633"/>
      <c r="L3" s="2049"/>
      <c r="M3" s="2049"/>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1161</v>
      </c>
      <c r="C5" s="1036"/>
    </row>
    <row r="6" spans="1:13" ht="7.5" customHeight="1" x14ac:dyDescent="0.2">
      <c r="B6" s="1147"/>
      <c r="C6" s="1147"/>
      <c r="D6" s="1148"/>
      <c r="E6" s="1148"/>
      <c r="F6" s="1148"/>
      <c r="G6" s="1149"/>
      <c r="H6" s="1148"/>
      <c r="I6" s="1149"/>
      <c r="J6" s="1148"/>
      <c r="K6" s="1148"/>
      <c r="L6" s="1150"/>
    </row>
    <row r="7" spans="1:13" ht="12.75" customHeight="1" x14ac:dyDescent="0.2">
      <c r="A7" s="1057"/>
      <c r="B7" s="2634" t="s">
        <v>1287</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
        <v>2124</v>
      </c>
      <c r="D10" s="1154">
        <v>2</v>
      </c>
      <c r="E10" s="300"/>
      <c r="F10" s="1155" t="s">
        <v>1286</v>
      </c>
      <c r="G10" s="1156" t="s">
        <v>2026</v>
      </c>
      <c r="H10" s="1157" t="s">
        <v>1285</v>
      </c>
      <c r="I10" s="1156"/>
      <c r="J10" s="1158" t="s">
        <v>1284</v>
      </c>
      <c r="K10" s="300"/>
      <c r="L10" s="1150"/>
    </row>
    <row r="11" spans="1:13" ht="13.5" customHeight="1" x14ac:dyDescent="0.2">
      <c r="B11" s="300"/>
      <c r="C11" s="300"/>
      <c r="D11" s="300"/>
      <c r="E11" s="300"/>
      <c r="F11" s="300"/>
      <c r="G11" s="1152"/>
      <c r="H11" s="300"/>
      <c r="I11" s="1159" t="s">
        <v>1283</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1282</v>
      </c>
      <c r="C13" s="1161"/>
      <c r="D13" s="1162"/>
      <c r="E13" s="1162"/>
      <c r="F13" s="1162"/>
      <c r="G13" s="1163"/>
      <c r="H13" s="1162"/>
      <c r="I13" s="1163"/>
      <c r="J13" s="1162"/>
      <c r="K13" s="1162"/>
      <c r="L13" s="1164"/>
    </row>
    <row r="14" spans="1:13" ht="45.75" customHeight="1" x14ac:dyDescent="0.2">
      <c r="B14" s="2630" t="s">
        <v>2126</v>
      </c>
      <c r="C14" s="2630"/>
      <c r="D14" s="2630"/>
      <c r="E14" s="2630"/>
      <c r="F14" s="2630"/>
      <c r="G14" s="2630"/>
      <c r="H14" s="2630"/>
      <c r="I14" s="2630"/>
      <c r="J14" s="2630"/>
      <c r="K14" s="263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1281</v>
      </c>
      <c r="C16" s="1161"/>
      <c r="D16" s="1162"/>
      <c r="E16" s="1162"/>
      <c r="F16" s="1162"/>
      <c r="G16" s="1163"/>
      <c r="H16" s="1162"/>
      <c r="I16" s="1163"/>
      <c r="J16" s="1162"/>
      <c r="K16" s="1162"/>
      <c r="L16" s="1164"/>
    </row>
    <row r="17" spans="2:12" ht="45.75" customHeight="1" x14ac:dyDescent="0.2">
      <c r="B17" s="2630" t="s">
        <v>2127</v>
      </c>
      <c r="C17" s="2630"/>
      <c r="D17" s="2630"/>
      <c r="E17" s="2630"/>
      <c r="F17" s="2630"/>
      <c r="G17" s="2630"/>
      <c r="H17" s="2630"/>
      <c r="I17" s="2630"/>
      <c r="J17" s="2630"/>
      <c r="K17" s="263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31" t="s">
        <v>2128</v>
      </c>
      <c r="C20" s="2631"/>
      <c r="D20" s="2630"/>
      <c r="E20" s="2630"/>
      <c r="F20" s="2630"/>
      <c r="G20" s="2630"/>
      <c r="H20" s="2630"/>
      <c r="I20" s="2630"/>
      <c r="J20" s="2630"/>
      <c r="K20" s="2630"/>
      <c r="L20" s="1150"/>
    </row>
    <row r="21" spans="2:12" ht="4.5" customHeight="1" x14ac:dyDescent="0.2">
      <c r="B21" s="1168"/>
      <c r="C21" s="1168"/>
      <c r="L21" s="1150"/>
    </row>
    <row r="22" spans="2:12" ht="13.5" customHeight="1" x14ac:dyDescent="0.2">
      <c r="B22" s="1161" t="s">
        <v>1280</v>
      </c>
      <c r="C22" s="1161"/>
      <c r="D22" s="1148"/>
      <c r="E22" s="1148"/>
      <c r="F22" s="1148"/>
      <c r="G22" s="1149"/>
      <c r="H22" s="1148"/>
      <c r="I22" s="1149"/>
      <c r="J22" s="1148"/>
      <c r="K22" s="1148"/>
      <c r="L22" s="1150"/>
    </row>
    <row r="23" spans="2:12" ht="45" customHeight="1" x14ac:dyDescent="0.2">
      <c r="B23" s="2630" t="s">
        <v>2129</v>
      </c>
      <c r="C23" s="2630"/>
      <c r="D23" s="2630"/>
      <c r="E23" s="2630"/>
      <c r="F23" s="2630"/>
      <c r="G23" s="2630"/>
      <c r="H23" s="2630"/>
      <c r="I23" s="2630"/>
      <c r="J23" s="2630"/>
      <c r="K23" s="2630"/>
      <c r="L23" s="1150"/>
    </row>
    <row r="24" spans="2:12" ht="4.5" customHeight="1" x14ac:dyDescent="0.2">
      <c r="B24" s="1166"/>
      <c r="C24" s="1166"/>
      <c r="L24" s="1150"/>
    </row>
    <row r="25" spans="2:12" ht="13.5" customHeight="1" x14ac:dyDescent="0.2">
      <c r="B25" s="1161" t="s">
        <v>1279</v>
      </c>
      <c r="C25" s="1161"/>
      <c r="D25" s="1148"/>
      <c r="E25" s="1148"/>
      <c r="F25" s="1148"/>
      <c r="G25" s="1149"/>
      <c r="H25" s="1148"/>
      <c r="I25" s="1149"/>
      <c r="J25" s="1148"/>
      <c r="K25" s="1148"/>
      <c r="L25" s="1150"/>
    </row>
    <row r="26" spans="2:12" ht="45.75" customHeight="1" x14ac:dyDescent="0.2">
      <c r="B26" s="2630" t="s">
        <v>2130</v>
      </c>
      <c r="C26" s="2630"/>
      <c r="D26" s="2630"/>
      <c r="E26" s="2630"/>
      <c r="F26" s="2630"/>
      <c r="G26" s="2630"/>
      <c r="H26" s="2630"/>
      <c r="I26" s="2630"/>
      <c r="J26" s="2630"/>
      <c r="K26" s="2630"/>
      <c r="L26" s="1150"/>
    </row>
    <row r="27" spans="2:12" ht="4.5" customHeight="1" x14ac:dyDescent="0.2">
      <c r="B27" s="1166"/>
      <c r="C27" s="1166"/>
      <c r="L27" s="1150"/>
    </row>
    <row r="28" spans="2:12" ht="13.5" customHeight="1" x14ac:dyDescent="0.2">
      <c r="B28" s="1169" t="s">
        <v>1278</v>
      </c>
      <c r="C28" s="1169"/>
      <c r="D28" s="1148"/>
      <c r="E28" s="1148"/>
      <c r="F28" s="1148"/>
      <c r="G28" s="1149"/>
      <c r="H28" s="1148"/>
      <c r="I28" s="1149"/>
      <c r="J28" s="1148"/>
      <c r="K28" s="1148"/>
      <c r="L28" s="1150"/>
    </row>
    <row r="29" spans="2:12" ht="45.75" customHeight="1" x14ac:dyDescent="0.2">
      <c r="B29" s="2632" t="s">
        <v>2131</v>
      </c>
      <c r="C29" s="2632"/>
      <c r="D29" s="2630"/>
      <c r="E29" s="2630"/>
      <c r="F29" s="2630"/>
      <c r="G29" s="2630"/>
      <c r="H29" s="2630"/>
      <c r="I29" s="2630"/>
      <c r="J29" s="2630"/>
      <c r="K29" s="263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32" t="s">
        <v>2140</v>
      </c>
      <c r="C32" s="2632"/>
      <c r="D32" s="2630"/>
      <c r="E32" s="2630"/>
      <c r="F32" s="2630"/>
      <c r="G32" s="2630"/>
      <c r="H32" s="2630"/>
      <c r="I32" s="2630"/>
      <c r="J32" s="2630"/>
      <c r="K32" s="263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1723</v>
      </c>
      <c r="C38" s="1175"/>
    </row>
    <row r="39" spans="1:13" ht="9.6" customHeight="1" x14ac:dyDescent="0.2">
      <c r="B39" s="1075" t="s">
        <v>1277</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oddHeader>&amp;LPage 43.1&amp;RPage 43.1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1" workbookViewId="0">
      <selection activeCell="B32" sqref="B32:K32"/>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El Paso-Gridley CUSD 11</v>
      </c>
      <c r="C1" s="2623"/>
      <c r="D1" s="2623"/>
      <c r="E1" s="2623"/>
      <c r="F1" s="2623"/>
      <c r="G1" s="2623"/>
      <c r="H1" s="2623"/>
      <c r="I1" s="2623"/>
      <c r="J1" s="2623"/>
      <c r="K1" s="2623"/>
      <c r="L1" s="1143"/>
      <c r="M1" s="1143"/>
    </row>
    <row r="2" spans="1:13" ht="12" customHeight="1" x14ac:dyDescent="0.2">
      <c r="B2" s="2625">
        <f>'Single Audit Cover'!E7</f>
        <v>53102011026</v>
      </c>
      <c r="C2" s="2625"/>
      <c r="D2" s="2625"/>
      <c r="E2" s="2625"/>
      <c r="F2" s="2625"/>
      <c r="G2" s="2625"/>
      <c r="H2" s="2625"/>
      <c r="I2" s="2625"/>
      <c r="J2" s="2625"/>
      <c r="K2" s="2625"/>
      <c r="L2" s="1144"/>
      <c r="M2" s="1145"/>
    </row>
    <row r="3" spans="1:13" ht="10.35" customHeight="1" x14ac:dyDescent="0.2">
      <c r="B3" s="2633" t="s">
        <v>1276</v>
      </c>
      <c r="C3" s="2633"/>
      <c r="D3" s="2633"/>
      <c r="E3" s="2633"/>
      <c r="F3" s="2633"/>
      <c r="G3" s="2633"/>
      <c r="H3" s="2633"/>
      <c r="I3" s="2633"/>
      <c r="J3" s="2633"/>
      <c r="K3" s="2633"/>
      <c r="L3" s="2050"/>
      <c r="M3" s="2050"/>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1161</v>
      </c>
      <c r="C5" s="1036"/>
    </row>
    <row r="6" spans="1:13" ht="7.5" customHeight="1" x14ac:dyDescent="0.2">
      <c r="B6" s="1147"/>
      <c r="C6" s="1147"/>
      <c r="D6" s="1148"/>
      <c r="E6" s="1148"/>
      <c r="F6" s="1148"/>
      <c r="G6" s="1149"/>
      <c r="H6" s="1148"/>
      <c r="I6" s="1149"/>
      <c r="J6" s="1148"/>
      <c r="K6" s="1148"/>
      <c r="L6" s="1150"/>
    </row>
    <row r="7" spans="1:13" ht="12.75" customHeight="1" x14ac:dyDescent="0.2">
      <c r="A7" s="1057"/>
      <c r="B7" s="2634" t="s">
        <v>1287</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
        <v>2124</v>
      </c>
      <c r="D10" s="1154">
        <v>3</v>
      </c>
      <c r="E10" s="300"/>
      <c r="F10" s="1155" t="s">
        <v>1286</v>
      </c>
      <c r="G10" s="1156"/>
      <c r="H10" s="1157" t="s">
        <v>1285</v>
      </c>
      <c r="I10" s="1156" t="s">
        <v>2026</v>
      </c>
      <c r="J10" s="1158" t="s">
        <v>1284</v>
      </c>
      <c r="K10" s="300"/>
      <c r="L10" s="1150"/>
    </row>
    <row r="11" spans="1:13" ht="13.5" customHeight="1" x14ac:dyDescent="0.2">
      <c r="B11" s="300"/>
      <c r="C11" s="300"/>
      <c r="D11" s="300"/>
      <c r="E11" s="300"/>
      <c r="F11" s="300"/>
      <c r="G11" s="1152"/>
      <c r="H11" s="300"/>
      <c r="I11" s="1159" t="s">
        <v>1283</v>
      </c>
      <c r="J11" s="300"/>
      <c r="K11" s="1160" t="s">
        <v>2139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1282</v>
      </c>
      <c r="C13" s="1161"/>
      <c r="D13" s="1162"/>
      <c r="E13" s="1162"/>
      <c r="F13" s="1162"/>
      <c r="G13" s="1163"/>
      <c r="H13" s="1162"/>
      <c r="I13" s="1163"/>
      <c r="J13" s="1162"/>
      <c r="K13" s="1162"/>
      <c r="L13" s="1164"/>
    </row>
    <row r="14" spans="1:13" ht="60" customHeight="1" x14ac:dyDescent="0.2">
      <c r="B14" s="2630" t="s">
        <v>2135</v>
      </c>
      <c r="C14" s="2630"/>
      <c r="D14" s="2630"/>
      <c r="E14" s="2630"/>
      <c r="F14" s="2630"/>
      <c r="G14" s="2630"/>
      <c r="H14" s="2630"/>
      <c r="I14" s="2630"/>
      <c r="J14" s="2630"/>
      <c r="K14" s="263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1281</v>
      </c>
      <c r="C16" s="1161"/>
      <c r="D16" s="1162"/>
      <c r="E16" s="1162"/>
      <c r="F16" s="1162"/>
      <c r="G16" s="1163"/>
      <c r="H16" s="1162"/>
      <c r="I16" s="1163"/>
      <c r="J16" s="1162"/>
      <c r="K16" s="1162"/>
      <c r="L16" s="1164"/>
    </row>
    <row r="17" spans="2:12" ht="66.75" customHeight="1" x14ac:dyDescent="0.2">
      <c r="B17" s="2630" t="s">
        <v>2136</v>
      </c>
      <c r="C17" s="2630"/>
      <c r="D17" s="2630"/>
      <c r="E17" s="2630"/>
      <c r="F17" s="2630"/>
      <c r="G17" s="2630"/>
      <c r="H17" s="2630"/>
      <c r="I17" s="2630"/>
      <c r="J17" s="2630"/>
      <c r="K17" s="263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31" t="s">
        <v>2137</v>
      </c>
      <c r="C20" s="2631"/>
      <c r="D20" s="2630"/>
      <c r="E20" s="2630"/>
      <c r="F20" s="2630"/>
      <c r="G20" s="2630"/>
      <c r="H20" s="2630"/>
      <c r="I20" s="2630"/>
      <c r="J20" s="2630"/>
      <c r="K20" s="2630"/>
      <c r="L20" s="1150"/>
    </row>
    <row r="21" spans="2:12" ht="4.5" customHeight="1" x14ac:dyDescent="0.2">
      <c r="B21" s="1168"/>
      <c r="C21" s="1168"/>
      <c r="L21" s="1150"/>
    </row>
    <row r="22" spans="2:12" ht="13.5" customHeight="1" x14ac:dyDescent="0.2">
      <c r="B22" s="1161" t="s">
        <v>1280</v>
      </c>
      <c r="C22" s="1161"/>
      <c r="D22" s="1148"/>
      <c r="E22" s="1148"/>
      <c r="F22" s="1148"/>
      <c r="G22" s="1149"/>
      <c r="H22" s="1148"/>
      <c r="I22" s="1149"/>
      <c r="J22" s="1148"/>
      <c r="K22" s="1148"/>
      <c r="L22" s="1150"/>
    </row>
    <row r="23" spans="2:12" ht="45" customHeight="1" x14ac:dyDescent="0.2">
      <c r="B23" s="2630" t="s">
        <v>2129</v>
      </c>
      <c r="C23" s="2630"/>
      <c r="D23" s="2630"/>
      <c r="E23" s="2630"/>
      <c r="F23" s="2630"/>
      <c r="G23" s="2630"/>
      <c r="H23" s="2630"/>
      <c r="I23" s="2630"/>
      <c r="J23" s="2630"/>
      <c r="K23" s="2630"/>
      <c r="L23" s="1150"/>
    </row>
    <row r="24" spans="2:12" ht="4.5" customHeight="1" x14ac:dyDescent="0.2">
      <c r="B24" s="1166"/>
      <c r="C24" s="1166"/>
      <c r="L24" s="1150"/>
    </row>
    <row r="25" spans="2:12" ht="13.5" customHeight="1" x14ac:dyDescent="0.2">
      <c r="B25" s="1161" t="s">
        <v>1279</v>
      </c>
      <c r="C25" s="1161"/>
      <c r="D25" s="1148"/>
      <c r="E25" s="1148"/>
      <c r="F25" s="1148"/>
      <c r="G25" s="1149"/>
      <c r="H25" s="1148"/>
      <c r="I25" s="1149"/>
      <c r="J25" s="1148"/>
      <c r="K25" s="1148"/>
      <c r="L25" s="1150"/>
    </row>
    <row r="26" spans="2:12" ht="45.75" customHeight="1" x14ac:dyDescent="0.2">
      <c r="B26" s="2630" t="s">
        <v>2138</v>
      </c>
      <c r="C26" s="2630"/>
      <c r="D26" s="2630"/>
      <c r="E26" s="2630"/>
      <c r="F26" s="2630"/>
      <c r="G26" s="2630"/>
      <c r="H26" s="2630"/>
      <c r="I26" s="2630"/>
      <c r="J26" s="2630"/>
      <c r="K26" s="2630"/>
      <c r="L26" s="1150"/>
    </row>
    <row r="27" spans="2:12" ht="4.5" customHeight="1" x14ac:dyDescent="0.2">
      <c r="B27" s="1166"/>
      <c r="C27" s="1166"/>
      <c r="L27" s="1150"/>
    </row>
    <row r="28" spans="2:12" ht="13.5" customHeight="1" x14ac:dyDescent="0.2">
      <c r="B28" s="1169" t="s">
        <v>1278</v>
      </c>
      <c r="C28" s="1169"/>
      <c r="D28" s="1148"/>
      <c r="E28" s="1148"/>
      <c r="F28" s="1148"/>
      <c r="G28" s="1149"/>
      <c r="H28" s="1148"/>
      <c r="I28" s="1149"/>
      <c r="J28" s="1148"/>
      <c r="K28" s="1148"/>
      <c r="L28" s="1150"/>
    </row>
    <row r="29" spans="2:12" ht="45.75" customHeight="1" x14ac:dyDescent="0.2">
      <c r="B29" s="2632" t="s">
        <v>2131</v>
      </c>
      <c r="C29" s="2632"/>
      <c r="D29" s="2630"/>
      <c r="E29" s="2630"/>
      <c r="F29" s="2630"/>
      <c r="G29" s="2630"/>
      <c r="H29" s="2630"/>
      <c r="I29" s="2630"/>
      <c r="J29" s="2630"/>
      <c r="K29" s="263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63" customHeight="1" x14ac:dyDescent="0.2">
      <c r="B32" s="2632" t="s">
        <v>2142</v>
      </c>
      <c r="C32" s="2632"/>
      <c r="D32" s="2630"/>
      <c r="E32" s="2630"/>
      <c r="F32" s="2630"/>
      <c r="G32" s="2630"/>
      <c r="H32" s="2630"/>
      <c r="I32" s="2630"/>
      <c r="J32" s="2630"/>
      <c r="K32" s="263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1723</v>
      </c>
      <c r="C38" s="1175"/>
    </row>
    <row r="39" spans="1:13" ht="9.6" customHeight="1" x14ac:dyDescent="0.2">
      <c r="B39" s="1075" t="s">
        <v>1277</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oddHeader>&amp;LPage 43.2&amp;RPage 43.2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2" zoomScale="110" zoomScaleNormal="110" workbookViewId="0">
      <selection activeCell="B38" sqref="B38:K3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 xml:space="preserve">   El Paso-Gridley CUSD 11</v>
      </c>
      <c r="C1" s="2639"/>
      <c r="D1" s="2639"/>
      <c r="E1" s="2639"/>
      <c r="F1" s="2639"/>
      <c r="G1" s="2639"/>
      <c r="H1" s="2639"/>
      <c r="I1" s="2639"/>
      <c r="J1" s="2639"/>
      <c r="K1" s="2639"/>
      <c r="L1" s="1220"/>
    </row>
    <row r="2" spans="1:12" ht="12.75" customHeight="1" x14ac:dyDescent="0.2">
      <c r="B2" s="2640">
        <f>'Single Audit Cover'!E7</f>
        <v>53102011026</v>
      </c>
      <c r="C2" s="2640"/>
      <c r="D2" s="2640"/>
      <c r="E2" s="2640"/>
      <c r="F2" s="2640"/>
      <c r="G2" s="2640"/>
      <c r="H2" s="2640"/>
      <c r="I2" s="2640"/>
      <c r="J2" s="2640"/>
      <c r="K2" s="2640"/>
      <c r="L2" s="1221"/>
    </row>
    <row r="3" spans="1:12" ht="12.75" customHeight="1" x14ac:dyDescent="0.2">
      <c r="B3" s="2633" t="s">
        <v>1276</v>
      </c>
      <c r="C3" s="2633"/>
      <c r="D3" s="2633"/>
      <c r="E3" s="2633"/>
      <c r="F3" s="2633"/>
      <c r="G3" s="2633"/>
      <c r="H3" s="2633"/>
      <c r="I3" s="2633"/>
      <c r="J3" s="2633"/>
      <c r="K3" s="2633"/>
      <c r="L3" s="1146"/>
    </row>
    <row r="4" spans="1:12" ht="12.75" customHeight="1" x14ac:dyDescent="0.2">
      <c r="B4" s="2633" t="str">
        <f>'Single Audit Cover'!A4</f>
        <v>Year Ending June 30, 2020</v>
      </c>
      <c r="C4" s="2633"/>
      <c r="D4" s="2633"/>
      <c r="E4" s="2633"/>
      <c r="F4" s="2633"/>
      <c r="G4" s="2633"/>
      <c r="H4" s="2633"/>
      <c r="I4" s="2633"/>
      <c r="J4" s="2633"/>
      <c r="K4" s="2633"/>
      <c r="L4" s="1146"/>
    </row>
    <row r="5" spans="1:12" ht="5.25" customHeight="1" x14ac:dyDescent="0.2">
      <c r="B5" s="1036" t="s">
        <v>1161</v>
      </c>
      <c r="C5" s="1036"/>
      <c r="L5" s="300"/>
    </row>
    <row r="6" spans="1:12" ht="30.75" customHeight="1" x14ac:dyDescent="0.2">
      <c r="A6" s="300"/>
      <c r="B6" s="2641" t="s">
        <v>1299</v>
      </c>
      <c r="C6" s="2641"/>
      <c r="D6" s="2641"/>
      <c r="E6" s="2641"/>
      <c r="F6" s="2641"/>
      <c r="G6" s="2641"/>
      <c r="H6" s="2641"/>
      <c r="I6" s="2641"/>
      <c r="J6" s="2641"/>
      <c r="K6" s="2641"/>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8" t="str">
        <f>'AFR20'!$E$2&amp;"-"</f>
        <v>2020-</v>
      </c>
      <c r="D8" s="1222"/>
      <c r="E8" s="300"/>
      <c r="F8" s="1153" t="s">
        <v>1286</v>
      </c>
      <c r="G8" s="1223"/>
      <c r="H8" s="1224" t="s">
        <v>1298</v>
      </c>
      <c r="I8" s="1223"/>
      <c r="J8" s="1225" t="s">
        <v>1297</v>
      </c>
      <c r="L8" s="300"/>
    </row>
    <row r="9" spans="1:12" ht="13.5" customHeight="1" x14ac:dyDescent="0.2">
      <c r="D9" s="300"/>
      <c r="E9" s="300"/>
      <c r="F9" s="300"/>
      <c r="G9" s="1152"/>
      <c r="H9" s="300"/>
      <c r="I9" s="1226" t="s">
        <v>1283</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1296</v>
      </c>
      <c r="C12" s="1153"/>
      <c r="D12" s="282"/>
      <c r="E12" s="300"/>
      <c r="F12" s="2619"/>
      <c r="G12" s="2619"/>
      <c r="H12" s="2619"/>
      <c r="I12" s="2619"/>
      <c r="J12" s="2619"/>
      <c r="K12" s="2619"/>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1295</v>
      </c>
      <c r="C14" s="1155"/>
      <c r="D14" s="2636"/>
      <c r="E14" s="2636"/>
      <c r="F14" s="2636"/>
      <c r="H14" s="1229" t="s">
        <v>1294</v>
      </c>
      <c r="I14" s="2637"/>
      <c r="J14" s="2637"/>
      <c r="K14" s="2637"/>
      <c r="L14" s="300"/>
    </row>
    <row r="15" spans="1:12" ht="9.4" customHeight="1" x14ac:dyDescent="0.2">
      <c r="B15" s="1155"/>
      <c r="C15" s="1155"/>
      <c r="D15" s="1142"/>
      <c r="E15" s="1036"/>
      <c r="F15" s="1036"/>
      <c r="G15" s="1061"/>
      <c r="H15" s="1036"/>
      <c r="I15" s="1230"/>
      <c r="J15" s="1069"/>
      <c r="K15" s="1066"/>
      <c r="L15" s="300"/>
    </row>
    <row r="16" spans="1:12" ht="13.5" customHeight="1" x14ac:dyDescent="0.2">
      <c r="B16" s="1155" t="s">
        <v>1293</v>
      </c>
      <c r="C16" s="1155"/>
      <c r="D16" s="2637"/>
      <c r="E16" s="2637"/>
      <c r="F16" s="2637"/>
      <c r="G16" s="2637"/>
      <c r="H16" s="2637"/>
      <c r="I16" s="2637"/>
      <c r="J16" s="2637"/>
      <c r="K16" s="2637"/>
      <c r="L16" s="300"/>
    </row>
    <row r="17" spans="2:12" ht="13.5" customHeight="1" x14ac:dyDescent="0.2">
      <c r="B17" s="1155" t="s">
        <v>1292</v>
      </c>
      <c r="C17" s="1155"/>
      <c r="D17" s="2638"/>
      <c r="E17" s="2638"/>
      <c r="F17" s="2638"/>
      <c r="G17" s="2638"/>
      <c r="H17" s="2638"/>
      <c r="I17" s="2638"/>
      <c r="J17" s="2638"/>
      <c r="K17" s="263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1291</v>
      </c>
      <c r="C19" s="1231"/>
      <c r="D19" s="306"/>
      <c r="E19" s="306"/>
      <c r="F19" s="306"/>
      <c r="G19" s="1232"/>
      <c r="H19" s="306"/>
      <c r="I19" s="1232"/>
      <c r="J19" s="300"/>
      <c r="K19" s="300"/>
      <c r="L19" s="300"/>
    </row>
    <row r="20" spans="2:12" ht="35.25" customHeight="1" x14ac:dyDescent="0.2">
      <c r="B20" s="2630"/>
      <c r="C20" s="2630"/>
      <c r="D20" s="2630"/>
      <c r="E20" s="2630"/>
      <c r="F20" s="2630"/>
      <c r="G20" s="2630"/>
      <c r="H20" s="2630"/>
      <c r="I20" s="2630"/>
      <c r="J20" s="2630"/>
      <c r="K20" s="263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1290</v>
      </c>
      <c r="C31" s="1231"/>
      <c r="D31" s="300"/>
      <c r="E31" s="300"/>
      <c r="F31" s="300"/>
      <c r="G31" s="1152"/>
      <c r="H31" s="300"/>
      <c r="I31" s="1152"/>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1289</v>
      </c>
      <c r="C34" s="1153"/>
      <c r="D34" s="300"/>
      <c r="E34" s="300"/>
      <c r="F34" s="300"/>
      <c r="G34" s="1152"/>
      <c r="H34" s="300"/>
      <c r="I34" s="1152"/>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1288</v>
      </c>
      <c r="C37" s="1153"/>
      <c r="D37" s="300"/>
      <c r="E37" s="300"/>
      <c r="F37" s="300"/>
      <c r="G37" s="1152"/>
      <c r="H37" s="300"/>
      <c r="I37" s="1152"/>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29:K29"/>
    <mergeCell ref="B32:K32"/>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23" t="str">
        <f>'Single Audit Cover'!A7</f>
        <v xml:space="preserve">   El Paso-Gridley CUSD 11</v>
      </c>
      <c r="C1" s="2623"/>
      <c r="D1" s="2623"/>
      <c r="E1" s="1239"/>
    </row>
    <row r="2" spans="2:5" s="1057" customFormat="1" ht="12.75" customHeight="1" x14ac:dyDescent="0.2">
      <c r="B2" s="2625">
        <f>'Single Audit Cover'!E7</f>
        <v>53102011026</v>
      </c>
      <c r="C2" s="2625"/>
      <c r="D2" s="2625"/>
      <c r="E2" s="1240"/>
    </row>
    <row r="3" spans="2:5" ht="12.75" customHeight="1" x14ac:dyDescent="0.2">
      <c r="B3" s="2633" t="s">
        <v>1743</v>
      </c>
      <c r="C3" s="2633"/>
      <c r="D3" s="2633"/>
      <c r="E3" s="2057"/>
    </row>
    <row r="4" spans="2:5" s="1057" customFormat="1" ht="12.75" customHeight="1" x14ac:dyDescent="0.2">
      <c r="B4" s="2642" t="str">
        <f>'Single Audit Cover'!A4</f>
        <v>Year Ending June 30, 2020</v>
      </c>
      <c r="C4" s="2642"/>
      <c r="D4" s="2642"/>
      <c r="E4" s="1241"/>
    </row>
    <row r="5" spans="2:5" s="1057" customFormat="1" ht="40.15" customHeight="1" x14ac:dyDescent="0.2">
      <c r="B5" s="1242"/>
      <c r="C5" s="306"/>
      <c r="D5" s="306"/>
      <c r="E5" s="306"/>
    </row>
    <row r="6" spans="2:5" s="1057" customFormat="1" ht="13.5" customHeight="1" x14ac:dyDescent="0.2">
      <c r="B6" s="1243" t="s">
        <v>1306</v>
      </c>
      <c r="C6" s="1243" t="s">
        <v>1305</v>
      </c>
      <c r="D6" s="1243" t="s">
        <v>1744</v>
      </c>
    </row>
    <row r="7" spans="2:5" ht="108" customHeight="1" x14ac:dyDescent="0.2">
      <c r="B7" s="2059" t="s">
        <v>2139</v>
      </c>
      <c r="C7" s="2058" t="s">
        <v>2136</v>
      </c>
      <c r="D7" s="2058" t="s">
        <v>2143</v>
      </c>
      <c r="E7" s="302"/>
    </row>
    <row r="8" spans="2:5" ht="93" customHeight="1" x14ac:dyDescent="0.2">
      <c r="B8" s="1244"/>
      <c r="C8" s="301"/>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1252"/>
      <c r="D42" s="301"/>
      <c r="E42" s="301"/>
    </row>
    <row r="43" spans="2:5" ht="12.75" customHeight="1" x14ac:dyDescent="0.2">
      <c r="B43" s="1251"/>
      <c r="C43" s="300"/>
      <c r="D43" s="1252"/>
      <c r="E43" s="301"/>
    </row>
    <row r="44" spans="2:5" ht="12.2" customHeight="1" x14ac:dyDescent="0.2">
      <c r="B44" s="1033" t="s">
        <v>1304</v>
      </c>
    </row>
    <row r="45" spans="2:5" ht="12.2" customHeight="1" x14ac:dyDescent="0.2">
      <c r="B45" s="1253" t="s">
        <v>1745</v>
      </c>
    </row>
    <row r="46" spans="2:5" ht="12.2" customHeight="1" x14ac:dyDescent="0.2">
      <c r="B46" s="1253" t="s">
        <v>1746</v>
      </c>
    </row>
    <row r="47" spans="2:5" ht="12.2" customHeight="1" x14ac:dyDescent="0.2">
      <c r="B47" s="1254" t="s">
        <v>1303</v>
      </c>
    </row>
    <row r="48" spans="2:5" ht="12.2" customHeight="1" x14ac:dyDescent="0.2">
      <c r="B48" s="1254" t="s">
        <v>1302</v>
      </c>
    </row>
    <row r="49" spans="2:5" ht="12.2" customHeight="1" x14ac:dyDescent="0.2">
      <c r="B49" s="1254" t="s">
        <v>1301</v>
      </c>
    </row>
    <row r="50" spans="2:5" ht="12.2" customHeight="1" x14ac:dyDescent="0.2">
      <c r="B50" s="1254" t="s">
        <v>1300</v>
      </c>
    </row>
    <row r="53" spans="2:5" ht="12.75" customHeight="1" x14ac:dyDescent="0.2"/>
    <row r="54" spans="2:5" ht="12.75" customHeight="1" x14ac:dyDescent="0.2">
      <c r="B54" s="1043"/>
    </row>
    <row r="55" spans="2:5" ht="12.75" customHeight="1" x14ac:dyDescent="0.2">
      <c r="C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7" right="0.7" top="0.75" bottom="0.75" header="0.3" footer="0.3"/>
  <pageSetup scale="81" orientation="portrait" r:id="rId1"/>
  <headerFooter>
    <oddHeader xml:space="preserve">&amp;LPage 45&amp;RPage 45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8" colorId="8" zoomScale="110" zoomScaleNormal="110" workbookViewId="0">
      <selection activeCell="B34" sqref="B34"/>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383</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178620337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3.4000000000000002E-2</v>
      </c>
      <c r="E10" s="333" t="s">
        <v>998</v>
      </c>
      <c r="F10" s="332">
        <v>5.4993000000000004E-3</v>
      </c>
      <c r="G10" s="333" t="s">
        <v>998</v>
      </c>
      <c r="H10" s="332">
        <v>1.9997000000000001E-3</v>
      </c>
      <c r="I10" s="333" t="s">
        <v>999</v>
      </c>
      <c r="J10" s="1423">
        <f>ROUND(D10+F10+H10,5)</f>
        <v>4.1500000000000002E-2</v>
      </c>
      <c r="K10" s="217"/>
      <c r="L10" s="332">
        <v>4.9989999999999995E-4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12331045</v>
      </c>
      <c r="E16" s="1546"/>
      <c r="F16" s="1545">
        <f>SUM('Acct Summary 7-8'!C17,'Acct Summary 7-8'!D17,'Acct Summary 7-8'!F17)</f>
        <v>12341087</v>
      </c>
      <c r="G16" s="1546"/>
      <c r="H16" s="1545">
        <f>SUM(D16-F16)</f>
        <v>-10042</v>
      </c>
      <c r="I16" s="1547"/>
      <c r="J16" s="1545">
        <f>SUM('Acct Summary 7-8'!C81,'Acct Summary 7-8'!D81,'Acct Summary 7-8'!F81,'Acct Summary 7-8'!I81)</f>
        <v>3446187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24649606.506000001</v>
      </c>
      <c r="I31" s="345"/>
      <c r="J31" s="217"/>
      <c r="K31" s="217"/>
      <c r="L31" s="217"/>
      <c r="M31" s="217"/>
    </row>
    <row r="32" spans="1:13" ht="13.35" customHeight="1" x14ac:dyDescent="0.2">
      <c r="B32" s="346" t="s">
        <v>2026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2880000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D13"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552</v>
      </c>
      <c r="B2" s="2226"/>
      <c r="C2" s="2226"/>
      <c r="D2" s="2226"/>
      <c r="E2" s="2226"/>
      <c r="F2" s="2226"/>
      <c r="G2" s="2226"/>
      <c r="H2" s="2226"/>
      <c r="I2" s="2226"/>
      <c r="J2" s="2226"/>
      <c r="K2" s="2226"/>
      <c r="L2" s="2226"/>
      <c r="M2" s="2226"/>
      <c r="N2" s="2226"/>
      <c r="O2" s="2226"/>
      <c r="P2" s="2226"/>
      <c r="Q2" s="2226"/>
      <c r="R2" s="2226"/>
    </row>
    <row r="3" spans="1:18" ht="12.75" x14ac:dyDescent="0.2">
      <c r="A3" s="2227" t="s">
        <v>1399</v>
      </c>
      <c r="B3" s="2227"/>
      <c r="C3" s="2227"/>
      <c r="D3" s="2227"/>
      <c r="E3" s="2227"/>
      <c r="F3" s="2227"/>
      <c r="G3" s="2227"/>
      <c r="H3" s="2227"/>
      <c r="I3" s="2227"/>
      <c r="J3" s="2227"/>
      <c r="K3" s="2227"/>
      <c r="L3" s="2227"/>
      <c r="M3" s="2227"/>
      <c r="N3" s="2227"/>
      <c r="O3" s="2227"/>
      <c r="P3" s="2227"/>
      <c r="Q3" s="2227"/>
      <c r="R3" s="2227"/>
    </row>
    <row r="4" spans="1:18" x14ac:dyDescent="0.2">
      <c r="A4" s="2228" t="s">
        <v>1540</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El Paso-Gridley CUSD 11</v>
      </c>
      <c r="E7" s="368"/>
      <c r="G7" s="247"/>
      <c r="H7" s="364"/>
      <c r="I7" s="364"/>
      <c r="J7" s="364"/>
      <c r="K7" s="364"/>
      <c r="L7" s="307"/>
      <c r="M7" s="307"/>
      <c r="N7" s="307"/>
      <c r="O7" s="307"/>
      <c r="P7" s="307"/>
    </row>
    <row r="8" spans="1:18" ht="12.75" x14ac:dyDescent="0.2">
      <c r="A8" s="307"/>
      <c r="B8" s="307"/>
      <c r="C8" s="366" t="s">
        <v>1117</v>
      </c>
      <c r="D8" s="369">
        <f>COVER!A13</f>
        <v>53102011026</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3446187</v>
      </c>
      <c r="I12" s="380"/>
      <c r="J12" s="380"/>
      <c r="K12" s="1558">
        <f>TRUNC((H12/H13*100000),5)/100000</f>
        <v>0.27947242099999997</v>
      </c>
      <c r="L12" s="381"/>
      <c r="M12" s="337" t="s">
        <v>1136</v>
      </c>
      <c r="N12" s="337"/>
      <c r="O12" s="1561">
        <v>0.35</v>
      </c>
      <c r="P12" s="213"/>
      <c r="Q12" s="213"/>
    </row>
    <row r="13" spans="1:18" s="382" customFormat="1" ht="12.75" x14ac:dyDescent="0.2">
      <c r="A13" s="213"/>
      <c r="B13" s="377"/>
      <c r="C13" s="2224" t="s">
        <v>1315</v>
      </c>
      <c r="D13" s="2225"/>
      <c r="E13" s="213"/>
      <c r="F13" s="383" t="s">
        <v>788</v>
      </c>
      <c r="G13" s="378"/>
      <c r="H13" s="1550">
        <f>SUM('Acct Summary 7-8'!C8+'Acct Summary 7-8'!D8+'Acct Summary 7-8'!F8+'Acct Summary 7-8'!I8)+H14</f>
        <v>12331045</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12341087</v>
      </c>
      <c r="I17" s="380"/>
      <c r="J17" s="389"/>
      <c r="K17" s="1558">
        <f>TRUNC((H17/H18*100000),5)/100000</f>
        <v>1.0008143673000001</v>
      </c>
      <c r="L17" s="381"/>
      <c r="M17" s="390" t="s">
        <v>1163</v>
      </c>
      <c r="O17" s="1564" t="str">
        <f>IF(AND(O16="2", J20 &gt; 2),"1",IF(AND(O16 = "1", J20 &gt; 2),"2",IF(AND(O16="1", J20 &gt;1),"1","0")))</f>
        <v>0</v>
      </c>
      <c r="P17" s="213"/>
    </row>
    <row r="18" spans="1:18" s="382" customFormat="1" ht="11.25" x14ac:dyDescent="0.2">
      <c r="A18" s="213"/>
      <c r="B18" s="377"/>
      <c r="C18" s="2224" t="s">
        <v>1308</v>
      </c>
      <c r="D18" s="2225"/>
      <c r="E18" s="213"/>
      <c r="F18" s="391" t="s">
        <v>789</v>
      </c>
      <c r="G18" s="378"/>
      <c r="H18" s="1550">
        <f>SUM('Acct Summary 7-8'!C8+'Acct Summary 7-8'!D8+'Acct Summary 7-8'!F8+'Acct Summary 7-8'!I8)+H19</f>
        <v>12331045</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f>IF(K17&lt;=1,"0",TRUNC(((K12-0.1)/(K17-1)*100),5)/100)</f>
        <v>220.38264670000001</v>
      </c>
      <c r="K20" s="1558" t="str">
        <f>IF(K17&lt;=1,"0",IF(AND(O16="2", J20 &gt; 2),TRUNC(((K12-0.1)/(K17-1)*100),5)/100,IF(AND(O16 = "1", J20 &gt; 2),TRUNC(((K12-0.1)/(K17-1)*100),5)/100,IF(AND(O16="1", J20 &gt;1),TRUNC(((K12-0.1)/(K17-1)*100),5)/100,""))))</f>
        <v/>
      </c>
      <c r="L20" s="213"/>
      <c r="M20" s="337" t="s">
        <v>1137</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3</v>
      </c>
      <c r="P23" s="211"/>
      <c r="R23" s="361"/>
    </row>
    <row r="24" spans="1:18" s="382" customFormat="1" ht="11.25" x14ac:dyDescent="0.2">
      <c r="A24" s="213"/>
      <c r="B24" s="377"/>
      <c r="C24" s="2221" t="s">
        <v>1398</v>
      </c>
      <c r="D24" s="2221"/>
      <c r="E24" s="213"/>
      <c r="F24" s="213" t="s">
        <v>442</v>
      </c>
      <c r="G24" s="378"/>
      <c r="H24" s="1550">
        <f>SUM('Assets-Liab 5-6'!C4+'Assets-Liab 5-6'!D4+'Assets-Liab 5-6'!F4+'Assets-Liab 5-6'!I4+'Assets-Liab 5-6'!C5+'Assets-Liab 5-6'!D5+'Assets-Liab 5-6'!F5+'Assets-Liab 5-6'!I5)</f>
        <v>3606284</v>
      </c>
      <c r="I24" s="394"/>
      <c r="J24" s="394"/>
      <c r="K24" s="1554">
        <f>TRUNC(((H24/H25*100000)/100000),2)</f>
        <v>105.19</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34280.79722</v>
      </c>
      <c r="I25" s="396"/>
      <c r="J25" s="396"/>
      <c r="K25" s="1557"/>
      <c r="L25" s="213"/>
      <c r="M25" s="337" t="s">
        <v>1137</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1892</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6300832.3876799997</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2880000</v>
      </c>
      <c r="I32" s="392"/>
      <c r="J32" s="392"/>
      <c r="K32" s="1554">
        <f>TRUNC(100-((((H32/H33*100))*100)/100),2)</f>
        <v>88.31</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24649606.506000001</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3.55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3" activePane="bottomLeft" state="frozen"/>
      <selection pane="bottomLeft" activeCell="C28" sqref="C28"/>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1" t="s">
        <v>967</v>
      </c>
      <c r="B3" s="2232"/>
      <c r="C3" s="1305"/>
      <c r="D3" s="1306"/>
      <c r="E3" s="1306"/>
      <c r="F3" s="1306"/>
      <c r="G3" s="1306"/>
      <c r="H3" s="1306"/>
      <c r="I3" s="1306"/>
      <c r="J3" s="1306"/>
      <c r="K3" s="1306"/>
      <c r="L3" s="1306"/>
      <c r="M3" s="1307"/>
      <c r="N3" s="1308"/>
    </row>
    <row r="4" spans="1:14" ht="13.5" customHeight="1" x14ac:dyDescent="0.2">
      <c r="A4" s="427" t="s">
        <v>1635</v>
      </c>
      <c r="B4" s="428"/>
      <c r="C4" s="1571">
        <f>200+20000+15188071-15833337-79606+562100+142572</f>
        <v>0</v>
      </c>
      <c r="D4" s="1572">
        <f>32527+4675</f>
        <v>37202</v>
      </c>
      <c r="E4" s="1572">
        <f>201930+26710</f>
        <v>228640</v>
      </c>
      <c r="F4" s="1572">
        <f>29178+9980+19258</f>
        <v>58416</v>
      </c>
      <c r="G4" s="1572">
        <f>44405-57194+2128+10661</f>
        <v>0</v>
      </c>
      <c r="H4" s="1572">
        <f>381318-46127</f>
        <v>335191</v>
      </c>
      <c r="I4" s="1572">
        <f>50536+414</f>
        <v>50950</v>
      </c>
      <c r="J4" s="1573">
        <f>18669+3074+1</f>
        <v>21744</v>
      </c>
      <c r="K4" s="1572">
        <f>45191+414</f>
        <v>45605</v>
      </c>
      <c r="L4" s="1572">
        <v>232940</v>
      </c>
      <c r="M4" s="1574"/>
      <c r="N4" s="1575"/>
    </row>
    <row r="5" spans="1:14" x14ac:dyDescent="0.2">
      <c r="A5" s="427" t="s">
        <v>985</v>
      </c>
      <c r="B5" s="429">
        <v>120</v>
      </c>
      <c r="C5" s="1571">
        <f>559472+261419+3269</f>
        <v>824160</v>
      </c>
      <c r="D5" s="1572">
        <v>1033931</v>
      </c>
      <c r="E5" s="1572">
        <v>118840</v>
      </c>
      <c r="F5" s="1572">
        <v>297667</v>
      </c>
      <c r="G5" s="1572">
        <v>717964</v>
      </c>
      <c r="H5" s="1572">
        <v>240000</v>
      </c>
      <c r="I5" s="1572">
        <v>1303958</v>
      </c>
      <c r="J5" s="1573">
        <v>140224</v>
      </c>
      <c r="K5" s="1576">
        <v>305654</v>
      </c>
      <c r="L5" s="1577">
        <v>39250</v>
      </c>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824160</v>
      </c>
      <c r="D13" s="1586">
        <f t="shared" ref="D13:L13" si="0">SUM(D4:D12)</f>
        <v>1071133</v>
      </c>
      <c r="E13" s="1586">
        <f t="shared" si="0"/>
        <v>347480</v>
      </c>
      <c r="F13" s="1586">
        <f t="shared" si="0"/>
        <v>356083</v>
      </c>
      <c r="G13" s="1586">
        <f t="shared" si="0"/>
        <v>717964</v>
      </c>
      <c r="H13" s="1586">
        <f t="shared" si="0"/>
        <v>575191</v>
      </c>
      <c r="I13" s="1586">
        <f t="shared" si="0"/>
        <v>1354908</v>
      </c>
      <c r="J13" s="1586">
        <f t="shared" si="0"/>
        <v>161968</v>
      </c>
      <c r="K13" s="1586">
        <f t="shared" si="0"/>
        <v>351259</v>
      </c>
      <c r="L13" s="1586">
        <f t="shared" si="0"/>
        <v>272190</v>
      </c>
      <c r="M13" s="1574"/>
      <c r="N13" s="1575"/>
    </row>
    <row r="14" spans="1:14" ht="18" customHeight="1" thickTop="1" x14ac:dyDescent="0.2">
      <c r="A14" s="2233" t="s">
        <v>146</v>
      </c>
      <c r="B14" s="2234"/>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c r="N16" s="1591"/>
    </row>
    <row r="17" spans="1:14" s="433" customFormat="1" ht="12.75" customHeight="1" x14ac:dyDescent="0.2">
      <c r="A17" s="431" t="s">
        <v>1389</v>
      </c>
      <c r="B17" s="432">
        <v>230</v>
      </c>
      <c r="C17" s="1581"/>
      <c r="D17" s="1581"/>
      <c r="E17" s="1581"/>
      <c r="F17" s="1581"/>
      <c r="G17" s="1581"/>
      <c r="H17" s="1581"/>
      <c r="I17" s="1581"/>
      <c r="J17" s="1581"/>
      <c r="K17" s="1581"/>
      <c r="L17" s="1581"/>
      <c r="M17" s="1770">
        <v>26017911</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1326597</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6915308</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347481</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2532519</v>
      </c>
    </row>
    <row r="23" spans="1:14" ht="13.5" customHeight="1" thickBot="1" x14ac:dyDescent="0.25">
      <c r="A23" s="1425" t="s">
        <v>638</v>
      </c>
      <c r="B23" s="1428"/>
      <c r="C23" s="1574"/>
      <c r="D23" s="1574"/>
      <c r="E23" s="1574"/>
      <c r="F23" s="1574"/>
      <c r="G23" s="1574"/>
      <c r="H23" s="1574"/>
      <c r="I23" s="1574"/>
      <c r="J23" s="1574"/>
      <c r="K23" s="1574"/>
      <c r="L23" s="1574"/>
      <c r="M23" s="1593">
        <f>SUM(M15:M22)</f>
        <v>34259816</v>
      </c>
      <c r="N23" s="1593">
        <f>SUM(N21:N22)</f>
        <v>2880000</v>
      </c>
    </row>
    <row r="24" spans="1:14" ht="18" customHeight="1" thickTop="1" x14ac:dyDescent="0.2">
      <c r="A24" s="2235" t="s">
        <v>594</v>
      </c>
      <c r="B24" s="2236"/>
      <c r="C24" s="1594"/>
      <c r="D24" s="1589"/>
      <c r="E24" s="1589"/>
      <c r="F24" s="1589"/>
      <c r="G24" s="1589"/>
      <c r="H24" s="1589"/>
      <c r="I24" s="1589"/>
      <c r="J24" s="1589"/>
      <c r="K24" s="1589"/>
      <c r="L24" s="1589"/>
      <c r="M24" s="1588"/>
      <c r="N24" s="1595"/>
    </row>
    <row r="25" spans="1:14" x14ac:dyDescent="0.2">
      <c r="A25" s="430" t="s">
        <v>640</v>
      </c>
      <c r="B25" s="429">
        <v>410</v>
      </c>
      <c r="C25" s="1582">
        <f>142572+1268+19258</f>
        <v>163098</v>
      </c>
      <c r="D25" s="1582"/>
      <c r="E25" s="1582"/>
      <c r="F25" s="1582"/>
      <c r="G25" s="1582">
        <v>10662</v>
      </c>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f>-661+311-4</f>
        <v>-354</v>
      </c>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f>900-73-24+31+309+16-3149-268-139</f>
        <v>-2397</v>
      </c>
      <c r="D31" s="1573">
        <v>-134</v>
      </c>
      <c r="E31" s="1573"/>
      <c r="F31" s="1572">
        <v>-116</v>
      </c>
      <c r="G31" s="1573">
        <f>289-74</f>
        <v>215</v>
      </c>
      <c r="H31" s="1573"/>
      <c r="I31" s="1573"/>
      <c r="J31" s="1573"/>
      <c r="K31" s="1573">
        <v>377</v>
      </c>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272190</v>
      </c>
      <c r="M33" s="1574"/>
      <c r="N33" s="1575"/>
    </row>
    <row r="34" spans="1:14" ht="13.5" customHeight="1" thickBot="1" x14ac:dyDescent="0.25">
      <c r="A34" s="1426" t="s">
        <v>649</v>
      </c>
      <c r="B34" s="1427"/>
      <c r="C34" s="1599">
        <f>SUM(C25:C33)</f>
        <v>160347</v>
      </c>
      <c r="D34" s="1599">
        <f t="shared" ref="D34:K34" si="1">SUM(D25:D33)</f>
        <v>-134</v>
      </c>
      <c r="E34" s="1599">
        <f t="shared" si="1"/>
        <v>0</v>
      </c>
      <c r="F34" s="1599">
        <f t="shared" si="1"/>
        <v>-116</v>
      </c>
      <c r="G34" s="1599">
        <f t="shared" si="1"/>
        <v>10877</v>
      </c>
      <c r="H34" s="1599">
        <f t="shared" si="1"/>
        <v>0</v>
      </c>
      <c r="I34" s="1599">
        <f t="shared" si="1"/>
        <v>0</v>
      </c>
      <c r="J34" s="1599">
        <f t="shared" si="1"/>
        <v>0</v>
      </c>
      <c r="K34" s="1599">
        <f t="shared" si="1"/>
        <v>377</v>
      </c>
      <c r="L34" s="1600">
        <f>SUM(L33)</f>
        <v>272190</v>
      </c>
      <c r="M34" s="1574"/>
      <c r="N34" s="1584"/>
    </row>
    <row r="35" spans="1:14" ht="18" customHeight="1" thickTop="1" x14ac:dyDescent="0.2">
      <c r="A35" s="2237" t="s">
        <v>526</v>
      </c>
      <c r="B35" s="2238"/>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2880000</v>
      </c>
    </row>
    <row r="37" spans="1:14" ht="13.5" thickBot="1" x14ac:dyDescent="0.25">
      <c r="A37" s="1425" t="s">
        <v>648</v>
      </c>
      <c r="B37" s="1428"/>
      <c r="C37" s="1581"/>
      <c r="D37" s="1581"/>
      <c r="E37" s="1581"/>
      <c r="F37" s="1581"/>
      <c r="G37" s="1581"/>
      <c r="H37" s="1581"/>
      <c r="I37" s="1581"/>
      <c r="J37" s="1581"/>
      <c r="K37" s="1581"/>
      <c r="L37" s="1584"/>
      <c r="M37" s="1574"/>
      <c r="N37" s="1593">
        <f>SUM(N36:N36)</f>
        <v>2880000</v>
      </c>
    </row>
    <row r="38" spans="1:14" s="307" customFormat="1" ht="13.5" customHeight="1" thickTop="1" x14ac:dyDescent="0.2">
      <c r="A38" s="438" t="s">
        <v>417</v>
      </c>
      <c r="B38" s="432">
        <v>714</v>
      </c>
      <c r="C38" s="1572"/>
      <c r="D38" s="1572"/>
      <c r="E38" s="1572"/>
      <c r="F38" s="1572"/>
      <c r="G38" s="1572"/>
      <c r="H38" s="1572"/>
      <c r="I38" s="1572"/>
      <c r="J38" s="1573"/>
      <c r="K38" s="1572"/>
      <c r="L38" s="1585"/>
      <c r="M38" s="1603"/>
      <c r="N38" s="1603"/>
    </row>
    <row r="39" spans="1:14" s="307" customFormat="1" ht="13.5" customHeight="1" x14ac:dyDescent="0.2">
      <c r="A39" s="438" t="s">
        <v>339</v>
      </c>
      <c r="B39" s="432">
        <v>730</v>
      </c>
      <c r="C39" s="1572">
        <v>663813</v>
      </c>
      <c r="D39" s="1572">
        <f>1066592+4675</f>
        <v>1071267</v>
      </c>
      <c r="E39" s="1572">
        <f>320770+26710</f>
        <v>347480</v>
      </c>
      <c r="F39" s="1572">
        <v>356199</v>
      </c>
      <c r="G39" s="1572">
        <f>762079-57120+2128</f>
        <v>707087</v>
      </c>
      <c r="H39" s="1572">
        <f>621318-46127</f>
        <v>575191</v>
      </c>
      <c r="I39" s="1572">
        <f>1354494+414</f>
        <v>1354908</v>
      </c>
      <c r="J39" s="1573">
        <f>158894+3074</f>
        <v>161968</v>
      </c>
      <c r="K39" s="1572">
        <f>350468+414</f>
        <v>350882</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34259816</v>
      </c>
      <c r="N40" s="1603"/>
    </row>
    <row r="41" spans="1:14" ht="13.5" customHeight="1" thickBot="1" x14ac:dyDescent="0.25">
      <c r="A41" s="1425" t="s">
        <v>650</v>
      </c>
      <c r="B41" s="1404"/>
      <c r="C41" s="1593">
        <f>(SUM(C34,C37,C38,C39))</f>
        <v>824160</v>
      </c>
      <c r="D41" s="1593">
        <f t="shared" ref="D41:L41" si="2">SUM(D34,D37,D38:D39)</f>
        <v>1071133</v>
      </c>
      <c r="E41" s="1593">
        <f t="shared" si="2"/>
        <v>347480</v>
      </c>
      <c r="F41" s="1593">
        <f t="shared" si="2"/>
        <v>356083</v>
      </c>
      <c r="G41" s="1593">
        <f t="shared" si="2"/>
        <v>717964</v>
      </c>
      <c r="H41" s="1593">
        <f t="shared" si="2"/>
        <v>575191</v>
      </c>
      <c r="I41" s="1593">
        <f t="shared" si="2"/>
        <v>1354908</v>
      </c>
      <c r="J41" s="1593">
        <f t="shared" si="2"/>
        <v>161968</v>
      </c>
      <c r="K41" s="1593">
        <f t="shared" si="2"/>
        <v>351259</v>
      </c>
      <c r="L41" s="1593">
        <f t="shared" si="2"/>
        <v>272190</v>
      </c>
      <c r="M41" s="1593">
        <f>SUM(M40)</f>
        <v>34259816</v>
      </c>
      <c r="N41" s="1593">
        <f>SUM(N37)</f>
        <v>2880000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8"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1167</v>
      </c>
      <c r="B3" s="2240"/>
      <c r="C3" s="1310"/>
      <c r="D3" s="1311"/>
      <c r="E3" s="1311"/>
      <c r="F3" s="1311"/>
      <c r="G3" s="1311"/>
      <c r="H3" s="1311"/>
      <c r="I3" s="1311"/>
      <c r="J3" s="1311"/>
      <c r="K3" s="1312"/>
      <c r="L3" s="446"/>
    </row>
    <row r="4" spans="1:13" ht="15.75" customHeight="1" x14ac:dyDescent="0.2">
      <c r="A4" s="1536" t="s">
        <v>1485</v>
      </c>
      <c r="B4" s="1537">
        <v>1000</v>
      </c>
      <c r="C4" s="1605">
        <f>'Revenues 9-14'!C109</f>
        <v>6830681</v>
      </c>
      <c r="D4" s="1605">
        <f>'Revenues 9-14'!D109</f>
        <v>922682</v>
      </c>
      <c r="E4" s="1605">
        <f>'Revenues 9-14'!E109</f>
        <v>1005602</v>
      </c>
      <c r="F4" s="1605">
        <f>'Revenues 9-14'!F109</f>
        <v>336355</v>
      </c>
      <c r="G4" s="1605">
        <f>'Revenues 9-14'!G109</f>
        <v>429421</v>
      </c>
      <c r="H4" s="1605">
        <f>'Revenues 9-14'!H109</f>
        <v>298591</v>
      </c>
      <c r="I4" s="1605">
        <f>'Revenues 9-14'!I109</f>
        <v>83836</v>
      </c>
      <c r="J4" s="1605">
        <f>'Revenues 9-14'!J109</f>
        <v>625787</v>
      </c>
      <c r="K4" s="1605">
        <f>'Revenues 9-14'!K109</f>
        <v>83836</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3028027</v>
      </c>
      <c r="D6" s="1606">
        <f>'Revenues 9-14'!D170</f>
        <v>0</v>
      </c>
      <c r="E6" s="1606">
        <f>'Revenues 9-14'!E170</f>
        <v>0</v>
      </c>
      <c r="F6" s="1606">
        <f>'Revenues 9-14'!F170</f>
        <v>246653</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882811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10741519</v>
      </c>
      <c r="D8" s="1593">
        <f t="shared" ref="D8:K8" si="0">SUM(D4:D7)</f>
        <v>922682</v>
      </c>
      <c r="E8" s="1593">
        <f t="shared" si="0"/>
        <v>1005602</v>
      </c>
      <c r="F8" s="1593">
        <f t="shared" si="0"/>
        <v>583008</v>
      </c>
      <c r="G8" s="1593">
        <f t="shared" si="0"/>
        <v>429421</v>
      </c>
      <c r="H8" s="1593">
        <f t="shared" si="0"/>
        <v>298591</v>
      </c>
      <c r="I8" s="1593">
        <f t="shared" si="0"/>
        <v>83836</v>
      </c>
      <c r="J8" s="1593">
        <f t="shared" si="0"/>
        <v>625787</v>
      </c>
      <c r="K8" s="1593">
        <f t="shared" si="0"/>
        <v>83836</v>
      </c>
      <c r="L8" s="325"/>
    </row>
    <row r="9" spans="1:13" ht="15.75" thickTop="1" x14ac:dyDescent="0.2">
      <c r="A9" s="449" t="s">
        <v>1637</v>
      </c>
      <c r="B9" s="450">
        <v>3998</v>
      </c>
      <c r="C9" s="1585">
        <f>5216343+81548</f>
        <v>5297891</v>
      </c>
      <c r="D9" s="1612"/>
      <c r="E9" s="1585"/>
      <c r="F9" s="1585"/>
      <c r="G9" s="1613"/>
      <c r="H9" s="1585"/>
      <c r="I9" s="1608" t="s">
        <v>1161</v>
      </c>
      <c r="J9" s="1582"/>
      <c r="K9" s="1585"/>
      <c r="L9" s="325"/>
    </row>
    <row r="10" spans="1:13" s="452" customFormat="1" ht="13.5" thickBot="1" x14ac:dyDescent="0.25">
      <c r="A10" s="1425" t="s">
        <v>1165</v>
      </c>
      <c r="B10" s="1406"/>
      <c r="C10" s="1593">
        <f>SUM(C8:C9)</f>
        <v>16039410</v>
      </c>
      <c r="D10" s="1593">
        <f t="shared" ref="D10:K10" si="1">SUM(D8:D9)</f>
        <v>922682</v>
      </c>
      <c r="E10" s="1593">
        <f t="shared" si="1"/>
        <v>1005602</v>
      </c>
      <c r="F10" s="1593">
        <f t="shared" si="1"/>
        <v>583008</v>
      </c>
      <c r="G10" s="1593">
        <f t="shared" si="1"/>
        <v>429421</v>
      </c>
      <c r="H10" s="1593">
        <f t="shared" si="1"/>
        <v>298591</v>
      </c>
      <c r="I10" s="1593">
        <f t="shared" si="1"/>
        <v>83836</v>
      </c>
      <c r="J10" s="1593">
        <f t="shared" si="1"/>
        <v>625787</v>
      </c>
      <c r="K10" s="1593">
        <f t="shared" si="1"/>
        <v>83836</v>
      </c>
      <c r="L10" s="451"/>
    </row>
    <row r="11" spans="1:13" s="452" customFormat="1" ht="16.7" customHeight="1" thickTop="1" x14ac:dyDescent="0.2">
      <c r="A11" s="2233" t="s">
        <v>1168</v>
      </c>
      <c r="B11" s="2234"/>
      <c r="C11" s="1601"/>
      <c r="D11" s="1602"/>
      <c r="E11" s="1602"/>
      <c r="F11" s="1602"/>
      <c r="G11" s="1602"/>
      <c r="H11" s="1602"/>
      <c r="I11" s="1602"/>
      <c r="J11" s="1602"/>
      <c r="K11" s="1614"/>
      <c r="L11" s="451"/>
    </row>
    <row r="12" spans="1:13" ht="15.75" customHeight="1" x14ac:dyDescent="0.2">
      <c r="A12" s="1313" t="s">
        <v>453</v>
      </c>
      <c r="B12" s="1315">
        <v>1000</v>
      </c>
      <c r="C12" s="1605">
        <f>'Expenditures 15-22'!K33</f>
        <v>7647421</v>
      </c>
      <c r="D12" s="1615" t="s">
        <v>1161</v>
      </c>
      <c r="E12" s="1574" t="s">
        <v>1161</v>
      </c>
      <c r="F12" s="1574" t="s">
        <v>1161</v>
      </c>
      <c r="G12" s="1605">
        <f>'Expenditures 15-22'!K229</f>
        <v>131958</v>
      </c>
      <c r="H12" s="1616"/>
      <c r="I12" s="1574" t="s">
        <v>1161</v>
      </c>
      <c r="J12" s="1574" t="s">
        <v>1161</v>
      </c>
      <c r="K12" s="1616" t="s">
        <v>1161</v>
      </c>
      <c r="L12" s="325"/>
    </row>
    <row r="13" spans="1:13" ht="15.75" customHeight="1" x14ac:dyDescent="0.2">
      <c r="A13" s="1313" t="s">
        <v>454</v>
      </c>
      <c r="B13" s="1315">
        <v>2000</v>
      </c>
      <c r="C13" s="1606">
        <f>'Expenditures 15-22'!K74</f>
        <v>2653337</v>
      </c>
      <c r="D13" s="1606">
        <f>'Expenditures 15-22'!K129</f>
        <v>901333</v>
      </c>
      <c r="E13" s="1575" t="s">
        <v>1161</v>
      </c>
      <c r="F13" s="1606">
        <f>'Expenditures 15-22'!K184</f>
        <v>676032</v>
      </c>
      <c r="G13" s="1606">
        <f>'Expenditures 15-22'!K279</f>
        <v>203605</v>
      </c>
      <c r="H13" s="1606">
        <f>'Expenditures 15-22'!K303</f>
        <v>0</v>
      </c>
      <c r="I13" s="1574" t="s">
        <v>1161</v>
      </c>
      <c r="J13" s="1606">
        <f>'Expenditures 15-22'!K330</f>
        <v>814567</v>
      </c>
      <c r="K13" s="1617">
        <f>'Expenditures 15-22'!K352</f>
        <v>944</v>
      </c>
      <c r="L13" s="325"/>
    </row>
    <row r="14" spans="1:13" ht="15.75" customHeight="1" x14ac:dyDescent="0.2">
      <c r="A14" s="1313" t="s">
        <v>446</v>
      </c>
      <c r="B14" s="1315">
        <v>3000</v>
      </c>
      <c r="C14" s="1606">
        <f>'Expenditures 15-22'!K75</f>
        <v>3027</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459937</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1055339</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10763722</v>
      </c>
      <c r="D17" s="1593">
        <f t="shared" si="2"/>
        <v>901333</v>
      </c>
      <c r="E17" s="1593">
        <f t="shared" si="2"/>
        <v>1055339</v>
      </c>
      <c r="F17" s="1593">
        <f t="shared" si="2"/>
        <v>676032</v>
      </c>
      <c r="G17" s="1593">
        <f t="shared" si="2"/>
        <v>335563</v>
      </c>
      <c r="H17" s="1593">
        <f t="shared" si="2"/>
        <v>0</v>
      </c>
      <c r="I17" s="1574"/>
      <c r="J17" s="1593">
        <f>SUM(J12:J16)</f>
        <v>814567</v>
      </c>
      <c r="K17" s="1593">
        <f>SUM(K12:K16)</f>
        <v>944</v>
      </c>
      <c r="L17" s="325"/>
    </row>
    <row r="18" spans="1:12" ht="15" customHeight="1" thickTop="1" x14ac:dyDescent="0.2">
      <c r="A18" s="1429" t="s">
        <v>1638</v>
      </c>
      <c r="B18" s="1430">
        <v>4180</v>
      </c>
      <c r="C18" s="1605">
        <f t="shared" ref="C18:H18" si="3">C9</f>
        <v>5297891</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16061613</v>
      </c>
      <c r="D19" s="1593">
        <f t="shared" si="4"/>
        <v>901333</v>
      </c>
      <c r="E19" s="1593">
        <f t="shared" si="4"/>
        <v>1055339</v>
      </c>
      <c r="F19" s="1593">
        <f t="shared" si="4"/>
        <v>676032</v>
      </c>
      <c r="G19" s="1593">
        <f t="shared" si="4"/>
        <v>335563</v>
      </c>
      <c r="H19" s="1593">
        <f t="shared" si="4"/>
        <v>0</v>
      </c>
      <c r="I19" s="1574"/>
      <c r="J19" s="1593">
        <f>SUM(J17:J18)</f>
        <v>814567</v>
      </c>
      <c r="K19" s="1593">
        <f>SUM(K17:K18)</f>
        <v>944</v>
      </c>
      <c r="L19" s="325"/>
    </row>
    <row r="20" spans="1:12" ht="16.5" thickTop="1" thickBot="1" x14ac:dyDescent="0.25">
      <c r="A20" s="2259" t="s">
        <v>1639</v>
      </c>
      <c r="B20" s="2260"/>
      <c r="C20" s="1621">
        <f>C8-C17</f>
        <v>-22203</v>
      </c>
      <c r="D20" s="1621">
        <f t="shared" ref="D20:K20" si="5">D8-D17</f>
        <v>21349</v>
      </c>
      <c r="E20" s="1621">
        <f t="shared" si="5"/>
        <v>-49737</v>
      </c>
      <c r="F20" s="1621">
        <f t="shared" si="5"/>
        <v>-93024</v>
      </c>
      <c r="G20" s="1621">
        <f t="shared" si="5"/>
        <v>93858</v>
      </c>
      <c r="H20" s="1621">
        <f t="shared" si="5"/>
        <v>298591</v>
      </c>
      <c r="I20" s="1621">
        <f t="shared" si="5"/>
        <v>83836</v>
      </c>
      <c r="J20" s="1621">
        <f t="shared" si="5"/>
        <v>-188780</v>
      </c>
      <c r="K20" s="1621">
        <f t="shared" si="5"/>
        <v>82892</v>
      </c>
      <c r="L20" s="325"/>
    </row>
    <row r="21" spans="1:12" ht="16.7" customHeight="1" thickTop="1" x14ac:dyDescent="0.2">
      <c r="A21" s="2241" t="s">
        <v>591</v>
      </c>
      <c r="B21" s="2242"/>
      <c r="C21" s="1601"/>
      <c r="D21" s="1602"/>
      <c r="E21" s="1602"/>
      <c r="F21" s="1602"/>
      <c r="G21" s="1602"/>
      <c r="H21" s="1602"/>
      <c r="I21" s="1602"/>
      <c r="J21" s="1602"/>
      <c r="K21" s="1614"/>
      <c r="L21" s="453"/>
    </row>
    <row r="22" spans="1:12" ht="15.75" customHeight="1" collapsed="1" x14ac:dyDescent="0.2">
      <c r="A22" s="2245" t="s">
        <v>592</v>
      </c>
      <c r="B22" s="2246"/>
      <c r="C22" s="1581"/>
      <c r="D22" s="1581"/>
      <c r="E22" s="1581"/>
      <c r="F22" s="1581"/>
      <c r="G22" s="1581"/>
      <c r="H22" s="1581"/>
      <c r="I22" s="1581"/>
      <c r="J22" s="1581"/>
      <c r="K22" s="1581"/>
      <c r="L22" s="325"/>
    </row>
    <row r="23" spans="1:12" s="433" customFormat="1" ht="15.75" customHeight="1" x14ac:dyDescent="0.2">
      <c r="A23" s="2263" t="s">
        <v>290</v>
      </c>
      <c r="B23" s="2264"/>
      <c r="C23" s="1584"/>
      <c r="D23" s="1581"/>
      <c r="E23" s="1581"/>
      <c r="F23" s="1581"/>
      <c r="G23" s="1581"/>
      <c r="H23" s="1581"/>
      <c r="I23" s="1581"/>
      <c r="J23" s="1581"/>
      <c r="K23" s="1581"/>
      <c r="L23" s="453"/>
    </row>
    <row r="24" spans="1:12" s="433" customFormat="1" ht="13.5" customHeight="1" x14ac:dyDescent="0.2">
      <c r="A24" s="1259" t="s">
        <v>1640</v>
      </c>
      <c r="B24" s="454">
        <v>7110</v>
      </c>
      <c r="C24" s="1573"/>
      <c r="D24" s="1581"/>
      <c r="E24" s="1581"/>
      <c r="F24" s="1581"/>
      <c r="G24" s="1581"/>
      <c r="H24" s="1581"/>
      <c r="I24" s="1581"/>
      <c r="J24" s="1581"/>
      <c r="K24" s="1581"/>
      <c r="L24" s="453"/>
    </row>
    <row r="25" spans="1:12" s="433" customFormat="1" ht="13.5" customHeight="1" x14ac:dyDescent="0.2">
      <c r="A25" s="1259" t="s">
        <v>1641</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1384</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1770</v>
      </c>
      <c r="B30" s="455">
        <v>7160</v>
      </c>
      <c r="C30" s="1581"/>
      <c r="D30" s="1573"/>
      <c r="E30" s="1581"/>
      <c r="F30" s="1581"/>
      <c r="G30" s="1581"/>
      <c r="H30" s="1581"/>
      <c r="I30" s="1581"/>
      <c r="J30" s="1581"/>
      <c r="K30" s="1581"/>
      <c r="L30" s="453"/>
    </row>
    <row r="31" spans="1:12" s="433" customFormat="1" ht="26.25" x14ac:dyDescent="0.2">
      <c r="A31" s="1259" t="s">
        <v>1774</v>
      </c>
      <c r="B31" s="455">
        <v>7170</v>
      </c>
      <c r="C31" s="1581"/>
      <c r="D31" s="1581"/>
      <c r="E31" s="1578"/>
      <c r="F31" s="1581"/>
      <c r="G31" s="1581"/>
      <c r="H31" s="1581"/>
      <c r="I31" s="1581"/>
      <c r="J31" s="1581"/>
      <c r="K31" s="1581"/>
      <c r="L31" s="453"/>
    </row>
    <row r="32" spans="1:12" s="433" customFormat="1" ht="15.75" customHeight="1" x14ac:dyDescent="0.2">
      <c r="A32" s="2265" t="s">
        <v>974</v>
      </c>
      <c r="B32" s="2266"/>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1642</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3" t="s">
        <v>371</v>
      </c>
      <c r="B44" s="2244"/>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5" t="s">
        <v>108</v>
      </c>
      <c r="B45" s="2246"/>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1384</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6">
        <f>D30</f>
        <v>0</v>
      </c>
      <c r="L52" s="453"/>
    </row>
    <row r="53" spans="1:12" s="433" customFormat="1" ht="26.25" x14ac:dyDescent="0.2">
      <c r="A53" s="1260" t="s">
        <v>1772</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f>6031-6031</f>
        <v>0</v>
      </c>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49" t="s">
        <v>437</v>
      </c>
      <c r="B76" s="2250"/>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51" t="s">
        <v>1169</v>
      </c>
      <c r="B77" s="2252"/>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55" t="s">
        <v>593</v>
      </c>
      <c r="B78" s="2256"/>
      <c r="C78" s="1628">
        <f t="shared" ref="C78:K78" si="9">C20+C77</f>
        <v>-22203</v>
      </c>
      <c r="D78" s="1628">
        <f t="shared" si="9"/>
        <v>21349</v>
      </c>
      <c r="E78" s="1628">
        <f t="shared" si="9"/>
        <v>-49737</v>
      </c>
      <c r="F78" s="1628">
        <f t="shared" si="9"/>
        <v>-93024</v>
      </c>
      <c r="G78" s="1628">
        <f t="shared" si="9"/>
        <v>93858</v>
      </c>
      <c r="H78" s="1628">
        <f t="shared" si="9"/>
        <v>298591</v>
      </c>
      <c r="I78" s="1628">
        <f t="shared" si="9"/>
        <v>83836</v>
      </c>
      <c r="J78" s="1628">
        <f t="shared" si="9"/>
        <v>-188780</v>
      </c>
      <c r="K78" s="1628">
        <f t="shared" si="9"/>
        <v>82892</v>
      </c>
      <c r="L78" s="457"/>
    </row>
    <row r="79" spans="1:12" ht="13.5" thickTop="1" x14ac:dyDescent="0.2">
      <c r="A79" s="1843" t="str">
        <f>"Fund Balances - July 1, "&amp;'AFR20'!E2-1</f>
        <v>Fund Balances - July 1, 2019</v>
      </c>
      <c r="B79" s="458"/>
      <c r="C79" s="1582">
        <f>686016</f>
        <v>686016</v>
      </c>
      <c r="D79" s="1629">
        <v>1049918</v>
      </c>
      <c r="E79" s="1629">
        <v>397217</v>
      </c>
      <c r="F79" s="1629">
        <v>449223</v>
      </c>
      <c r="G79" s="1629">
        <v>613229</v>
      </c>
      <c r="H79" s="1629">
        <v>276600</v>
      </c>
      <c r="I79" s="1629">
        <v>1271072</v>
      </c>
      <c r="J79" s="1629">
        <v>350748</v>
      </c>
      <c r="K79" s="1629">
        <v>267990</v>
      </c>
      <c r="L79" s="325"/>
    </row>
    <row r="80" spans="1:12" x14ac:dyDescent="0.2">
      <c r="A80" s="2261" t="s">
        <v>1771</v>
      </c>
      <c r="B80" s="2262"/>
      <c r="C80" s="1573"/>
      <c r="D80" s="1573"/>
      <c r="E80" s="1573"/>
      <c r="F80" s="1573"/>
      <c r="G80" s="1573"/>
      <c r="H80" s="1573"/>
      <c r="I80" s="1573"/>
      <c r="J80" s="1573"/>
      <c r="K80" s="1573"/>
      <c r="L80" s="325"/>
    </row>
    <row r="81" spans="1:12" ht="13.5" thickBot="1" x14ac:dyDescent="0.25">
      <c r="A81" s="2253" t="str">
        <f>"Fund Balances - June 30, "&amp;'AFR20'!E2</f>
        <v>Fund Balances - June 30, 2020</v>
      </c>
      <c r="B81" s="2254"/>
      <c r="C81" s="1593">
        <f>(SUM(C78:C80))</f>
        <v>663813</v>
      </c>
      <c r="D81" s="1593">
        <f>SUM(D78:D80)</f>
        <v>1071267</v>
      </c>
      <c r="E81" s="1593">
        <f t="shared" ref="E81:K81" si="10">SUM(E78:E80)</f>
        <v>347480</v>
      </c>
      <c r="F81" s="1593">
        <f t="shared" si="10"/>
        <v>356199</v>
      </c>
      <c r="G81" s="1593">
        <f t="shared" si="10"/>
        <v>707087</v>
      </c>
      <c r="H81" s="1593">
        <f t="shared" si="10"/>
        <v>575191</v>
      </c>
      <c r="I81" s="1593">
        <f t="shared" si="10"/>
        <v>1354908</v>
      </c>
      <c r="J81" s="1593">
        <f t="shared" si="10"/>
        <v>161968</v>
      </c>
      <c r="K81" s="1593">
        <f t="shared" si="10"/>
        <v>350882</v>
      </c>
      <c r="L81" s="325"/>
    </row>
    <row r="82" spans="1:12" ht="0.75" customHeight="1" thickTop="1" thickBot="1" x14ac:dyDescent="0.25">
      <c r="A82" s="459" t="s">
        <v>340</v>
      </c>
      <c r="B82" s="460"/>
      <c r="C82" s="461">
        <f>(C81-C79)</f>
        <v>-22203</v>
      </c>
      <c r="D82" s="461">
        <f t="shared" ref="D82:K82" si="11">(D81-D79)</f>
        <v>21349</v>
      </c>
      <c r="E82" s="461">
        <f t="shared" si="11"/>
        <v>-49737</v>
      </c>
      <c r="F82" s="461">
        <f t="shared" si="11"/>
        <v>-93024</v>
      </c>
      <c r="G82" s="461">
        <f t="shared" si="11"/>
        <v>93858</v>
      </c>
      <c r="H82" s="461">
        <f t="shared" si="11"/>
        <v>298591</v>
      </c>
      <c r="I82" s="461">
        <f t="shared" si="11"/>
        <v>83836</v>
      </c>
      <c r="J82" s="461">
        <f t="shared" si="11"/>
        <v>-188780</v>
      </c>
      <c r="K82" s="461">
        <f t="shared" si="11"/>
        <v>82892</v>
      </c>
    </row>
    <row r="83" spans="1:12" ht="14.25" hidden="1" thickTop="1" thickBot="1" x14ac:dyDescent="0.25">
      <c r="A83" s="462" t="s">
        <v>341</v>
      </c>
      <c r="B83" s="428"/>
      <c r="C83" s="463">
        <f>C82/C81</f>
        <v>-3.3447672763263145E-2</v>
      </c>
      <c r="D83" s="463">
        <f t="shared" ref="D83:K83" si="12">D82/D81</f>
        <v>1.992873858711227E-2</v>
      </c>
      <c r="E83" s="463">
        <f t="shared" si="12"/>
        <v>-0.14313629561413607</v>
      </c>
      <c r="F83" s="463">
        <f t="shared" si="12"/>
        <v>-0.26115738674168093</v>
      </c>
      <c r="G83" s="463">
        <f t="shared" si="12"/>
        <v>0.13273896988630818</v>
      </c>
      <c r="H83" s="463">
        <f t="shared" si="12"/>
        <v>0.51911625877317269</v>
      </c>
      <c r="I83" s="463">
        <f t="shared" si="12"/>
        <v>6.1875787876372421E-2</v>
      </c>
      <c r="J83" s="463">
        <f t="shared" si="12"/>
        <v>-1.1655388718759261</v>
      </c>
      <c r="K83" s="463">
        <f t="shared" si="12"/>
        <v>0.23623896352619969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92" bottom="0.48" header="0.4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50" activePane="bottomLeft" state="frozen"/>
      <selection pane="bottomLeft" activeCell="C259" sqref="C259"/>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7" t="s">
        <v>1778</v>
      </c>
      <c r="B1" s="416"/>
      <c r="C1" s="417" t="s">
        <v>422</v>
      </c>
      <c r="D1" s="417" t="s">
        <v>423</v>
      </c>
      <c r="E1" s="417" t="s">
        <v>424</v>
      </c>
      <c r="F1" s="417" t="s">
        <v>425</v>
      </c>
      <c r="G1" s="417" t="s">
        <v>426</v>
      </c>
      <c r="H1" s="417" t="s">
        <v>427</v>
      </c>
      <c r="I1" s="417" t="s">
        <v>428</v>
      </c>
      <c r="J1" s="417" t="s">
        <v>429</v>
      </c>
      <c r="K1" s="417" t="s">
        <v>751</v>
      </c>
    </row>
    <row r="2" spans="1:12" ht="36" x14ac:dyDescent="0.2">
      <c r="A2" s="225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f>5702265-2013</f>
        <v>5700252</v>
      </c>
      <c r="D5" s="1585">
        <f>917547+4675</f>
        <v>922222</v>
      </c>
      <c r="E5" s="1572">
        <f>978892+26710</f>
        <v>1005602</v>
      </c>
      <c r="F5" s="1630">
        <f>325375+9980</f>
        <v>335355</v>
      </c>
      <c r="G5" s="1572">
        <f>237414+1182</f>
        <v>238596</v>
      </c>
      <c r="H5" s="1572"/>
      <c r="I5" s="1572">
        <f>83422+414</f>
        <v>83836</v>
      </c>
      <c r="J5" s="1573">
        <f>622713+3074</f>
        <v>625787</v>
      </c>
      <c r="K5" s="1572">
        <f>83422+414</f>
        <v>83836</v>
      </c>
    </row>
    <row r="6" spans="1:12" ht="15" x14ac:dyDescent="0.2">
      <c r="A6" s="427" t="s">
        <v>1646</v>
      </c>
      <c r="B6" s="429">
        <v>1130</v>
      </c>
      <c r="C6" s="1572">
        <f>83422+414</f>
        <v>83836</v>
      </c>
      <c r="D6" s="1572"/>
      <c r="E6" s="1579"/>
      <c r="F6" s="1579"/>
      <c r="G6" s="1574"/>
      <c r="H6" s="1574"/>
      <c r="I6" s="1574"/>
      <c r="J6" s="1574"/>
      <c r="K6" s="1574"/>
    </row>
    <row r="7" spans="1:12" x14ac:dyDescent="0.2">
      <c r="A7" s="427" t="s">
        <v>110</v>
      </c>
      <c r="B7" s="471">
        <v>1140</v>
      </c>
      <c r="C7" s="1572">
        <f>66738+331</f>
        <v>67069</v>
      </c>
      <c r="D7" s="1572"/>
      <c r="E7" s="1574"/>
      <c r="F7" s="1573"/>
      <c r="G7" s="1573"/>
      <c r="H7" s="1573"/>
      <c r="I7" s="1574"/>
      <c r="J7" s="1574"/>
      <c r="K7" s="1574"/>
    </row>
    <row r="8" spans="1:12" x14ac:dyDescent="0.2">
      <c r="A8" s="427" t="s">
        <v>410</v>
      </c>
      <c r="B8" s="429">
        <v>1150</v>
      </c>
      <c r="C8" s="1579"/>
      <c r="D8" s="1579"/>
      <c r="E8" s="1581"/>
      <c r="F8" s="1581"/>
      <c r="G8" s="1585">
        <f>189879+946</f>
        <v>190825</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5851157</v>
      </c>
      <c r="D12" s="1632">
        <f t="shared" si="0"/>
        <v>922222</v>
      </c>
      <c r="E12" s="1632">
        <f t="shared" si="0"/>
        <v>1005602</v>
      </c>
      <c r="F12" s="1632">
        <f t="shared" si="0"/>
        <v>335355</v>
      </c>
      <c r="G12" s="1632">
        <f t="shared" si="0"/>
        <v>429421</v>
      </c>
      <c r="H12" s="1632">
        <f t="shared" si="0"/>
        <v>0</v>
      </c>
      <c r="I12" s="1632">
        <f t="shared" si="0"/>
        <v>83836</v>
      </c>
      <c r="J12" s="1632">
        <f t="shared" si="0"/>
        <v>625787</v>
      </c>
      <c r="K12" s="1593">
        <f t="shared" si="0"/>
        <v>83836</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f>572172-249025+104543</f>
        <v>427690</v>
      </c>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427690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17587</v>
      </c>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17587</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1099</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1100</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f>110072+9089+3269</f>
        <v>122430</v>
      </c>
      <c r="D65" s="1572"/>
      <c r="E65" s="1572"/>
      <c r="F65" s="1573"/>
      <c r="G65" s="1572"/>
      <c r="H65" s="1572"/>
      <c r="I65" s="1572"/>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122430</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128418</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1833</v>
      </c>
      <c r="D73" s="1574"/>
      <c r="E73" s="1574"/>
      <c r="F73" s="1574"/>
      <c r="G73" s="1574"/>
      <c r="H73" s="1574"/>
      <c r="I73" s="1574"/>
      <c r="J73" s="1574"/>
      <c r="K73" s="1574"/>
    </row>
    <row r="74" spans="1:11" ht="12.75" customHeight="1" x14ac:dyDescent="0.2">
      <c r="A74" s="427" t="s">
        <v>25</v>
      </c>
      <c r="B74" s="429">
        <v>1690</v>
      </c>
      <c r="C74" s="1631">
        <v>5856</v>
      </c>
      <c r="D74" s="1574"/>
      <c r="E74" s="1574"/>
      <c r="F74" s="1574"/>
      <c r="G74" s="1574"/>
      <c r="H74" s="1574"/>
      <c r="I74" s="1574"/>
      <c r="J74" s="1574"/>
      <c r="K74" s="1574"/>
    </row>
    <row r="75" spans="1:11" ht="12.75" customHeight="1" thickBot="1" x14ac:dyDescent="0.25">
      <c r="A75" s="1405" t="s">
        <v>544</v>
      </c>
      <c r="B75" s="1406"/>
      <c r="C75" s="1593">
        <f>SUM(C69:C74)</f>
        <v>136107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17590</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69956</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3948</v>
      </c>
      <c r="D81" s="1572"/>
      <c r="E81" s="1574"/>
      <c r="F81" s="1574"/>
      <c r="G81" s="1574"/>
      <c r="H81" s="1574"/>
      <c r="I81" s="1574"/>
      <c r="J81" s="1574"/>
      <c r="K81" s="1574"/>
    </row>
    <row r="82" spans="1:11" ht="12.75" customHeight="1" thickBot="1" x14ac:dyDescent="0.25">
      <c r="A82" s="1405" t="s">
        <v>239</v>
      </c>
      <c r="B82" s="1406"/>
      <c r="C82" s="1632">
        <f>SUM(C77:C81)</f>
        <v>91494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74269</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74269</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v>30487</v>
      </c>
      <c r="I100" s="1573"/>
      <c r="J100" s="1597"/>
      <c r="K100" s="1573"/>
    </row>
    <row r="101" spans="1:12" ht="12.75" customHeight="1" x14ac:dyDescent="0.2">
      <c r="A101" s="427" t="s">
        <v>244</v>
      </c>
      <c r="B101" s="429">
        <v>1970</v>
      </c>
      <c r="C101" s="1597">
        <f>18123-3923</f>
        <v>14200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f>314231-46127</f>
        <v>268104</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v>46076</v>
      </c>
      <c r="D106" s="1597"/>
      <c r="E106" s="1573"/>
      <c r="F106" s="1573"/>
      <c r="G106" s="1573"/>
      <c r="H106" s="1573"/>
      <c r="I106" s="1616"/>
      <c r="J106" s="1573"/>
      <c r="K106" s="1573"/>
    </row>
    <row r="107" spans="1:12" ht="12.75" customHeight="1" x14ac:dyDescent="0.2">
      <c r="A107" s="427" t="s">
        <v>78</v>
      </c>
      <c r="B107" s="429">
        <v>1999</v>
      </c>
      <c r="C107" s="1631">
        <v>49671</v>
      </c>
      <c r="D107" s="1572">
        <v>460</v>
      </c>
      <c r="E107" s="1572"/>
      <c r="F107" s="1572">
        <v>1000</v>
      </c>
      <c r="G107" s="1572"/>
      <c r="H107" s="1572"/>
      <c r="I107" s="1572"/>
      <c r="J107" s="1573"/>
      <c r="K107" s="1572"/>
    </row>
    <row r="108" spans="1:12" ht="12.75" customHeight="1" thickBot="1" x14ac:dyDescent="0.25">
      <c r="A108" s="1405" t="s">
        <v>484</v>
      </c>
      <c r="B108" s="1407"/>
      <c r="C108" s="1632">
        <f>SUM(C95:C107)</f>
        <v>109947</v>
      </c>
      <c r="D108" s="1632">
        <f t="shared" ref="D108:K108" si="3">SUM(D95:D107)</f>
        <v>460</v>
      </c>
      <c r="E108" s="1632">
        <f t="shared" si="3"/>
        <v>0</v>
      </c>
      <c r="F108" s="1632">
        <f t="shared" si="3"/>
        <v>1000</v>
      </c>
      <c r="G108" s="1632">
        <f t="shared" si="3"/>
        <v>0</v>
      </c>
      <c r="H108" s="1632">
        <f t="shared" si="3"/>
        <v>298591</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6830681</v>
      </c>
      <c r="D109" s="1640">
        <f t="shared" si="4"/>
        <v>922682</v>
      </c>
      <c r="E109" s="1640">
        <f t="shared" si="4"/>
        <v>1005602</v>
      </c>
      <c r="F109" s="1640">
        <f t="shared" si="4"/>
        <v>336355</v>
      </c>
      <c r="G109" s="1640">
        <f t="shared" si="4"/>
        <v>429421</v>
      </c>
      <c r="H109" s="1640">
        <f t="shared" si="4"/>
        <v>298591</v>
      </c>
      <c r="I109" s="1640">
        <f t="shared" si="4"/>
        <v>83836</v>
      </c>
      <c r="J109" s="1640">
        <f t="shared" si="4"/>
        <v>625787</v>
      </c>
      <c r="K109" s="1628">
        <f t="shared" si="4"/>
        <v>83836</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f>2490401+237982-110577</f>
        <v>2617806</v>
      </c>
      <c r="D117" s="1585"/>
      <c r="E117" s="1572"/>
      <c r="F117" s="1585"/>
      <c r="G117" s="1585"/>
      <c r="H117" s="1572"/>
      <c r="I117" s="1574"/>
      <c r="J117" s="1573"/>
      <c r="K117" s="1572"/>
    </row>
    <row r="118" spans="1:11" ht="12.75" customHeight="1" x14ac:dyDescent="0.2">
      <c r="A118" s="427" t="s">
        <v>1775</v>
      </c>
      <c r="B118" s="478">
        <v>3002</v>
      </c>
      <c r="C118" s="1631"/>
      <c r="D118" s="1572"/>
      <c r="E118" s="1572"/>
      <c r="F118" s="1572"/>
      <c r="G118" s="1572"/>
      <c r="H118" s="1572"/>
      <c r="I118" s="1574"/>
      <c r="J118" s="1573"/>
      <c r="K118" s="1572"/>
    </row>
    <row r="119" spans="1:11" ht="12.75" customHeight="1" x14ac:dyDescent="0.2">
      <c r="A119" s="427" t="s">
        <v>1776</v>
      </c>
      <c r="B119" s="478">
        <v>3005</v>
      </c>
      <c r="C119" s="1631"/>
      <c r="D119" s="1572"/>
      <c r="E119" s="1572"/>
      <c r="F119" s="1572"/>
      <c r="G119" s="1572"/>
      <c r="H119" s="1572"/>
      <c r="I119" s="1574"/>
      <c r="J119" s="1573"/>
      <c r="K119" s="1572"/>
    </row>
    <row r="120" spans="1:11" ht="12.75" customHeight="1" x14ac:dyDescent="0.2">
      <c r="A120" s="1538" t="s">
        <v>1894</v>
      </c>
      <c r="B120" s="478">
        <v>3030</v>
      </c>
      <c r="C120" s="1631"/>
      <c r="D120" s="1572"/>
      <c r="E120" s="1572"/>
      <c r="F120" s="1572"/>
      <c r="G120" s="1572"/>
      <c r="H120" s="1572"/>
      <c r="I120" s="1574"/>
      <c r="J120" s="1573"/>
      <c r="K120" s="1572"/>
    </row>
    <row r="121" spans="1:11" x14ac:dyDescent="0.2">
      <c r="A121" s="1265" t="s">
        <v>1777</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2617806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189147</v>
      </c>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276</v>
      </c>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189423</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741</v>
      </c>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3639</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v>1416</v>
      </c>
      <c r="D140" s="1572"/>
      <c r="E140" s="1639"/>
      <c r="F140" s="1581"/>
      <c r="G140" s="1573"/>
      <c r="H140" s="1574"/>
      <c r="I140" s="1574"/>
      <c r="J140" s="1574"/>
      <c r="K140" s="1574"/>
    </row>
    <row r="141" spans="1:11" ht="12.75" customHeight="1" thickBot="1" x14ac:dyDescent="0.25">
      <c r="A141" s="1405" t="s">
        <v>599</v>
      </c>
      <c r="B141" s="1413"/>
      <c r="C141" s="1632">
        <f>SUM(C134:C140)</f>
        <v>5796</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f>3918-1416+455</f>
        <v>2957</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f>8201+3923</f>
        <v>12124</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169035</v>
      </c>
      <c r="G152" s="1573"/>
      <c r="H152" s="1574"/>
      <c r="I152" s="1574"/>
      <c r="J152" s="1574"/>
      <c r="K152" s="1574"/>
    </row>
    <row r="153" spans="1:11" ht="12.75" customHeight="1" x14ac:dyDescent="0.2">
      <c r="A153" s="427" t="s">
        <v>1050</v>
      </c>
      <c r="B153" s="478">
        <v>3510</v>
      </c>
      <c r="C153" s="1631"/>
      <c r="D153" s="1572"/>
      <c r="E153" s="1639"/>
      <c r="F153" s="1572">
        <f>58360+19258</f>
        <v>77618</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246653</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1044</v>
      </c>
      <c r="B159" s="484">
        <v>3705</v>
      </c>
      <c r="C159" s="1650">
        <f>17235+196187-13225-276</f>
        <v>199921</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1435</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67" t="s">
        <v>395</v>
      </c>
      <c r="B169" s="2268"/>
      <c r="C169" s="1657">
        <f t="shared" ref="C169:K169" si="6">SUM(C132,C141,C145,C146:C150,C155,C156:C167,C168)</f>
        <v>410221</v>
      </c>
      <c r="D169" s="1657">
        <f t="shared" si="6"/>
        <v>0</v>
      </c>
      <c r="E169" s="1657">
        <f t="shared" si="6"/>
        <v>0</v>
      </c>
      <c r="F169" s="1657">
        <f t="shared" si="6"/>
        <v>246653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3028027</v>
      </c>
      <c r="D170" s="1640">
        <f t="shared" si="7"/>
        <v>0</v>
      </c>
      <c r="E170" s="1640">
        <f t="shared" si="7"/>
        <v>0</v>
      </c>
      <c r="F170" s="1640">
        <f t="shared" si="7"/>
        <v>246653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69" t="s">
        <v>1478</v>
      </c>
      <c r="B172" s="2270"/>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73" t="s">
        <v>1649</v>
      </c>
      <c r="B175" s="227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7" t="s">
        <v>1648</v>
      </c>
      <c r="B176" s="2278"/>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75" t="s">
        <v>780</v>
      </c>
      <c r="B181" s="2276"/>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1" t="s">
        <v>1779</v>
      </c>
      <c r="B182" s="2272"/>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f>160161+23702-6318</f>
        <v>177545</v>
      </c>
      <c r="D191" s="1574"/>
      <c r="E191" s="1639"/>
      <c r="F191" s="1574"/>
      <c r="G191" s="1663"/>
      <c r="H191" s="1574"/>
      <c r="I191" s="1574"/>
      <c r="J191" s="1574"/>
      <c r="K191" s="1574"/>
    </row>
    <row r="192" spans="1:11" ht="12.75" customHeight="1" x14ac:dyDescent="0.2">
      <c r="A192" s="427" t="s">
        <v>1040</v>
      </c>
      <c r="B192" s="429">
        <v>4215</v>
      </c>
      <c r="C192" s="1631">
        <f>1311+314</f>
        <v>1625</v>
      </c>
      <c r="D192" s="1574"/>
      <c r="E192" s="1639"/>
      <c r="F192" s="1574"/>
      <c r="G192" s="1663"/>
      <c r="H192" s="1574"/>
      <c r="I192" s="1574"/>
      <c r="J192" s="1574"/>
      <c r="K192" s="1574"/>
    </row>
    <row r="193" spans="1:11" ht="12.75" customHeight="1" x14ac:dyDescent="0.2">
      <c r="A193" s="427" t="s">
        <v>1052</v>
      </c>
      <c r="B193" s="429">
        <v>4220</v>
      </c>
      <c r="C193" s="1631">
        <f>73453+5883-24036</f>
        <v>55300</v>
      </c>
      <c r="D193" s="1574"/>
      <c r="E193" s="1639"/>
      <c r="F193" s="1574"/>
      <c r="G193" s="1663"/>
      <c r="H193" s="1574"/>
      <c r="I193" s="1574"/>
      <c r="J193" s="1574"/>
      <c r="K193" s="1574"/>
    </row>
    <row r="194" spans="1:11" ht="12.75" customHeight="1" x14ac:dyDescent="0.2">
      <c r="A194" s="427" t="s">
        <v>1437</v>
      </c>
      <c r="B194" s="429">
        <v>4225</v>
      </c>
      <c r="C194" s="1631"/>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234470</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f>191790-33454-9169</f>
        <v>149167</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f>33454+9169</f>
        <v>42623</v>
      </c>
      <c r="D203" s="1572"/>
      <c r="E203" s="1574"/>
      <c r="F203" s="1572"/>
      <c r="G203" s="1572"/>
      <c r="H203" s="1574"/>
      <c r="I203" s="1574"/>
      <c r="J203" s="1574"/>
      <c r="K203" s="1574"/>
    </row>
    <row r="204" spans="1:11" ht="12.75" customHeight="1" thickBot="1" x14ac:dyDescent="0.25">
      <c r="A204" s="1405" t="s">
        <v>397</v>
      </c>
      <c r="B204" s="1406"/>
      <c r="C204" s="1632">
        <f>SUM(C200:C203)</f>
        <v>191790</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1439</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f>17743+2534</f>
        <v>20277</v>
      </c>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f>379874-2534</f>
        <v>377340</v>
      </c>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397617</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c r="D253" s="1575"/>
      <c r="E253" s="1574"/>
      <c r="F253" s="1574"/>
      <c r="G253" s="1574"/>
      <c r="H253" s="1574"/>
      <c r="I253" s="1574"/>
      <c r="J253" s="1574"/>
      <c r="K253" s="1574"/>
    </row>
    <row r="254" spans="1:11" ht="12.75" customHeight="1" thickTop="1" thickBot="1" x14ac:dyDescent="0.25">
      <c r="A254" s="1272"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48519</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1895</v>
      </c>
      <c r="B261" s="429">
        <v>4981</v>
      </c>
      <c r="C261" s="1649"/>
      <c r="D261" s="1650"/>
      <c r="E261" s="1574"/>
      <c r="F261" s="1650"/>
      <c r="G261" s="1650"/>
      <c r="H261" s="1574"/>
      <c r="I261" s="1574"/>
      <c r="J261" s="1574"/>
      <c r="K261" s="1574"/>
    </row>
    <row r="262" spans="1:11" ht="12.75" customHeight="1" thickTop="1" thickBot="1" x14ac:dyDescent="0.25">
      <c r="A262" s="1539" t="s">
        <v>1896</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c r="D263" s="1650"/>
      <c r="E263" s="1574"/>
      <c r="F263" s="1650"/>
      <c r="G263" s="1650"/>
      <c r="H263" s="1574"/>
      <c r="I263" s="1574"/>
      <c r="J263" s="1574"/>
      <c r="K263" s="1574"/>
    </row>
    <row r="264" spans="1:11" ht="12.75" customHeight="1" thickTop="1" thickBot="1" x14ac:dyDescent="0.25">
      <c r="A264" s="427" t="s">
        <v>374</v>
      </c>
      <c r="B264" s="429">
        <v>4992</v>
      </c>
      <c r="C264" s="1649">
        <f>8461+1954</f>
        <v>10415</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1650</v>
      </c>
      <c r="B266" s="1418"/>
      <c r="C266" s="1640">
        <f t="shared" ref="C266:H266" si="10">SUM(C188,C198,C204,C209,C217,C221,C222,C252:C265)</f>
        <v>882811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882811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10741519</v>
      </c>
      <c r="D268" s="1640">
        <f t="shared" si="12"/>
        <v>922682</v>
      </c>
      <c r="E268" s="1640">
        <f t="shared" si="12"/>
        <v>1005602</v>
      </c>
      <c r="F268" s="1640">
        <f t="shared" si="12"/>
        <v>583008</v>
      </c>
      <c r="G268" s="1640">
        <f t="shared" si="12"/>
        <v>429421</v>
      </c>
      <c r="H268" s="1640">
        <f t="shared" si="12"/>
        <v>298591</v>
      </c>
      <c r="I268" s="1640">
        <f t="shared" si="12"/>
        <v>83836</v>
      </c>
      <c r="J268" s="1640">
        <f t="shared" si="12"/>
        <v>625787</v>
      </c>
      <c r="K268" s="1628">
        <f t="shared" si="12"/>
        <v>83836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73" bottom="0.43" header="0.47"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2" activePane="bottomLeft" state="frozen"/>
      <selection pane="bottomLeft" activeCell="F325" sqref="E325:F325"/>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7" t="s">
        <v>1778</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9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04" t="s">
        <v>294</v>
      </c>
      <c r="B3" s="2305"/>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f>3701860-2</f>
        <v>3701858</v>
      </c>
      <c r="D5" s="1572">
        <v>888378</v>
      </c>
      <c r="E5" s="1572">
        <v>73926</v>
      </c>
      <c r="F5" s="1572">
        <v>75960</v>
      </c>
      <c r="G5" s="1572">
        <v>1430</v>
      </c>
      <c r="H5" s="1572">
        <v>165</v>
      </c>
      <c r="I5" s="1573"/>
      <c r="J5" s="1573"/>
      <c r="K5" s="1671">
        <f>SUM(C5:J5)</f>
        <v>4741717</v>
      </c>
      <c r="L5" s="1572">
        <v>4827076</v>
      </c>
    </row>
    <row r="6" spans="1:14" x14ac:dyDescent="0.2">
      <c r="A6" s="1273" t="s">
        <v>1419</v>
      </c>
      <c r="B6" s="503" t="s">
        <v>1417</v>
      </c>
      <c r="C6" s="1581"/>
      <c r="D6" s="1581"/>
      <c r="E6" s="1572"/>
      <c r="F6" s="1581"/>
      <c r="G6" s="1581"/>
      <c r="H6" s="1581"/>
      <c r="I6" s="1581"/>
      <c r="J6" s="1581"/>
      <c r="K6" s="1671">
        <f>SUM(C6,E6)</f>
        <v>0</v>
      </c>
      <c r="L6" s="1572"/>
    </row>
    <row r="7" spans="1:14" x14ac:dyDescent="0.2">
      <c r="A7" s="1273" t="s">
        <v>162</v>
      </c>
      <c r="B7" s="503" t="s">
        <v>961</v>
      </c>
      <c r="C7" s="1573">
        <v>107508</v>
      </c>
      <c r="D7" s="1573">
        <v>24561</v>
      </c>
      <c r="E7" s="1573">
        <v>807</v>
      </c>
      <c r="F7" s="1573">
        <v>6461</v>
      </c>
      <c r="G7" s="1573"/>
      <c r="H7" s="1573"/>
      <c r="I7" s="1573"/>
      <c r="J7" s="1573"/>
      <c r="K7" s="1671">
        <f t="shared" ref="K7:K32" si="0">SUM(C7:J7)</f>
        <v>139337</v>
      </c>
      <c r="L7" s="1572">
        <v>138215</v>
      </c>
    </row>
    <row r="8" spans="1:14" x14ac:dyDescent="0.2">
      <c r="A8" s="1273" t="s">
        <v>163</v>
      </c>
      <c r="B8" s="503">
        <v>1200</v>
      </c>
      <c r="C8" s="1572">
        <v>970391</v>
      </c>
      <c r="D8" s="1572">
        <v>205836</v>
      </c>
      <c r="E8" s="1572">
        <v>716</v>
      </c>
      <c r="F8" s="1572">
        <v>4572</v>
      </c>
      <c r="G8" s="1572">
        <v>3057</v>
      </c>
      <c r="H8" s="1572"/>
      <c r="I8" s="1573"/>
      <c r="J8" s="1573"/>
      <c r="K8" s="1671">
        <f t="shared" si="0"/>
        <v>1184572</v>
      </c>
      <c r="L8" s="1572">
        <v>1196786</v>
      </c>
    </row>
    <row r="9" spans="1:14" x14ac:dyDescent="0.2">
      <c r="A9" s="1273" t="s">
        <v>716</v>
      </c>
      <c r="B9" s="503" t="s">
        <v>962</v>
      </c>
      <c r="C9" s="1573">
        <v>11709</v>
      </c>
      <c r="D9" s="1573">
        <v>1645</v>
      </c>
      <c r="E9" s="1573"/>
      <c r="F9" s="1573"/>
      <c r="G9" s="1573"/>
      <c r="H9" s="1573"/>
      <c r="I9" s="1573"/>
      <c r="J9" s="1573"/>
      <c r="K9" s="1671">
        <f t="shared" si="0"/>
        <v>13354</v>
      </c>
      <c r="L9" s="1572">
        <v>14950</v>
      </c>
    </row>
    <row r="10" spans="1:14" x14ac:dyDescent="0.2">
      <c r="A10" s="1273" t="s">
        <v>717</v>
      </c>
      <c r="B10" s="503">
        <v>1250</v>
      </c>
      <c r="C10" s="1572">
        <v>183827</v>
      </c>
      <c r="D10" s="1572">
        <v>47240</v>
      </c>
      <c r="E10" s="1572">
        <v>945</v>
      </c>
      <c r="F10" s="1572">
        <v>103281</v>
      </c>
      <c r="G10" s="1572">
        <v>8400</v>
      </c>
      <c r="H10" s="1572"/>
      <c r="I10" s="1573"/>
      <c r="J10" s="1573"/>
      <c r="K10" s="1671">
        <f t="shared" si="0"/>
        <v>343693</v>
      </c>
      <c r="L10" s="1572">
        <v>297936</v>
      </c>
    </row>
    <row r="11" spans="1:14" x14ac:dyDescent="0.2">
      <c r="A11" s="1273" t="s">
        <v>1122</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227460</v>
      </c>
      <c r="D13" s="1572">
        <v>50241</v>
      </c>
      <c r="E13" s="1572">
        <v>86</v>
      </c>
      <c r="F13" s="1572">
        <v>6751</v>
      </c>
      <c r="G13" s="1572"/>
      <c r="H13" s="1572">
        <v>-15598</v>
      </c>
      <c r="I13" s="1573"/>
      <c r="J13" s="1573"/>
      <c r="K13" s="1671">
        <f t="shared" si="0"/>
        <v>268940</v>
      </c>
      <c r="L13" s="1572">
        <v>296385</v>
      </c>
    </row>
    <row r="14" spans="1:14" x14ac:dyDescent="0.2">
      <c r="A14" s="1273" t="s">
        <v>957</v>
      </c>
      <c r="B14" s="503">
        <v>1500</v>
      </c>
      <c r="C14" s="1572">
        <v>214802</v>
      </c>
      <c r="D14" s="1572">
        <v>19358</v>
      </c>
      <c r="E14" s="1572">
        <v>137582</v>
      </c>
      <c r="F14" s="1572">
        <v>13065</v>
      </c>
      <c r="G14" s="1572"/>
      <c r="H14" s="1572">
        <v>17952</v>
      </c>
      <c r="I14" s="1573"/>
      <c r="J14" s="1573"/>
      <c r="K14" s="1671">
        <f t="shared" si="0"/>
        <v>402759</v>
      </c>
      <c r="L14" s="1572">
        <v>371805</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58208</v>
      </c>
      <c r="D17" s="1573">
        <v>15012</v>
      </c>
      <c r="E17" s="1573"/>
      <c r="F17" s="1573">
        <v>5523</v>
      </c>
      <c r="G17" s="1573"/>
      <c r="H17" s="1573"/>
      <c r="I17" s="1573"/>
      <c r="J17" s="1573"/>
      <c r="K17" s="1671">
        <f t="shared" si="0"/>
        <v>78743</v>
      </c>
      <c r="L17" s="1572">
        <v>79710</v>
      </c>
    </row>
    <row r="18" spans="1:12" x14ac:dyDescent="0.2">
      <c r="A18" s="1273" t="s">
        <v>1080</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v>650</v>
      </c>
      <c r="I21" s="1672"/>
      <c r="J21" s="1581"/>
      <c r="K21" s="1671">
        <f t="shared" si="0"/>
        <v>650</v>
      </c>
      <c r="L21" s="1576">
        <v>1000</v>
      </c>
    </row>
    <row r="22" spans="1:12" x14ac:dyDescent="0.2">
      <c r="A22" s="1274" t="s">
        <v>735</v>
      </c>
      <c r="B22" s="494" t="s">
        <v>722</v>
      </c>
      <c r="C22" s="1581"/>
      <c r="D22" s="1581"/>
      <c r="E22" s="1581"/>
      <c r="F22" s="1581"/>
      <c r="G22" s="1581"/>
      <c r="H22" s="1578">
        <v>473656</v>
      </c>
      <c r="I22" s="1672"/>
      <c r="J22" s="1581"/>
      <c r="K22" s="1671">
        <f t="shared" si="0"/>
        <v>473656</v>
      </c>
      <c r="L22" s="1576">
        <v>550000</v>
      </c>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1121</v>
      </c>
      <c r="B32" s="503" t="s">
        <v>732</v>
      </c>
      <c r="C32" s="1581"/>
      <c r="D32" s="1581"/>
      <c r="E32" s="1581"/>
      <c r="F32" s="1581"/>
      <c r="G32" s="1581"/>
      <c r="H32" s="1578"/>
      <c r="I32" s="1672"/>
      <c r="J32" s="1584"/>
      <c r="K32" s="1671">
        <f t="shared" si="0"/>
        <v>0</v>
      </c>
      <c r="L32" s="1576"/>
    </row>
    <row r="33" spans="1:14" ht="12.75" customHeight="1" thickBot="1" x14ac:dyDescent="0.25">
      <c r="A33" s="1379" t="s">
        <v>1652</v>
      </c>
      <c r="B33" s="1380" t="s">
        <v>566</v>
      </c>
      <c r="C33" s="1673">
        <f>SUM(C5:C32)</f>
        <v>5475763</v>
      </c>
      <c r="D33" s="1673">
        <f t="shared" ref="D33:L33" si="1">SUM(D5:D32)</f>
        <v>1252271</v>
      </c>
      <c r="E33" s="1673">
        <f t="shared" si="1"/>
        <v>214062</v>
      </c>
      <c r="F33" s="1673">
        <f t="shared" si="1"/>
        <v>215613</v>
      </c>
      <c r="G33" s="1673">
        <f t="shared" si="1"/>
        <v>12887</v>
      </c>
      <c r="H33" s="1673">
        <f t="shared" si="1"/>
        <v>476825</v>
      </c>
      <c r="I33" s="1673">
        <f t="shared" si="1"/>
        <v>0</v>
      </c>
      <c r="J33" s="1673">
        <f t="shared" si="1"/>
        <v>0</v>
      </c>
      <c r="K33" s="1673">
        <f t="shared" si="1"/>
        <v>7647421</v>
      </c>
      <c r="L33" s="1673">
        <f t="shared" si="1"/>
        <v>7773863</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48604</v>
      </c>
      <c r="D36" s="1585">
        <v>6310</v>
      </c>
      <c r="E36" s="1585">
        <v>349</v>
      </c>
      <c r="F36" s="1585"/>
      <c r="G36" s="1585"/>
      <c r="H36" s="1585"/>
      <c r="I36" s="1573"/>
      <c r="J36" s="1573"/>
      <c r="K36" s="1671">
        <f t="shared" ref="K36:K41" si="2">SUM(C36:J36)</f>
        <v>55263</v>
      </c>
      <c r="L36" s="1572">
        <v>61535</v>
      </c>
    </row>
    <row r="37" spans="1:14" x14ac:dyDescent="0.2">
      <c r="A37" s="1273" t="s">
        <v>1083</v>
      </c>
      <c r="B37" s="503">
        <v>2120</v>
      </c>
      <c r="C37" s="1572">
        <v>71218</v>
      </c>
      <c r="D37" s="1572">
        <v>17346</v>
      </c>
      <c r="E37" s="1572"/>
      <c r="F37" s="1572"/>
      <c r="G37" s="1572"/>
      <c r="H37" s="1572"/>
      <c r="I37" s="1573"/>
      <c r="J37" s="1573"/>
      <c r="K37" s="1671">
        <f t="shared" si="2"/>
        <v>88564</v>
      </c>
      <c r="L37" s="1572">
        <v>68323</v>
      </c>
    </row>
    <row r="38" spans="1:14" x14ac:dyDescent="0.2">
      <c r="A38" s="1273" t="s">
        <v>196</v>
      </c>
      <c r="B38" s="503">
        <v>2130</v>
      </c>
      <c r="C38" s="1572"/>
      <c r="D38" s="1572"/>
      <c r="E38" s="1572">
        <v>1087</v>
      </c>
      <c r="F38" s="1572">
        <v>2491</v>
      </c>
      <c r="G38" s="1572"/>
      <c r="H38" s="1572"/>
      <c r="I38" s="1573"/>
      <c r="J38" s="1573"/>
      <c r="K38" s="1671">
        <f t="shared" si="2"/>
        <v>3578</v>
      </c>
      <c r="L38" s="1572">
        <v>4000</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v>106950</v>
      </c>
      <c r="D40" s="1572">
        <v>28255</v>
      </c>
      <c r="E40" s="1572">
        <v>339</v>
      </c>
      <c r="F40" s="1572">
        <v>140</v>
      </c>
      <c r="G40" s="1572"/>
      <c r="H40" s="1572"/>
      <c r="I40" s="1573"/>
      <c r="J40" s="1573"/>
      <c r="K40" s="1671">
        <f t="shared" si="2"/>
        <v>135684</v>
      </c>
      <c r="L40" s="1572">
        <v>143447</v>
      </c>
    </row>
    <row r="41" spans="1:14" x14ac:dyDescent="0.2">
      <c r="A41" s="1273" t="s">
        <v>1653</v>
      </c>
      <c r="B41" s="503">
        <v>2190</v>
      </c>
      <c r="C41" s="1572"/>
      <c r="D41" s="1572"/>
      <c r="E41" s="1572"/>
      <c r="F41" s="1572"/>
      <c r="G41" s="1572"/>
      <c r="H41" s="1572"/>
      <c r="I41" s="1573"/>
      <c r="J41" s="1573"/>
      <c r="K41" s="1671">
        <f t="shared" si="2"/>
        <v>0</v>
      </c>
      <c r="L41" s="1572">
        <v>0</v>
      </c>
    </row>
    <row r="42" spans="1:14" ht="12.75" customHeight="1" thickBot="1" x14ac:dyDescent="0.25">
      <c r="A42" s="1379" t="s">
        <v>556</v>
      </c>
      <c r="B42" s="1380" t="s">
        <v>711</v>
      </c>
      <c r="C42" s="1673">
        <f>SUM(C36:C41)</f>
        <v>226772</v>
      </c>
      <c r="D42" s="1673">
        <f t="shared" ref="D42:L42" si="3">SUM(D36:D41)</f>
        <v>51911</v>
      </c>
      <c r="E42" s="1673">
        <f t="shared" si="3"/>
        <v>1775</v>
      </c>
      <c r="F42" s="1673">
        <f t="shared" si="3"/>
        <v>2631</v>
      </c>
      <c r="G42" s="1673">
        <f t="shared" si="3"/>
        <v>0</v>
      </c>
      <c r="H42" s="1673">
        <f t="shared" si="3"/>
        <v>0</v>
      </c>
      <c r="I42" s="1673">
        <f t="shared" si="3"/>
        <v>0</v>
      </c>
      <c r="J42" s="1673">
        <f t="shared" si="3"/>
        <v>0</v>
      </c>
      <c r="K42" s="1673">
        <f t="shared" si="3"/>
        <v>283089</v>
      </c>
      <c r="L42" s="1673">
        <f t="shared" si="3"/>
        <v>277305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97204</v>
      </c>
      <c r="D44" s="1585">
        <v>28434</v>
      </c>
      <c r="E44" s="1585">
        <v>82163</v>
      </c>
      <c r="F44" s="1585">
        <v>1362</v>
      </c>
      <c r="G44" s="1585"/>
      <c r="H44" s="1585">
        <v>565</v>
      </c>
      <c r="I44" s="1573"/>
      <c r="J44" s="1573"/>
      <c r="K44" s="1677">
        <f>SUM(C44:J44)</f>
        <v>209728</v>
      </c>
      <c r="L44" s="1585">
        <v>363240</v>
      </c>
    </row>
    <row r="45" spans="1:14" x14ac:dyDescent="0.2">
      <c r="A45" s="1273" t="s">
        <v>810</v>
      </c>
      <c r="B45" s="503">
        <v>2220</v>
      </c>
      <c r="C45" s="1572">
        <v>90609</v>
      </c>
      <c r="D45" s="1572">
        <v>34584</v>
      </c>
      <c r="E45" s="1572">
        <v>4252</v>
      </c>
      <c r="F45" s="1572">
        <v>14495</v>
      </c>
      <c r="G45" s="1572"/>
      <c r="H45" s="1572">
        <v>271</v>
      </c>
      <c r="I45" s="1573"/>
      <c r="J45" s="1573"/>
      <c r="K45" s="1677">
        <f>SUM(C45:J45)</f>
        <v>144211</v>
      </c>
      <c r="L45" s="1572">
        <v>147299</v>
      </c>
    </row>
    <row r="46" spans="1:14" x14ac:dyDescent="0.2">
      <c r="A46" s="1273" t="s">
        <v>811</v>
      </c>
      <c r="B46" s="503">
        <v>2230</v>
      </c>
      <c r="C46" s="1572"/>
      <c r="D46" s="1572"/>
      <c r="E46" s="1572">
        <v>12333</v>
      </c>
      <c r="F46" s="1572"/>
      <c r="G46" s="1572"/>
      <c r="H46" s="1572"/>
      <c r="I46" s="1573"/>
      <c r="J46" s="1573"/>
      <c r="K46" s="1677">
        <f>SUM(C46:J46)</f>
        <v>12333</v>
      </c>
      <c r="L46" s="1572">
        <v>16800</v>
      </c>
    </row>
    <row r="47" spans="1:14" ht="12.75" customHeight="1" thickBot="1" x14ac:dyDescent="0.25">
      <c r="A47" s="1379" t="s">
        <v>557</v>
      </c>
      <c r="B47" s="1380" t="s">
        <v>32</v>
      </c>
      <c r="C47" s="1673">
        <f>SUM(C44:C46)</f>
        <v>187813</v>
      </c>
      <c r="D47" s="1673">
        <f t="shared" ref="D47:K47" si="4">SUM(D44:D46)</f>
        <v>63018</v>
      </c>
      <c r="E47" s="1673">
        <f t="shared" si="4"/>
        <v>98748</v>
      </c>
      <c r="F47" s="1673">
        <f t="shared" si="4"/>
        <v>15857</v>
      </c>
      <c r="G47" s="1673">
        <f t="shared" si="4"/>
        <v>0</v>
      </c>
      <c r="H47" s="1673">
        <f t="shared" si="4"/>
        <v>836</v>
      </c>
      <c r="I47" s="1673">
        <f t="shared" si="4"/>
        <v>0</v>
      </c>
      <c r="J47" s="1673">
        <f t="shared" si="4"/>
        <v>0</v>
      </c>
      <c r="K47" s="1673">
        <f t="shared" si="4"/>
        <v>366272</v>
      </c>
      <c r="L47" s="1673">
        <f>SUM(L44:L46)</f>
        <v>527339</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1639</v>
      </c>
      <c r="D49" s="1585">
        <v>5639</v>
      </c>
      <c r="E49" s="1585">
        <v>39878</v>
      </c>
      <c r="F49" s="1585">
        <v>4726</v>
      </c>
      <c r="G49" s="1585"/>
      <c r="H49" s="1585"/>
      <c r="I49" s="1573"/>
      <c r="J49" s="1573"/>
      <c r="K49" s="1677">
        <f>SUM(C49:J49)</f>
        <v>51882</v>
      </c>
      <c r="L49" s="1585">
        <v>65640</v>
      </c>
    </row>
    <row r="50" spans="1:14" x14ac:dyDescent="0.2">
      <c r="A50" s="1273" t="s">
        <v>813</v>
      </c>
      <c r="B50" s="503">
        <v>2320</v>
      </c>
      <c r="C50" s="1572">
        <v>174152</v>
      </c>
      <c r="D50" s="1572">
        <v>19958</v>
      </c>
      <c r="E50" s="1572">
        <v>7933</v>
      </c>
      <c r="F50" s="1572">
        <v>4360</v>
      </c>
      <c r="G50" s="1572"/>
      <c r="H50" s="1572">
        <v>1138</v>
      </c>
      <c r="I50" s="1573"/>
      <c r="J50" s="1573"/>
      <c r="K50" s="1677">
        <f>SUM(C50:J50)</f>
        <v>207541</v>
      </c>
      <c r="L50" s="1572">
        <v>237065</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v>-127</v>
      </c>
      <c r="F52" s="1578"/>
      <c r="G52" s="1578"/>
      <c r="H52" s="1578"/>
      <c r="I52" s="1578"/>
      <c r="J52" s="1578"/>
      <c r="K52" s="1677">
        <f>SUM(C52:J52)</f>
        <v>-127</v>
      </c>
      <c r="L52" s="1578">
        <v>5000</v>
      </c>
    </row>
    <row r="53" spans="1:14" ht="12.75" customHeight="1" thickBot="1" x14ac:dyDescent="0.25">
      <c r="A53" s="1379" t="s">
        <v>712</v>
      </c>
      <c r="B53" s="1380" t="s">
        <v>33</v>
      </c>
      <c r="C53" s="1673">
        <f>SUM(C49:C52)</f>
        <v>175791</v>
      </c>
      <c r="D53" s="1673">
        <f t="shared" ref="D53:L53" si="5">SUM(D49:D52)</f>
        <v>25597</v>
      </c>
      <c r="E53" s="1673">
        <f t="shared" si="5"/>
        <v>47684</v>
      </c>
      <c r="F53" s="1673">
        <f t="shared" si="5"/>
        <v>9086</v>
      </c>
      <c r="G53" s="1673">
        <f t="shared" si="5"/>
        <v>0</v>
      </c>
      <c r="H53" s="1673">
        <f t="shared" si="5"/>
        <v>1138</v>
      </c>
      <c r="I53" s="1673">
        <f t="shared" si="5"/>
        <v>0</v>
      </c>
      <c r="J53" s="1673">
        <f t="shared" si="5"/>
        <v>0</v>
      </c>
      <c r="K53" s="1673">
        <f t="shared" si="5"/>
        <v>259296</v>
      </c>
      <c r="L53" s="1673">
        <f t="shared" si="5"/>
        <v>307705</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569356</v>
      </c>
      <c r="D55" s="1585">
        <v>172714</v>
      </c>
      <c r="E55" s="1585">
        <v>2286</v>
      </c>
      <c r="F55" s="1585">
        <v>8532</v>
      </c>
      <c r="G55" s="1585"/>
      <c r="H55" s="1585">
        <v>2219</v>
      </c>
      <c r="I55" s="1573"/>
      <c r="J55" s="1573"/>
      <c r="K55" s="1677">
        <f>SUM(C55:J55)</f>
        <v>755107</v>
      </c>
      <c r="L55" s="1585">
        <v>639453</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569356</v>
      </c>
      <c r="D57" s="1678">
        <f t="shared" ref="D57:K57" si="6">SUM(D55:D56)</f>
        <v>172714</v>
      </c>
      <c r="E57" s="1678">
        <f t="shared" si="6"/>
        <v>2286</v>
      </c>
      <c r="F57" s="1678">
        <f t="shared" si="6"/>
        <v>8532</v>
      </c>
      <c r="G57" s="1678">
        <f t="shared" si="6"/>
        <v>0</v>
      </c>
      <c r="H57" s="1678">
        <f t="shared" si="6"/>
        <v>2219</v>
      </c>
      <c r="I57" s="1678">
        <f t="shared" si="6"/>
        <v>0</v>
      </c>
      <c r="J57" s="1678">
        <f t="shared" si="6"/>
        <v>0</v>
      </c>
      <c r="K57" s="1678">
        <f t="shared" si="6"/>
        <v>755107</v>
      </c>
      <c r="L57" s="1673">
        <f>SUM(L55:L56)</f>
        <v>639453</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460</v>
      </c>
      <c r="B60" s="503">
        <v>2520</v>
      </c>
      <c r="C60" s="1572">
        <v>71189</v>
      </c>
      <c r="D60" s="1572">
        <v>29851</v>
      </c>
      <c r="E60" s="1572">
        <v>27436</v>
      </c>
      <c r="F60" s="1572">
        <v>15087</v>
      </c>
      <c r="G60" s="1572"/>
      <c r="H60" s="1572">
        <f>490+6031</f>
        <v>6521</v>
      </c>
      <c r="I60" s="1573"/>
      <c r="J60" s="1573"/>
      <c r="K60" s="1677">
        <f t="shared" si="7"/>
        <v>150084</v>
      </c>
      <c r="L60" s="1572">
        <v>130834</v>
      </c>
      <c r="M60" s="501"/>
      <c r="N60" s="501"/>
    </row>
    <row r="61" spans="1:14" s="321" customFormat="1" x14ac:dyDescent="0.2">
      <c r="A61" s="1273" t="s">
        <v>195</v>
      </c>
      <c r="B61" s="503">
        <v>2540</v>
      </c>
      <c r="C61" s="1572"/>
      <c r="D61" s="1572"/>
      <c r="E61" s="1572"/>
      <c r="F61" s="1572">
        <v>207747</v>
      </c>
      <c r="G61" s="1572"/>
      <c r="H61" s="1572"/>
      <c r="I61" s="1573"/>
      <c r="J61" s="1573"/>
      <c r="K61" s="1677">
        <f t="shared" si="7"/>
        <v>207747</v>
      </c>
      <c r="L61" s="1572">
        <v>237000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10878</v>
      </c>
      <c r="D63" s="1572"/>
      <c r="E63" s="1572">
        <v>285502</v>
      </c>
      <c r="F63" s="1572">
        <v>4259</v>
      </c>
      <c r="G63" s="1572">
        <v>4246</v>
      </c>
      <c r="H63" s="1572">
        <v>69</v>
      </c>
      <c r="I63" s="1573"/>
      <c r="J63" s="1573"/>
      <c r="K63" s="1677">
        <f t="shared" si="7"/>
        <v>304954</v>
      </c>
      <c r="L63" s="1572">
        <v>364275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82067</v>
      </c>
      <c r="D65" s="1673">
        <f t="shared" ref="D65:L65" si="8">SUM(D59:D64)</f>
        <v>29851</v>
      </c>
      <c r="E65" s="1673">
        <f t="shared" si="8"/>
        <v>312938</v>
      </c>
      <c r="F65" s="1673">
        <f t="shared" si="8"/>
        <v>227093</v>
      </c>
      <c r="G65" s="1673">
        <f t="shared" si="8"/>
        <v>4246</v>
      </c>
      <c r="H65" s="1673">
        <f t="shared" si="8"/>
        <v>6590</v>
      </c>
      <c r="I65" s="1673">
        <f t="shared" si="8"/>
        <v>0</v>
      </c>
      <c r="J65" s="1673">
        <f t="shared" si="8"/>
        <v>0</v>
      </c>
      <c r="K65" s="1673">
        <f t="shared" si="8"/>
        <v>662785</v>
      </c>
      <c r="L65" s="1673">
        <f t="shared" si="8"/>
        <v>732109</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1054</v>
      </c>
      <c r="B69" s="503">
        <v>2630</v>
      </c>
      <c r="C69" s="1572"/>
      <c r="D69" s="1572"/>
      <c r="E69" s="1572">
        <v>25568</v>
      </c>
      <c r="F69" s="1572"/>
      <c r="G69" s="1572"/>
      <c r="H69" s="1572"/>
      <c r="I69" s="1573"/>
      <c r="J69" s="1573"/>
      <c r="K69" s="1677">
        <f>SUM(C69:J69)</f>
        <v>25568</v>
      </c>
      <c r="L69" s="1572">
        <v>28000</v>
      </c>
      <c r="M69" s="501"/>
      <c r="N69" s="501"/>
    </row>
    <row r="70" spans="1:14" s="321" customFormat="1" x14ac:dyDescent="0.2">
      <c r="A70" s="1273" t="s">
        <v>400</v>
      </c>
      <c r="B70" s="503">
        <v>2640</v>
      </c>
      <c r="C70" s="1572"/>
      <c r="D70" s="1572"/>
      <c r="E70" s="1572">
        <v>4278</v>
      </c>
      <c r="F70" s="1572"/>
      <c r="G70" s="1572"/>
      <c r="H70" s="1572"/>
      <c r="I70" s="1573"/>
      <c r="J70" s="1573"/>
      <c r="K70" s="1677">
        <f>SUM(C70:J70)</f>
        <v>4278</v>
      </c>
      <c r="L70" s="1572">
        <v>5000</v>
      </c>
      <c r="M70" s="501"/>
      <c r="N70" s="501"/>
    </row>
    <row r="71" spans="1:14" s="321" customFormat="1" x14ac:dyDescent="0.2">
      <c r="A71" s="1273" t="s">
        <v>401</v>
      </c>
      <c r="B71" s="503">
        <v>2660</v>
      </c>
      <c r="C71" s="1572">
        <v>123449</v>
      </c>
      <c r="D71" s="1572">
        <v>16519</v>
      </c>
      <c r="E71" s="1572">
        <v>9234</v>
      </c>
      <c r="F71" s="1572">
        <v>98313</v>
      </c>
      <c r="G71" s="1572">
        <v>48342</v>
      </c>
      <c r="H71" s="1572"/>
      <c r="I71" s="1573"/>
      <c r="J71" s="1573"/>
      <c r="K71" s="1677">
        <f>SUM(C71:J71)</f>
        <v>295857</v>
      </c>
      <c r="L71" s="1572">
        <v>325660</v>
      </c>
      <c r="M71" s="501"/>
      <c r="N71" s="501"/>
    </row>
    <row r="72" spans="1:14" s="321" customFormat="1" ht="12.75" customHeight="1" thickBot="1" x14ac:dyDescent="0.25">
      <c r="A72" s="1379" t="s">
        <v>37</v>
      </c>
      <c r="B72" s="1382" t="s">
        <v>36</v>
      </c>
      <c r="C72" s="1673">
        <f>SUM(C67:C71)</f>
        <v>123449</v>
      </c>
      <c r="D72" s="1673">
        <f t="shared" ref="D72:K72" si="9">SUM(D67:D71)</f>
        <v>16519</v>
      </c>
      <c r="E72" s="1673">
        <f t="shared" si="9"/>
        <v>39080</v>
      </c>
      <c r="F72" s="1673">
        <f t="shared" si="9"/>
        <v>98313</v>
      </c>
      <c r="G72" s="1673">
        <f t="shared" si="9"/>
        <v>48342</v>
      </c>
      <c r="H72" s="1673">
        <f t="shared" si="9"/>
        <v>0</v>
      </c>
      <c r="I72" s="1673">
        <f t="shared" si="9"/>
        <v>0</v>
      </c>
      <c r="J72" s="1673">
        <f t="shared" si="9"/>
        <v>0</v>
      </c>
      <c r="K72" s="1673">
        <f t="shared" si="9"/>
        <v>325703</v>
      </c>
      <c r="L72" s="1673">
        <f>SUM(L67:L71)</f>
        <v>358660</v>
      </c>
      <c r="M72" s="501"/>
      <c r="N72" s="501"/>
    </row>
    <row r="73" spans="1:14" s="321" customFormat="1" ht="14.25" thickTop="1" thickBot="1" x14ac:dyDescent="0.25">
      <c r="A73" s="1279" t="s">
        <v>973</v>
      </c>
      <c r="B73" s="515" t="s">
        <v>570</v>
      </c>
      <c r="C73" s="1648"/>
      <c r="D73" s="1648"/>
      <c r="E73" s="1648"/>
      <c r="F73" s="1648">
        <v>1085</v>
      </c>
      <c r="G73" s="1648"/>
      <c r="H73" s="1648"/>
      <c r="I73" s="1626"/>
      <c r="J73" s="1626"/>
      <c r="K73" s="1673">
        <f>SUM(C73:J73)</f>
        <v>1085</v>
      </c>
      <c r="L73" s="1650"/>
      <c r="M73" s="501"/>
      <c r="N73" s="501"/>
    </row>
    <row r="74" spans="1:14" ht="12.75" customHeight="1" thickTop="1" thickBot="1" x14ac:dyDescent="0.25">
      <c r="A74" s="1379" t="s">
        <v>806</v>
      </c>
      <c r="B74" s="1383">
        <v>2000</v>
      </c>
      <c r="C74" s="1680">
        <f>SUM(C42,C47,C53,C57,C65,C72,C73)</f>
        <v>1365248</v>
      </c>
      <c r="D74" s="1680">
        <f t="shared" ref="D74:K74" si="10">SUM(D42,D47,D53,D57,D65,D72,D73)</f>
        <v>359610</v>
      </c>
      <c r="E74" s="1680">
        <f t="shared" si="10"/>
        <v>502511</v>
      </c>
      <c r="F74" s="1680">
        <f t="shared" si="10"/>
        <v>362597</v>
      </c>
      <c r="G74" s="1680">
        <f t="shared" si="10"/>
        <v>52588</v>
      </c>
      <c r="H74" s="1680">
        <f t="shared" si="10"/>
        <v>10783</v>
      </c>
      <c r="I74" s="1680">
        <f t="shared" si="10"/>
        <v>0</v>
      </c>
      <c r="J74" s="1680">
        <f t="shared" si="10"/>
        <v>0</v>
      </c>
      <c r="K74" s="1680">
        <f t="shared" si="10"/>
        <v>2653337</v>
      </c>
      <c r="L74" s="1680">
        <f>SUM(L42,L47,L53,L57,L65,L72,L73)</f>
        <v>2842571</v>
      </c>
    </row>
    <row r="75" spans="1:14" s="254" customFormat="1" ht="15.75" customHeight="1" thickTop="1" thickBot="1" x14ac:dyDescent="0.25">
      <c r="A75" s="1347" t="s">
        <v>47</v>
      </c>
      <c r="B75" s="1348" t="s">
        <v>571</v>
      </c>
      <c r="C75" s="1648"/>
      <c r="D75" s="1648"/>
      <c r="E75" s="1648"/>
      <c r="F75" s="1648">
        <v>3027</v>
      </c>
      <c r="G75" s="1648"/>
      <c r="H75" s="1648"/>
      <c r="I75" s="1626"/>
      <c r="J75" s="1626"/>
      <c r="K75" s="1673">
        <f>SUM(C75:J75)</f>
        <v>3027</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313648</v>
      </c>
      <c r="F79" s="1672"/>
      <c r="G79" s="1672"/>
      <c r="H79" s="1572"/>
      <c r="I79" s="1581"/>
      <c r="J79" s="1581"/>
      <c r="K79" s="1671">
        <f t="shared" si="11"/>
        <v>313648</v>
      </c>
      <c r="L79" s="1572">
        <v>350000</v>
      </c>
    </row>
    <row r="80" spans="1:14" x14ac:dyDescent="0.2">
      <c r="A80" s="1273" t="s">
        <v>302</v>
      </c>
      <c r="B80" s="503">
        <v>4130</v>
      </c>
      <c r="C80" s="1672"/>
      <c r="D80" s="1672"/>
      <c r="E80" s="1572"/>
      <c r="F80" s="1672"/>
      <c r="G80" s="1672"/>
      <c r="H80" s="1572"/>
      <c r="I80" s="1581"/>
      <c r="J80" s="1581"/>
      <c r="K80" s="1671">
        <f t="shared" si="11"/>
        <v>0</v>
      </c>
      <c r="L80" s="1572">
        <v>3000</v>
      </c>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1471</v>
      </c>
      <c r="B84" s="1384">
        <v>4100</v>
      </c>
      <c r="C84" s="1672"/>
      <c r="D84" s="1672"/>
      <c r="E84" s="1673">
        <f>SUM(E78:E83)</f>
        <v>313648</v>
      </c>
      <c r="F84" s="1672"/>
      <c r="G84" s="1672"/>
      <c r="H84" s="1673">
        <f>SUM(H78:H83)</f>
        <v>0</v>
      </c>
      <c r="I84" s="1581"/>
      <c r="J84" s="1581"/>
      <c r="K84" s="1673">
        <f>SUM(K78:K83)</f>
        <v>313648</v>
      </c>
      <c r="L84" s="1673">
        <f>SUM(L78:L83)</f>
        <v>353000</v>
      </c>
    </row>
    <row r="85" spans="1:12" ht="12.75" customHeight="1" thickTop="1" thickBot="1" x14ac:dyDescent="0.25">
      <c r="A85" s="1280" t="s">
        <v>253</v>
      </c>
      <c r="B85" s="517">
        <v>4210</v>
      </c>
      <c r="C85" s="1672"/>
      <c r="D85" s="1672"/>
      <c r="E85" s="1682"/>
      <c r="F85" s="1672"/>
      <c r="G85" s="1672"/>
      <c r="H85" s="1629">
        <v>2322</v>
      </c>
      <c r="I85" s="1581"/>
      <c r="J85" s="1581"/>
      <c r="K85" s="1680">
        <f>H85</f>
        <v>2322</v>
      </c>
      <c r="L85" s="1625">
        <v>5000</v>
      </c>
    </row>
    <row r="86" spans="1:12" ht="12.75" customHeight="1" thickTop="1" thickBot="1" x14ac:dyDescent="0.25">
      <c r="A86" s="1281" t="s">
        <v>694</v>
      </c>
      <c r="B86" s="518">
        <v>4220</v>
      </c>
      <c r="C86" s="1672"/>
      <c r="D86" s="1672"/>
      <c r="E86" s="1683"/>
      <c r="F86" s="1672"/>
      <c r="G86" s="1672"/>
      <c r="H86" s="1573">
        <v>111242</v>
      </c>
      <c r="I86" s="1581"/>
      <c r="J86" s="1581"/>
      <c r="K86" s="1680">
        <f t="shared" ref="K86:K98" si="12">H86</f>
        <v>111242</v>
      </c>
      <c r="L86" s="1625">
        <v>60000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v>22775</v>
      </c>
      <c r="I88" s="1581"/>
      <c r="J88" s="1581"/>
      <c r="K88" s="1680">
        <f t="shared" si="12"/>
        <v>22775</v>
      </c>
      <c r="L88" s="1625">
        <v>25000</v>
      </c>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1546</v>
      </c>
      <c r="B92" s="1384">
        <v>4200</v>
      </c>
      <c r="C92" s="1672"/>
      <c r="D92" s="1672"/>
      <c r="E92" s="1683"/>
      <c r="F92" s="1672"/>
      <c r="G92" s="1672"/>
      <c r="H92" s="1673">
        <f>SUM(H85:H91)</f>
        <v>136339</v>
      </c>
      <c r="I92" s="1581"/>
      <c r="J92" s="1581"/>
      <c r="K92" s="1680">
        <f t="shared" si="12"/>
        <v>136339</v>
      </c>
      <c r="L92" s="1673">
        <f>SUM(L85:L91)</f>
        <v>90000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1474</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v>9950</v>
      </c>
      <c r="I97" s="1581"/>
      <c r="J97" s="1581"/>
      <c r="K97" s="1680">
        <f t="shared" si="12"/>
        <v>9950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1472</v>
      </c>
      <c r="B100" s="1386">
        <v>4300</v>
      </c>
      <c r="C100" s="1672"/>
      <c r="D100" s="1672"/>
      <c r="E100" s="1680">
        <f>SUM(E93:E99)</f>
        <v>0</v>
      </c>
      <c r="F100" s="1672"/>
      <c r="G100" s="1672"/>
      <c r="H100" s="1680">
        <f>SUM(H93:H99)</f>
        <v>9950</v>
      </c>
      <c r="I100" s="1581"/>
      <c r="J100" s="1581"/>
      <c r="K100" s="1680">
        <f>SUM(K93:K99)</f>
        <v>9950</v>
      </c>
      <c r="L100" s="1680">
        <f>SUM(L93:L99)</f>
        <v>0</v>
      </c>
    </row>
    <row r="101" spans="1:14" ht="12.75" customHeight="1" thickTop="1" thickBot="1" x14ac:dyDescent="0.25">
      <c r="A101" s="1279"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1473</v>
      </c>
      <c r="B102" s="1384">
        <v>4000</v>
      </c>
      <c r="C102" s="1672"/>
      <c r="D102" s="1672"/>
      <c r="E102" s="1680">
        <f>SUM(E84,E92,E100,E101)</f>
        <v>313648</v>
      </c>
      <c r="F102" s="1672"/>
      <c r="G102" s="1672"/>
      <c r="H102" s="1680">
        <f>SUM(H84,H92,H100,H101)</f>
        <v>146289</v>
      </c>
      <c r="I102" s="1581"/>
      <c r="J102" s="1581"/>
      <c r="K102" s="1680">
        <f>SUM(K84,K92,K100,K101)</f>
        <v>459937</v>
      </c>
      <c r="L102" s="1680">
        <f>SUM(L84,L92,L100,L101)</f>
        <v>443000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6841011</v>
      </c>
      <c r="D114" s="1673">
        <f t="shared" ref="D114:K114" si="13">SUM(D33,D74,D75,D102,D112,D113)</f>
        <v>1611881</v>
      </c>
      <c r="E114" s="1673">
        <f t="shared" si="13"/>
        <v>1030221</v>
      </c>
      <c r="F114" s="1673">
        <f t="shared" si="13"/>
        <v>581237</v>
      </c>
      <c r="G114" s="1673">
        <f t="shared" si="13"/>
        <v>65475</v>
      </c>
      <c r="H114" s="1673">
        <f>SUM(H33,H74,H75,H102,H112,H113)</f>
        <v>633897</v>
      </c>
      <c r="I114" s="1673">
        <f t="shared" si="13"/>
        <v>0</v>
      </c>
      <c r="J114" s="1673">
        <f t="shared" si="13"/>
        <v>0</v>
      </c>
      <c r="K114" s="1673">
        <f t="shared" si="13"/>
        <v>10763722</v>
      </c>
      <c r="L114" s="1673">
        <f>SUM(L33,L74,L75,L102,L112,L113)</f>
        <v>11059434</v>
      </c>
    </row>
    <row r="115" spans="1:14" ht="13.5" thickTop="1" x14ac:dyDescent="0.2">
      <c r="A115" s="2297" t="s">
        <v>989</v>
      </c>
      <c r="B115" s="2298"/>
      <c r="C115" s="1674"/>
      <c r="D115" s="1674"/>
      <c r="E115" s="1674"/>
      <c r="F115" s="1674"/>
      <c r="G115" s="1674"/>
      <c r="H115" s="1674"/>
      <c r="I115" s="1674"/>
      <c r="J115" s="1674"/>
      <c r="K115" s="1688">
        <f>'Revenues 9-14'!C268-'Expenditures 15-22'!K114</f>
        <v>-22203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301" t="s">
        <v>293</v>
      </c>
      <c r="B117" s="2302"/>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1962</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449292</v>
      </c>
      <c r="D124" s="1572">
        <v>80828</v>
      </c>
      <c r="E124" s="1572">
        <v>262173</v>
      </c>
      <c r="F124" s="1572">
        <v>99384</v>
      </c>
      <c r="G124" s="1572">
        <v>9656</v>
      </c>
      <c r="H124" s="1572"/>
      <c r="I124" s="1573"/>
      <c r="J124" s="1573"/>
      <c r="K124" s="1673">
        <f>SUM(C124:J124)</f>
        <v>901333</v>
      </c>
      <c r="L124" s="1572">
        <v>884822</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449292</v>
      </c>
      <c r="D127" s="1673">
        <f t="shared" ref="D127:L127" si="14">SUM(D122:D126)</f>
        <v>80828</v>
      </c>
      <c r="E127" s="1673">
        <f t="shared" si="14"/>
        <v>262173</v>
      </c>
      <c r="F127" s="1673">
        <f t="shared" si="14"/>
        <v>99384</v>
      </c>
      <c r="G127" s="1673">
        <f t="shared" si="14"/>
        <v>9656</v>
      </c>
      <c r="H127" s="1673">
        <f t="shared" si="14"/>
        <v>0</v>
      </c>
      <c r="I127" s="1673">
        <f t="shared" si="14"/>
        <v>0</v>
      </c>
      <c r="J127" s="1673">
        <f t="shared" si="14"/>
        <v>0</v>
      </c>
      <c r="K127" s="1673">
        <f t="shared" si="14"/>
        <v>901333</v>
      </c>
      <c r="L127" s="1673">
        <f t="shared" si="14"/>
        <v>884822</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449292</v>
      </c>
      <c r="D129" s="1680">
        <f t="shared" ref="D129:L129" si="15">SUM(D120,D127,D128)</f>
        <v>80828</v>
      </c>
      <c r="E129" s="1680">
        <f t="shared" si="15"/>
        <v>262173</v>
      </c>
      <c r="F129" s="1680">
        <f t="shared" si="15"/>
        <v>99384</v>
      </c>
      <c r="G129" s="1680">
        <f t="shared" si="15"/>
        <v>9656</v>
      </c>
      <c r="H129" s="1680">
        <f t="shared" si="15"/>
        <v>0</v>
      </c>
      <c r="I129" s="1680">
        <f t="shared" si="15"/>
        <v>0</v>
      </c>
      <c r="J129" s="1680">
        <f t="shared" si="15"/>
        <v>0</v>
      </c>
      <c r="K129" s="1680">
        <f t="shared" si="15"/>
        <v>901333</v>
      </c>
      <c r="L129" s="1680">
        <f t="shared" si="15"/>
        <v>884822</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1815</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1162</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7" t="s">
        <v>616</v>
      </c>
      <c r="B151" s="2276"/>
      <c r="C151" s="1673">
        <f>SUM(C129,C130,C139,C149,C150)</f>
        <v>449292</v>
      </c>
      <c r="D151" s="1673">
        <f t="shared" ref="D151:K151" si="16">SUM(D129,D130,D139,D149,D150)</f>
        <v>80828</v>
      </c>
      <c r="E151" s="1673">
        <f t="shared" si="16"/>
        <v>262173</v>
      </c>
      <c r="F151" s="1673">
        <f t="shared" si="16"/>
        <v>99384</v>
      </c>
      <c r="G151" s="1673">
        <f t="shared" si="16"/>
        <v>9656</v>
      </c>
      <c r="H151" s="1673">
        <f t="shared" si="16"/>
        <v>0</v>
      </c>
      <c r="I151" s="1673">
        <f t="shared" si="16"/>
        <v>0</v>
      </c>
      <c r="J151" s="1673">
        <f t="shared" si="16"/>
        <v>0</v>
      </c>
      <c r="K151" s="1673">
        <f t="shared" si="16"/>
        <v>901333</v>
      </c>
      <c r="L151" s="1673">
        <f>SUM(L129,L130,L139,L149,L150)</f>
        <v>884822</v>
      </c>
    </row>
    <row r="152" spans="1:14" ht="12.75" customHeight="1" thickTop="1" x14ac:dyDescent="0.2">
      <c r="A152" s="2290" t="s">
        <v>1170</v>
      </c>
      <c r="B152" s="2291"/>
      <c r="C152" s="1674"/>
      <c r="D152" s="1674"/>
      <c r="E152" s="1674"/>
      <c r="F152" s="1674"/>
      <c r="G152" s="1674"/>
      <c r="H152" s="1674"/>
      <c r="I152" s="1674"/>
      <c r="J152" s="1672"/>
      <c r="K152" s="1688">
        <f>'Revenues 9-14'!D268-'Expenditures 15-22'!K151</f>
        <v>21349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301" t="s">
        <v>617</v>
      </c>
      <c r="B154" s="230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1815</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1817</v>
      </c>
      <c r="C158" s="1672"/>
      <c r="D158" s="1672"/>
      <c r="E158" s="1672"/>
      <c r="F158" s="1672"/>
      <c r="G158" s="1672"/>
      <c r="H158" s="1573"/>
      <c r="I158" s="1672"/>
      <c r="J158" s="1672"/>
      <c r="K158" s="1671">
        <f>H158</f>
        <v>0</v>
      </c>
      <c r="L158" s="1573"/>
      <c r="M158" s="505"/>
      <c r="N158" s="505"/>
    </row>
    <row r="159" spans="1:14" s="506" customFormat="1" ht="12" x14ac:dyDescent="0.2">
      <c r="A159" s="1461" t="s">
        <v>1818</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1819</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1162</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80339</v>
      </c>
      <c r="I169" s="1672"/>
      <c r="J169" s="1672"/>
      <c r="K169" s="1671">
        <f>SUM(C169:H169)</f>
        <v>80339</v>
      </c>
      <c r="L169" s="1694">
        <v>80339</v>
      </c>
    </row>
    <row r="170" spans="1:14" ht="33.75" customHeight="1" x14ac:dyDescent="0.2">
      <c r="A170" s="543" t="s">
        <v>1654</v>
      </c>
      <c r="B170" s="545" t="s">
        <v>31</v>
      </c>
      <c r="C170" s="1672"/>
      <c r="D170" s="1672"/>
      <c r="E170" s="1672"/>
      <c r="F170" s="1672"/>
      <c r="G170" s="1672"/>
      <c r="H170" s="1645">
        <v>975000</v>
      </c>
      <c r="I170" s="1672"/>
      <c r="J170" s="1672"/>
      <c r="K170" s="1671">
        <f>SUM(C170:J170)</f>
        <v>975000</v>
      </c>
      <c r="L170" s="1645">
        <v>975000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1055339</v>
      </c>
      <c r="I172" s="1683"/>
      <c r="J172" s="1672"/>
      <c r="K172" s="1680">
        <f>SUM(K168,K169,K170,K171)</f>
        <v>1055339</v>
      </c>
      <c r="L172" s="1680">
        <f>SUM(L168,L169,L170,L171)</f>
        <v>1055339</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1055339</v>
      </c>
      <c r="I174" s="1683"/>
      <c r="J174" s="1672"/>
      <c r="K174" s="1680">
        <f>SUM(K160,K172,K173)</f>
        <v>1055339</v>
      </c>
      <c r="L174" s="1680">
        <f>SUM(L160,L172,L173)</f>
        <v>1055339</v>
      </c>
    </row>
    <row r="175" spans="1:14" ht="13.5" thickTop="1" x14ac:dyDescent="0.2">
      <c r="A175" s="2297" t="s">
        <v>989</v>
      </c>
      <c r="B175" s="2298"/>
      <c r="C175" s="1672"/>
      <c r="D175" s="1672"/>
      <c r="E175" s="1672"/>
      <c r="F175" s="1672"/>
      <c r="G175" s="1672"/>
      <c r="H175" s="1674"/>
      <c r="I175" s="1672"/>
      <c r="J175" s="1672"/>
      <c r="K175" s="1688">
        <f>'Revenues 9-14'!E268-'Expenditures 15-22'!K174</f>
        <v>-49737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304681</v>
      </c>
      <c r="D182" s="1572">
        <v>41114</v>
      </c>
      <c r="E182" s="1572">
        <v>249364</v>
      </c>
      <c r="F182" s="1572">
        <v>80873</v>
      </c>
      <c r="G182" s="1572"/>
      <c r="H182" s="1572"/>
      <c r="I182" s="1573"/>
      <c r="J182" s="1573"/>
      <c r="K182" s="1671">
        <f>SUM(C182:J182)</f>
        <v>676032</v>
      </c>
      <c r="L182" s="1572">
        <v>690924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304681</v>
      </c>
      <c r="D184" s="1680">
        <f t="shared" ref="D184:J184" si="17">SUM(D180,D182,D183)</f>
        <v>41114</v>
      </c>
      <c r="E184" s="1680">
        <f t="shared" si="17"/>
        <v>249364</v>
      </c>
      <c r="F184" s="1680">
        <f t="shared" si="17"/>
        <v>80873</v>
      </c>
      <c r="G184" s="1680">
        <f t="shared" si="17"/>
        <v>0</v>
      </c>
      <c r="H184" s="1680">
        <f t="shared" si="17"/>
        <v>0</v>
      </c>
      <c r="I184" s="1680">
        <f t="shared" si="17"/>
        <v>0</v>
      </c>
      <c r="J184" s="1680">
        <f t="shared" si="17"/>
        <v>0</v>
      </c>
      <c r="K184" s="1680">
        <f>SUM(K180,K182,K183)</f>
        <v>676032</v>
      </c>
      <c r="L184" s="1680">
        <f>SUM(L180, L182:L183)</f>
        <v>690924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1162</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304681</v>
      </c>
      <c r="D210" s="1673">
        <f>SUM(D184,D185)</f>
        <v>41114</v>
      </c>
      <c r="E210" s="1673">
        <f>SUM(E184,E185,E196)</f>
        <v>249364</v>
      </c>
      <c r="F210" s="1673">
        <f>SUM(F184,F185)</f>
        <v>80873</v>
      </c>
      <c r="G210" s="1673">
        <f>SUM(G184,G185)</f>
        <v>0</v>
      </c>
      <c r="H210" s="1673">
        <f>SUM(H184,H185,H196,H208,H209)</f>
        <v>0</v>
      </c>
      <c r="I210" s="1673">
        <f>SUM(I184,I185)</f>
        <v>0</v>
      </c>
      <c r="J210" s="1673">
        <f>SUM(J184,J185)</f>
        <v>0</v>
      </c>
      <c r="K210" s="1671">
        <f>SUM(K184,K185,K196,K208,K209)</f>
        <v>676032</v>
      </c>
      <c r="L210" s="1673">
        <f>SUM(L184,L185,L196,L208,L209)</f>
        <v>690924</v>
      </c>
    </row>
    <row r="211" spans="1:14" ht="13.5" thickTop="1" x14ac:dyDescent="0.2">
      <c r="A211" s="2297" t="s">
        <v>989</v>
      </c>
      <c r="B211" s="2298"/>
      <c r="C211" s="1674"/>
      <c r="D211" s="1674"/>
      <c r="E211" s="1674"/>
      <c r="F211" s="1674"/>
      <c r="G211" s="1674"/>
      <c r="H211" s="1674"/>
      <c r="I211" s="1672"/>
      <c r="J211" s="1672"/>
      <c r="K211" s="1688">
        <f>'Revenues 9-14'!F268-'Expenditures 15-22'!K210</f>
        <v>-93024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2" t="s">
        <v>959</v>
      </c>
      <c r="B213" s="229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f>71645-3</f>
        <v>71642</v>
      </c>
      <c r="E215" s="1672"/>
      <c r="F215" s="1672"/>
      <c r="G215" s="1672"/>
      <c r="H215" s="1672"/>
      <c r="I215" s="1672"/>
      <c r="J215" s="1672"/>
      <c r="K215" s="1671">
        <f>D215</f>
        <v>71642</v>
      </c>
      <c r="L215" s="1572">
        <v>55768</v>
      </c>
    </row>
    <row r="216" spans="1:14" x14ac:dyDescent="0.2">
      <c r="A216" s="1273" t="s">
        <v>162</v>
      </c>
      <c r="B216" s="503" t="s">
        <v>961</v>
      </c>
      <c r="C216" s="1672"/>
      <c r="D216" s="1573">
        <v>4392</v>
      </c>
      <c r="E216" s="1672"/>
      <c r="F216" s="1672"/>
      <c r="G216" s="1672"/>
      <c r="H216" s="1672"/>
      <c r="I216" s="1672"/>
      <c r="J216" s="1672"/>
      <c r="K216" s="1671">
        <f t="shared" ref="K216:K228" si="19">D216</f>
        <v>4392</v>
      </c>
      <c r="L216" s="1572">
        <v>18880</v>
      </c>
    </row>
    <row r="217" spans="1:14" x14ac:dyDescent="0.2">
      <c r="A217" s="1273" t="s">
        <v>163</v>
      </c>
      <c r="B217" s="503">
        <v>1200</v>
      </c>
      <c r="C217" s="1672"/>
      <c r="D217" s="1572">
        <v>40948</v>
      </c>
      <c r="E217" s="1672"/>
      <c r="F217" s="1672"/>
      <c r="G217" s="1672"/>
      <c r="H217" s="1672"/>
      <c r="I217" s="1672"/>
      <c r="J217" s="1672"/>
      <c r="K217" s="1671">
        <f t="shared" si="19"/>
        <v>40948</v>
      </c>
      <c r="L217" s="1572">
        <v>38116</v>
      </c>
    </row>
    <row r="218" spans="1:14" x14ac:dyDescent="0.2">
      <c r="A218" s="1273" t="s">
        <v>276</v>
      </c>
      <c r="B218" s="503" t="s">
        <v>962</v>
      </c>
      <c r="C218" s="1672"/>
      <c r="D218" s="1573">
        <v>1703</v>
      </c>
      <c r="E218" s="1672"/>
      <c r="F218" s="1672"/>
      <c r="G218" s="1672"/>
      <c r="H218" s="1672"/>
      <c r="I218" s="1672"/>
      <c r="J218" s="1672"/>
      <c r="K218" s="1671">
        <f t="shared" si="19"/>
        <v>1703</v>
      </c>
      <c r="L218" s="1572">
        <v>2000</v>
      </c>
    </row>
    <row r="219" spans="1:14" x14ac:dyDescent="0.2">
      <c r="A219" s="1273" t="s">
        <v>277</v>
      </c>
      <c r="B219" s="503">
        <v>1250</v>
      </c>
      <c r="C219" s="1672"/>
      <c r="D219" s="1572">
        <v>2556</v>
      </c>
      <c r="E219" s="1672"/>
      <c r="F219" s="1672"/>
      <c r="G219" s="1672"/>
      <c r="H219" s="1672"/>
      <c r="I219" s="1672"/>
      <c r="J219" s="1672"/>
      <c r="K219" s="1671">
        <f t="shared" si="19"/>
        <v>2556</v>
      </c>
      <c r="L219" s="1572">
        <v>2500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2882</v>
      </c>
      <c r="E222" s="1672"/>
      <c r="F222" s="1672"/>
      <c r="G222" s="1672"/>
      <c r="H222" s="1672"/>
      <c r="I222" s="1672"/>
      <c r="J222" s="1672"/>
      <c r="K222" s="1671">
        <f t="shared" si="19"/>
        <v>2882</v>
      </c>
      <c r="L222" s="1572">
        <v>2700</v>
      </c>
    </row>
    <row r="223" spans="1:14" x14ac:dyDescent="0.2">
      <c r="A223" s="1273" t="s">
        <v>957</v>
      </c>
      <c r="B223" s="503">
        <v>1500</v>
      </c>
      <c r="C223" s="1672"/>
      <c r="D223" s="1572">
        <v>6994</v>
      </c>
      <c r="E223" s="1672"/>
      <c r="F223" s="1672"/>
      <c r="G223" s="1672"/>
      <c r="H223" s="1672"/>
      <c r="I223" s="1672"/>
      <c r="J223" s="1672"/>
      <c r="K223" s="1671">
        <f t="shared" si="19"/>
        <v>6994</v>
      </c>
      <c r="L223" s="1572">
        <v>9150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841</v>
      </c>
      <c r="E226" s="1672"/>
      <c r="F226" s="1672"/>
      <c r="G226" s="1672"/>
      <c r="H226" s="1672"/>
      <c r="I226" s="1672"/>
      <c r="J226" s="1672"/>
      <c r="K226" s="1671">
        <f t="shared" si="19"/>
        <v>841</v>
      </c>
      <c r="L226" s="1572">
        <v>1200</v>
      </c>
    </row>
    <row r="227" spans="1:12" x14ac:dyDescent="0.2">
      <c r="A227" s="1273" t="s">
        <v>1080</v>
      </c>
      <c r="B227" s="503">
        <v>1800</v>
      </c>
      <c r="C227" s="1672"/>
      <c r="D227" s="1572"/>
      <c r="E227" s="1672"/>
      <c r="F227" s="1672"/>
      <c r="G227" s="1672"/>
      <c r="H227" s="1672"/>
      <c r="I227" s="1672"/>
      <c r="J227" s="1672"/>
      <c r="K227" s="1671">
        <f t="shared" si="19"/>
        <v>0</v>
      </c>
      <c r="L227" s="1572"/>
    </row>
    <row r="228" spans="1:12" x14ac:dyDescent="0.2">
      <c r="A228" s="1273" t="s">
        <v>1081</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131958</v>
      </c>
      <c r="E229" s="1672"/>
      <c r="F229" s="1672"/>
      <c r="G229" s="1672"/>
      <c r="H229" s="1672"/>
      <c r="I229" s="1672"/>
      <c r="J229" s="1672"/>
      <c r="K229" s="1673">
        <f>SUM(K215:K228)</f>
        <v>131958</v>
      </c>
      <c r="L229" s="1673">
        <f>SUM(L215:L228)</f>
        <v>130314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705</v>
      </c>
      <c r="E232" s="1672"/>
      <c r="F232" s="1672"/>
      <c r="G232" s="1672"/>
      <c r="H232" s="1672"/>
      <c r="I232" s="1672"/>
      <c r="J232" s="1672"/>
      <c r="K232" s="1671">
        <f t="shared" ref="K232:K237" si="20">D232</f>
        <v>705</v>
      </c>
      <c r="L232" s="1572">
        <v>700</v>
      </c>
    </row>
    <row r="233" spans="1:12" x14ac:dyDescent="0.2">
      <c r="A233" s="1273" t="s">
        <v>1083</v>
      </c>
      <c r="B233" s="503">
        <v>2120</v>
      </c>
      <c r="C233" s="1672"/>
      <c r="D233" s="1572">
        <v>883</v>
      </c>
      <c r="E233" s="1672"/>
      <c r="F233" s="1672"/>
      <c r="G233" s="1672"/>
      <c r="H233" s="1672"/>
      <c r="I233" s="1672"/>
      <c r="J233" s="1672"/>
      <c r="K233" s="1671">
        <f t="shared" si="20"/>
        <v>883</v>
      </c>
      <c r="L233" s="1572">
        <v>1000</v>
      </c>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v>1256</v>
      </c>
      <c r="E236" s="1672"/>
      <c r="F236" s="1672"/>
      <c r="G236" s="1672"/>
      <c r="H236" s="1672"/>
      <c r="I236" s="1672"/>
      <c r="J236" s="1672"/>
      <c r="K236" s="1671">
        <f t="shared" si="20"/>
        <v>1256</v>
      </c>
      <c r="L236" s="1572">
        <v>1500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2844</v>
      </c>
      <c r="E238" s="1672"/>
      <c r="F238" s="1672"/>
      <c r="G238" s="1672"/>
      <c r="H238" s="1672"/>
      <c r="I238" s="1672"/>
      <c r="J238" s="1672"/>
      <c r="K238" s="1673">
        <f>SUM(K232:K237)</f>
        <v>2844</v>
      </c>
      <c r="L238" s="1673">
        <f>SUM(L232:L237)</f>
        <v>3200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1475</v>
      </c>
      <c r="E240" s="1672"/>
      <c r="F240" s="1672"/>
      <c r="G240" s="1672"/>
      <c r="H240" s="1672"/>
      <c r="I240" s="1672"/>
      <c r="J240" s="1672"/>
      <c r="K240" s="1677">
        <f>D240</f>
        <v>1475</v>
      </c>
      <c r="L240" s="1585">
        <v>1330</v>
      </c>
    </row>
    <row r="241" spans="1:12" x14ac:dyDescent="0.2">
      <c r="A241" s="1273" t="s">
        <v>810</v>
      </c>
      <c r="B241" s="503">
        <v>2220</v>
      </c>
      <c r="C241" s="1672"/>
      <c r="D241" s="1572">
        <v>10686</v>
      </c>
      <c r="E241" s="1672"/>
      <c r="F241" s="1672"/>
      <c r="G241" s="1672"/>
      <c r="H241" s="1672"/>
      <c r="I241" s="1672"/>
      <c r="J241" s="1672"/>
      <c r="K241" s="1677">
        <f>D241</f>
        <v>10686</v>
      </c>
      <c r="L241" s="1572">
        <v>10323</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12161</v>
      </c>
      <c r="E243" s="1672"/>
      <c r="F243" s="1672"/>
      <c r="G243" s="1672"/>
      <c r="H243" s="1672"/>
      <c r="I243" s="1672"/>
      <c r="J243" s="1672"/>
      <c r="K243" s="1673">
        <f>SUM(K240:K242)</f>
        <v>12161</v>
      </c>
      <c r="L243" s="1673">
        <f>SUM(L240:L242)</f>
        <v>11653</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276</v>
      </c>
      <c r="E245" s="1672"/>
      <c r="F245" s="1672"/>
      <c r="G245" s="1672"/>
      <c r="H245" s="1672"/>
      <c r="I245" s="1672"/>
      <c r="J245" s="1672"/>
      <c r="K245" s="1677">
        <f>D245</f>
        <v>276</v>
      </c>
      <c r="L245" s="1585">
        <v>250</v>
      </c>
    </row>
    <row r="246" spans="1:12" x14ac:dyDescent="0.2">
      <c r="A246" s="1273" t="s">
        <v>813</v>
      </c>
      <c r="B246" s="503">
        <v>2320</v>
      </c>
      <c r="C246" s="1672"/>
      <c r="D246" s="1572">
        <v>6235</v>
      </c>
      <c r="E246" s="1672"/>
      <c r="F246" s="1672"/>
      <c r="G246" s="1672"/>
      <c r="H246" s="1672"/>
      <c r="I246" s="1672"/>
      <c r="J246" s="1672"/>
      <c r="K246" s="1677">
        <f t="shared" ref="K246:K256" si="21">D246</f>
        <v>6235</v>
      </c>
      <c r="L246" s="1572">
        <v>10300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1781</v>
      </c>
      <c r="B249" s="557" t="s">
        <v>280</v>
      </c>
      <c r="C249" s="1672"/>
      <c r="D249" s="1578"/>
      <c r="E249" s="1672"/>
      <c r="F249" s="1672"/>
      <c r="G249" s="1672"/>
      <c r="H249" s="1672"/>
      <c r="I249" s="1672"/>
      <c r="J249" s="1672"/>
      <c r="K249" s="1677">
        <f t="shared" si="21"/>
        <v>0</v>
      </c>
      <c r="L249" s="1572"/>
    </row>
    <row r="250" spans="1:12" x14ac:dyDescent="0.2">
      <c r="A250" s="1274" t="s">
        <v>1782</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6511</v>
      </c>
      <c r="E257" s="1672"/>
      <c r="F257" s="1672"/>
      <c r="G257" s="1672"/>
      <c r="H257" s="1672"/>
      <c r="I257" s="1672"/>
      <c r="J257" s="1672"/>
      <c r="K257" s="1673">
        <f>SUM(K245:K256)</f>
        <v>6511</v>
      </c>
      <c r="L257" s="1673">
        <f>SUM(L245:L256)</f>
        <v>10550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31301</v>
      </c>
      <c r="E259" s="1672"/>
      <c r="F259" s="1672"/>
      <c r="G259" s="1672"/>
      <c r="H259" s="1672"/>
      <c r="I259" s="1672"/>
      <c r="J259" s="1672"/>
      <c r="K259" s="1677">
        <f>D259</f>
        <v>31301</v>
      </c>
      <c r="L259" s="1585">
        <v>32450</v>
      </c>
    </row>
    <row r="260" spans="1:14" s="493" customFormat="1" x14ac:dyDescent="0.2">
      <c r="A260" s="1291" t="s">
        <v>1780</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31301</v>
      </c>
      <c r="E261" s="1672"/>
      <c r="F261" s="1672"/>
      <c r="G261" s="1672"/>
      <c r="H261" s="1672"/>
      <c r="I261" s="1672"/>
      <c r="J261" s="1672"/>
      <c r="K261" s="1673">
        <f>SUM(K259:K260)</f>
        <v>31301</v>
      </c>
      <c r="L261" s="1673">
        <f>SUM(L259:L260)</f>
        <v>32450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14210</v>
      </c>
      <c r="E264" s="1672"/>
      <c r="F264" s="1672"/>
      <c r="G264" s="1672"/>
      <c r="H264" s="1672"/>
      <c r="I264" s="1672"/>
      <c r="J264" s="1672"/>
      <c r="K264" s="1677">
        <f t="shared" ref="K264:K269" si="22">D264</f>
        <v>14210</v>
      </c>
      <c r="L264" s="1572">
        <v>20000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72652</v>
      </c>
      <c r="E266" s="1672"/>
      <c r="F266" s="1672"/>
      <c r="G266" s="1672"/>
      <c r="H266" s="1672"/>
      <c r="I266" s="1672"/>
      <c r="J266" s="1672"/>
      <c r="K266" s="1677">
        <f t="shared" si="22"/>
        <v>72652</v>
      </c>
      <c r="L266" s="1572">
        <v>67600</v>
      </c>
    </row>
    <row r="267" spans="1:14" x14ac:dyDescent="0.2">
      <c r="A267" s="1273" t="s">
        <v>947</v>
      </c>
      <c r="B267" s="503">
        <v>2550</v>
      </c>
      <c r="C267" s="1672"/>
      <c r="D267" s="1572">
        <v>46697</v>
      </c>
      <c r="E267" s="1672"/>
      <c r="F267" s="1672"/>
      <c r="G267" s="1672"/>
      <c r="H267" s="1672"/>
      <c r="I267" s="1672"/>
      <c r="J267" s="1672"/>
      <c r="K267" s="1677">
        <f t="shared" si="22"/>
        <v>46697</v>
      </c>
      <c r="L267" s="1572">
        <v>45416</v>
      </c>
    </row>
    <row r="268" spans="1:14" x14ac:dyDescent="0.2">
      <c r="A268" s="1273" t="s">
        <v>100</v>
      </c>
      <c r="B268" s="503">
        <v>2560</v>
      </c>
      <c r="C268" s="1672"/>
      <c r="D268" s="1572">
        <v>1827</v>
      </c>
      <c r="E268" s="1672"/>
      <c r="F268" s="1672"/>
      <c r="G268" s="1672"/>
      <c r="H268" s="1672"/>
      <c r="I268" s="1672"/>
      <c r="J268" s="1672"/>
      <c r="K268" s="1677">
        <f t="shared" si="22"/>
        <v>1827</v>
      </c>
      <c r="L268" s="1572">
        <v>1761</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135386</v>
      </c>
      <c r="E270" s="1672"/>
      <c r="F270" s="1672"/>
      <c r="G270" s="1672"/>
      <c r="H270" s="1672"/>
      <c r="I270" s="1672"/>
      <c r="J270" s="1672"/>
      <c r="K270" s="1673">
        <f>SUM(K263:K269)</f>
        <v>135386</v>
      </c>
      <c r="L270" s="1673">
        <f>SUM(L263:L269)</f>
        <v>134777</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1054</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v>15402</v>
      </c>
      <c r="E276" s="1672"/>
      <c r="F276" s="1672"/>
      <c r="G276" s="1672"/>
      <c r="H276" s="1672"/>
      <c r="I276" s="1672"/>
      <c r="J276" s="1672"/>
      <c r="K276" s="1677">
        <f>D276</f>
        <v>15402</v>
      </c>
      <c r="L276" s="1572">
        <v>14200</v>
      </c>
    </row>
    <row r="277" spans="1:12" ht="12.75" customHeight="1" thickBot="1" x14ac:dyDescent="0.25">
      <c r="A277" s="1392" t="s">
        <v>37</v>
      </c>
      <c r="B277" s="1380" t="s">
        <v>36</v>
      </c>
      <c r="C277" s="1672"/>
      <c r="D277" s="1673">
        <f>SUM(D272:D276)</f>
        <v>15402</v>
      </c>
      <c r="E277" s="1672"/>
      <c r="F277" s="1672"/>
      <c r="G277" s="1672"/>
      <c r="H277" s="1672"/>
      <c r="I277" s="1672"/>
      <c r="J277" s="1672"/>
      <c r="K277" s="1673">
        <f>SUM(K272:K276)</f>
        <v>15402</v>
      </c>
      <c r="L277" s="1673">
        <f>SUM(L272:L276)</f>
        <v>14200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203605</v>
      </c>
      <c r="E279" s="1672"/>
      <c r="F279" s="1672"/>
      <c r="G279" s="1672"/>
      <c r="H279" s="1672"/>
      <c r="I279" s="1672"/>
      <c r="J279" s="1672"/>
      <c r="K279" s="1680">
        <f>SUM(K238,K243,K257,K261,K270,K277,K278)</f>
        <v>203605</v>
      </c>
      <c r="L279" s="1680">
        <f>SUM(L238,L243,L257,L261,L270,L277,L278)</f>
        <v>206830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1815</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1162</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8" t="s">
        <v>502</v>
      </c>
      <c r="B295" s="2289"/>
      <c r="C295" s="1672"/>
      <c r="D295" s="1673">
        <f>SUM(D229,D279,D280,D285)</f>
        <v>335563</v>
      </c>
      <c r="E295" s="1672"/>
      <c r="F295" s="1672"/>
      <c r="G295" s="1672"/>
      <c r="H295" s="1673">
        <f>H293</f>
        <v>0</v>
      </c>
      <c r="I295" s="1672"/>
      <c r="J295" s="1672"/>
      <c r="K295" s="1673">
        <f>SUM(K229,K279,K280,K285,K293,K294)</f>
        <v>335563</v>
      </c>
      <c r="L295" s="1673">
        <f>SUM(L229,L279,L280,L285,L293,L294)</f>
        <v>337144</v>
      </c>
    </row>
    <row r="296" spans="1:14" ht="13.5" thickTop="1" x14ac:dyDescent="0.2">
      <c r="A296" s="2297" t="s">
        <v>989</v>
      </c>
      <c r="B296" s="2298"/>
      <c r="C296" s="1672"/>
      <c r="D296" s="1674"/>
      <c r="E296" s="1672"/>
      <c r="F296" s="1672"/>
      <c r="G296" s="1672"/>
      <c r="H296" s="1706"/>
      <c r="I296" s="1672"/>
      <c r="J296" s="1672"/>
      <c r="K296" s="1688">
        <f>'Revenues 9-14'!G268-'Expenditures 15-22'!K295</f>
        <v>93858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9" t="s">
        <v>142</v>
      </c>
      <c r="B298" s="2280"/>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5" t="s">
        <v>275</v>
      </c>
      <c r="B312" s="228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81" t="s">
        <v>989</v>
      </c>
      <c r="B313" s="2282"/>
      <c r="C313" s="1676"/>
      <c r="D313" s="1676"/>
      <c r="E313" s="1676"/>
      <c r="F313" s="1676"/>
      <c r="G313" s="1676"/>
      <c r="H313" s="1676"/>
      <c r="I313" s="1676"/>
      <c r="J313" s="1676"/>
      <c r="K313" s="1695">
        <f>'Revenues 9-14'!H268-'Expenditures 15-22'!K312</f>
        <v>298591</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4" t="s">
        <v>148</v>
      </c>
      <c r="B315" s="229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6" t="s">
        <v>892</v>
      </c>
      <c r="B317" s="229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1781</v>
      </c>
      <c r="B320" s="568" t="s">
        <v>280</v>
      </c>
      <c r="C320" s="1573"/>
      <c r="D320" s="1573">
        <v>15612</v>
      </c>
      <c r="E320" s="1573"/>
      <c r="F320" s="1573"/>
      <c r="G320" s="1573"/>
      <c r="H320" s="1573"/>
      <c r="I320" s="1573"/>
      <c r="J320" s="1573"/>
      <c r="K320" s="1671">
        <f t="shared" ref="K320:K327" si="24">SUM(C320:J320)</f>
        <v>15612</v>
      </c>
      <c r="L320" s="1573">
        <v>55000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32770</v>
      </c>
      <c r="F322" s="1573"/>
      <c r="G322" s="1573"/>
      <c r="H322" s="1573"/>
      <c r="I322" s="1573"/>
      <c r="J322" s="1573"/>
      <c r="K322" s="1671">
        <f t="shared" si="24"/>
        <v>32770</v>
      </c>
      <c r="L322" s="1573">
        <v>8500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140548</v>
      </c>
      <c r="D325" s="1573"/>
      <c r="E325" s="1573">
        <v>520540</v>
      </c>
      <c r="F325" s="1573">
        <v>9356</v>
      </c>
      <c r="G325" s="1573"/>
      <c r="H325" s="1573"/>
      <c r="I325" s="1573"/>
      <c r="J325" s="1573"/>
      <c r="K325" s="1671">
        <f t="shared" si="24"/>
        <v>670444</v>
      </c>
      <c r="L325" s="1573">
        <v>794560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1000</v>
      </c>
      <c r="F327" s="1573"/>
      <c r="G327" s="1573"/>
      <c r="H327" s="1573"/>
      <c r="I327" s="1573"/>
      <c r="J327" s="1573"/>
      <c r="K327" s="1671">
        <f t="shared" si="24"/>
        <v>1000</v>
      </c>
      <c r="L327" s="1573">
        <v>7500</v>
      </c>
      <c r="M327" s="539"/>
      <c r="N327" s="539"/>
    </row>
    <row r="328" spans="1:14" s="548" customFormat="1" x14ac:dyDescent="0.2">
      <c r="A328" s="1289" t="s">
        <v>469</v>
      </c>
      <c r="B328" s="562" t="s">
        <v>1124</v>
      </c>
      <c r="C328" s="1578"/>
      <c r="D328" s="1578"/>
      <c r="E328" s="1578">
        <v>94741</v>
      </c>
      <c r="F328" s="1578"/>
      <c r="G328" s="1578"/>
      <c r="H328" s="1578"/>
      <c r="I328" s="1578"/>
      <c r="J328" s="1578"/>
      <c r="K328" s="1712">
        <f>SUM(C328:J328)</f>
        <v>94741</v>
      </c>
      <c r="L328" s="1578">
        <v>100000</v>
      </c>
      <c r="M328" s="539"/>
      <c r="N328" s="539"/>
    </row>
    <row r="329" spans="1:14" s="548" customFormat="1" x14ac:dyDescent="0.2">
      <c r="A329" s="1289"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140548</v>
      </c>
      <c r="D330" s="1673">
        <f t="shared" ref="D330:J330" si="25">SUM(D319:D329)</f>
        <v>15612</v>
      </c>
      <c r="E330" s="1673">
        <f t="shared" si="25"/>
        <v>649051</v>
      </c>
      <c r="F330" s="1673">
        <f t="shared" si="25"/>
        <v>9356</v>
      </c>
      <c r="G330" s="1673">
        <f t="shared" si="25"/>
        <v>0</v>
      </c>
      <c r="H330" s="1673">
        <f t="shared" si="25"/>
        <v>0</v>
      </c>
      <c r="I330" s="1673">
        <f t="shared" si="25"/>
        <v>0</v>
      </c>
      <c r="J330" s="1673">
        <f t="shared" si="25"/>
        <v>0</v>
      </c>
      <c r="K330" s="1673">
        <f>SUM(K319:K329)</f>
        <v>814567</v>
      </c>
      <c r="L330" s="1673">
        <f>SUM(L319:L329)</f>
        <v>965560</v>
      </c>
      <c r="M330" s="539"/>
      <c r="N330" s="539"/>
    </row>
    <row r="331" spans="1:14" s="548" customFormat="1" ht="12.75" customHeight="1" thickTop="1" x14ac:dyDescent="0.2">
      <c r="A331" s="1466" t="s">
        <v>1821</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1815</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1817</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1822</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1162</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140548</v>
      </c>
      <c r="D342" s="1673">
        <f>SUM(D330)</f>
        <v>15612</v>
      </c>
      <c r="E342" s="1673">
        <f>SUM(E330)</f>
        <v>649051</v>
      </c>
      <c r="F342" s="1673">
        <f>SUM(F330)</f>
        <v>9356</v>
      </c>
      <c r="G342" s="1673">
        <f>SUM(G330)</f>
        <v>0</v>
      </c>
      <c r="H342" s="1673">
        <f>SUM(H330,H334,H340)</f>
        <v>0</v>
      </c>
      <c r="I342" s="1673">
        <f>SUM(I330)</f>
        <v>0</v>
      </c>
      <c r="J342" s="1673">
        <f>SUM(J330)</f>
        <v>0</v>
      </c>
      <c r="K342" s="1673">
        <f>SUM(K330,K334,K340)</f>
        <v>814567</v>
      </c>
      <c r="L342" s="1680">
        <f>SUM(L330,L334,L340,L341)</f>
        <v>965560</v>
      </c>
    </row>
    <row r="343" spans="1:14" ht="12.75" customHeight="1" thickTop="1" x14ac:dyDescent="0.2">
      <c r="A343" s="2283" t="s">
        <v>989</v>
      </c>
      <c r="B343" s="2284"/>
      <c r="C343" s="1672"/>
      <c r="D343" s="1672"/>
      <c r="E343" s="1672"/>
      <c r="F343" s="1672"/>
      <c r="G343" s="1672"/>
      <c r="H343" s="1672"/>
      <c r="I343" s="1672"/>
      <c r="J343" s="1672"/>
      <c r="K343" s="1688">
        <f>'Revenues 9-14'!J268-'Expenditures 15-22'!K342</f>
        <v>-188780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300" t="s">
        <v>960</v>
      </c>
      <c r="B345" s="2280"/>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5000</v>
      </c>
    </row>
    <row r="349" spans="1:14" x14ac:dyDescent="0.2">
      <c r="A349" s="1273" t="s">
        <v>195</v>
      </c>
      <c r="B349" s="503">
        <v>2540</v>
      </c>
      <c r="C349" s="1572"/>
      <c r="D349" s="1572"/>
      <c r="E349" s="1572">
        <v>223</v>
      </c>
      <c r="F349" s="1572">
        <v>721</v>
      </c>
      <c r="G349" s="1572"/>
      <c r="H349" s="1572"/>
      <c r="I349" s="1573"/>
      <c r="J349" s="1573"/>
      <c r="K349" s="1671">
        <f>SUM(C349:J349)</f>
        <v>944</v>
      </c>
      <c r="L349" s="1572">
        <v>23500</v>
      </c>
    </row>
    <row r="350" spans="1:14" ht="12.75" customHeight="1" thickBot="1" x14ac:dyDescent="0.25">
      <c r="A350" s="1379" t="s">
        <v>714</v>
      </c>
      <c r="B350" s="1380" t="s">
        <v>35</v>
      </c>
      <c r="C350" s="1673">
        <f>SUM(C348:C349)</f>
        <v>0</v>
      </c>
      <c r="D350" s="1673">
        <f t="shared" ref="D350:L350" si="26">SUM(D348:D349)</f>
        <v>0</v>
      </c>
      <c r="E350" s="1673">
        <f t="shared" si="26"/>
        <v>223</v>
      </c>
      <c r="F350" s="1673">
        <f t="shared" si="26"/>
        <v>721</v>
      </c>
      <c r="G350" s="1673">
        <f t="shared" si="26"/>
        <v>0</v>
      </c>
      <c r="H350" s="1673">
        <f t="shared" si="26"/>
        <v>0</v>
      </c>
      <c r="I350" s="1673">
        <f t="shared" si="26"/>
        <v>0</v>
      </c>
      <c r="J350" s="1673">
        <f t="shared" si="26"/>
        <v>0</v>
      </c>
      <c r="K350" s="1673">
        <f t="shared" si="26"/>
        <v>944</v>
      </c>
      <c r="L350" s="1673">
        <f t="shared" si="26"/>
        <v>28500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223</v>
      </c>
      <c r="F352" s="1673">
        <f t="shared" si="27"/>
        <v>721</v>
      </c>
      <c r="G352" s="1673">
        <f t="shared" si="27"/>
        <v>0</v>
      </c>
      <c r="H352" s="1673">
        <f t="shared" si="27"/>
        <v>0</v>
      </c>
      <c r="I352" s="1673">
        <f t="shared" si="27"/>
        <v>0</v>
      </c>
      <c r="J352" s="1673">
        <f t="shared" si="27"/>
        <v>0</v>
      </c>
      <c r="K352" s="1673">
        <f t="shared" si="27"/>
        <v>944</v>
      </c>
      <c r="L352" s="1673">
        <f t="shared" si="27"/>
        <v>28500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c r="I354" s="1715"/>
      <c r="J354" s="1672"/>
      <c r="K354" s="1712">
        <f>H354</f>
        <v>0</v>
      </c>
      <c r="L354" s="1576"/>
    </row>
    <row r="355" spans="1:14" ht="12.75" customHeight="1" x14ac:dyDescent="0.2">
      <c r="A355" s="1282" t="s">
        <v>1824</v>
      </c>
      <c r="B355" s="562" t="s">
        <v>1817</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223</v>
      </c>
      <c r="F367" s="1673">
        <f t="shared" si="28"/>
        <v>721</v>
      </c>
      <c r="G367" s="1673">
        <f t="shared" si="28"/>
        <v>0</v>
      </c>
      <c r="H367" s="1673">
        <f t="shared" si="28"/>
        <v>0</v>
      </c>
      <c r="I367" s="1673">
        <f t="shared" si="28"/>
        <v>0</v>
      </c>
      <c r="J367" s="1673">
        <f t="shared" si="28"/>
        <v>0</v>
      </c>
      <c r="K367" s="1673">
        <f t="shared" si="28"/>
        <v>944</v>
      </c>
      <c r="L367" s="1673">
        <f t="shared" si="28"/>
        <v>28500</v>
      </c>
    </row>
    <row r="368" spans="1:14" ht="13.5" thickTop="1" x14ac:dyDescent="0.2">
      <c r="A368" s="2297" t="s">
        <v>989</v>
      </c>
      <c r="B368" s="2298"/>
      <c r="C368" s="1693"/>
      <c r="D368" s="1693"/>
      <c r="E368" s="1676"/>
      <c r="F368" s="1676"/>
      <c r="G368" s="1676"/>
      <c r="H368" s="1676"/>
      <c r="I368" s="1676"/>
      <c r="J368" s="1675"/>
      <c r="K368" s="1671">
        <f>'Revenues 9-14'!K268-'Expenditures 15-22'!K367</f>
        <v>82892</v>
      </c>
      <c r="L368" s="1693"/>
    </row>
  </sheetData>
  <sheetProtection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7" type="noConversion"/>
  <printOptions headings="1" gridLinesSet="0"/>
  <pageMargins left="0.1" right="0.2" top="0.69" bottom="0.35" header="0.45"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58D6ED96-09B7-43D9-93FD-ABAC8FB3748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15</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 1</vt:lpstr>
      <vt:lpstr>SEFA1.1</vt:lpstr>
      <vt:lpstr>SEFA1.2</vt:lpstr>
      <vt:lpstr>SEFA NOTES</vt:lpstr>
      <vt:lpstr>SF&amp;QC Sec-1</vt:lpstr>
      <vt:lpstr>SF&amp;QC Sec-2</vt:lpstr>
      <vt:lpstr>SF&amp;QC Sec-2.1</vt:lpstr>
      <vt:lpstr>SF&amp;QC Sec 2.2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2021-02-03T16:50:40Z</cp:lastPrinted>
  <dcterms:created xsi:type="dcterms:W3CDTF">2003-10-29T19:06:34Z</dcterms:created>
  <dcterms:modified xsi:type="dcterms:W3CDTF">2021-02-04T15:42:00Z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